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bookViews>
    <workbookView xWindow="-15" yWindow="-15" windowWidth="10800" windowHeight="10140"/>
  </bookViews>
  <sheets>
    <sheet name="NEW-Tables 80-86" sheetId="14" r:id="rId1"/>
    <sheet name="OLD Tables" sheetId="21" r:id="rId2"/>
    <sheet name="FTE Pivot for regular counts" sheetId="9" r:id="rId3"/>
    <sheet name="Pivot-HS Student % of Undergrad" sheetId="16" r:id="rId4"/>
    <sheet name="SCH Data" sheetId="6" r:id="rId5"/>
    <sheet name="Format for FTE" sheetId="19" r:id="rId6"/>
    <sheet name="Format for HS%" sheetId="20" r:id="rId7"/>
  </sheets>
  <definedNames>
    <definedName name="APPHEAD" localSheetId="1">#REF!</definedName>
    <definedName name="CH11ug1" localSheetId="4">'SCH Data'!#REF!</definedName>
    <definedName name="CH11ug2_1" localSheetId="4">'SCH Data'!#REF!</definedName>
    <definedName name="CH11ug3_1" localSheetId="4">'SCH Data'!#REF!</definedName>
    <definedName name="CH11ug4_1" localSheetId="4">'SCH Data'!#REF!</definedName>
    <definedName name="CHHEAD" localSheetId="1">#REF!</definedName>
    <definedName name="Dual07" localSheetId="4">'SCH Data'!$T$242:$T$293</definedName>
    <definedName name="Dual07_1" localSheetId="4">'SCH Data'!$T$321:$T$336</definedName>
    <definedName name="Dual07_2" localSheetId="4">'SCH Data'!$T$436:$T$484</definedName>
    <definedName name="Dual08" localSheetId="4">'SCH Data'!#REF!</definedName>
    <definedName name="Dual08_1" localSheetId="4">'SCH Data'!$T$232:$T$293</definedName>
    <definedName name="Dual08_2" localSheetId="4">'SCH Data'!#REF!</definedName>
    <definedName name="Dual11_1" localSheetId="4">'SCH Data'!$U$321:$U$425</definedName>
    <definedName name="JrCH08ug1" localSheetId="4">'SCH Data'!#REF!</definedName>
    <definedName name="JrCH08ug1_1" localSheetId="4">'SCH Data'!$X$248:$X$293</definedName>
    <definedName name="JrCH08ug1_2" localSheetId="4">'SCH Data'!#REF!</definedName>
    <definedName name="JrCH08ug2" localSheetId="4">'SCH Data'!#REF!</definedName>
    <definedName name="JrCH08ug2_1" localSheetId="4">'SCH Data'!$Z$248:$Z$293</definedName>
    <definedName name="JrCH08ug2_2" localSheetId="4">'SCH Data'!#REF!</definedName>
    <definedName name="JrCH08ug3" localSheetId="4">'SCH Data'!#REF!</definedName>
    <definedName name="JrCH08ug3_1" localSheetId="4">'SCH Data'!$AB$248:$AB$293</definedName>
    <definedName name="JrCH08ug3_2" localSheetId="4">'SCH Data'!#REF!</definedName>
    <definedName name="JrCH08ug4" localSheetId="4">'SCH Data'!#REF!</definedName>
    <definedName name="JrCH08ug4_1" localSheetId="4">'SCH Data'!$AD$248:$AD$293</definedName>
    <definedName name="JrCH08ug4_2" localSheetId="4">'SCH Data'!#REF!</definedName>
    <definedName name="JrSCH08ug1" localSheetId="4">'SCH Data'!#REF!</definedName>
    <definedName name="JrSCH08ug1_1" localSheetId="4">'SCH Data'!$H$248:$H$293</definedName>
    <definedName name="JrSCH08ug2" localSheetId="4">'SCH Data'!#REF!</definedName>
    <definedName name="JrSCH08ug2_1" localSheetId="4">'SCH Data'!$J$248:$J$293</definedName>
    <definedName name="JrSCH08ug2_2" localSheetId="4">'SCH Data'!#REF!</definedName>
    <definedName name="JrSCH08ug3" localSheetId="4">'SCH Data'!#REF!</definedName>
    <definedName name="JrSCH08ug3_1" localSheetId="4">'SCH Data'!$L$248:$L$293</definedName>
    <definedName name="JrSCH08ug3_2" localSheetId="4">'SCH Data'!#REF!</definedName>
    <definedName name="JrSCH08ug4" localSheetId="4">'SCH Data'!#REF!</definedName>
    <definedName name="JrSCH08ug4_1" localSheetId="4">'SCH Data'!$N$248:$N$293</definedName>
    <definedName name="JrSCH08ug4_2" localSheetId="4">'SCH Data'!#REF!</definedName>
    <definedName name="PAGE_17" localSheetId="1">#REF!</definedName>
    <definedName name="PAGE1" localSheetId="1">#REF!</definedName>
    <definedName name="PAGE10" localSheetId="1">#REF!</definedName>
    <definedName name="PAGE11" localSheetId="1">#REF!</definedName>
    <definedName name="PAGE12" localSheetId="1">#REF!</definedName>
    <definedName name="PAGE13" localSheetId="1">#REF!</definedName>
    <definedName name="PAGE14" localSheetId="1">#REF!</definedName>
    <definedName name="PAGE15" localSheetId="1">#REF!</definedName>
    <definedName name="PAGE16" localSheetId="1">#REF!</definedName>
    <definedName name="PAGE17" localSheetId="1">#REF!</definedName>
    <definedName name="PAGE18" localSheetId="1">#REF!</definedName>
    <definedName name="PAGE19" localSheetId="1">#REF!</definedName>
    <definedName name="PAGE2" localSheetId="1">#REF!</definedName>
    <definedName name="PAGE20" localSheetId="1">#REF!</definedName>
    <definedName name="PAGE3" localSheetId="1">#REF!</definedName>
    <definedName name="PAGE4" localSheetId="1">#REF!</definedName>
    <definedName name="PAGE5" localSheetId="1">#REF!</definedName>
    <definedName name="PAGE6" localSheetId="1">#REF!</definedName>
    <definedName name="PAGE7" localSheetId="1">#REF!</definedName>
    <definedName name="PAGE8" localSheetId="1">#REF!</definedName>
    <definedName name="PAGE9" localSheetId="1">#REF!</definedName>
    <definedName name="PART1" localSheetId="1">#REF!</definedName>
    <definedName name="PART2" localSheetId="1">#REF!</definedName>
    <definedName name="PART3" localSheetId="1">#REF!</definedName>
    <definedName name="PART4A" localSheetId="1">#REF!</definedName>
    <definedName name="PART4B" localSheetId="1">#REF!</definedName>
    <definedName name="PART5" localSheetId="1">#REF!</definedName>
    <definedName name="PART6A" localSheetId="1">#REF!</definedName>
    <definedName name="PART6B" localSheetId="1">#REF!</definedName>
    <definedName name="PART6C" localSheetId="1">#REF!</definedName>
    <definedName name="PART7B" localSheetId="1">#REF!</definedName>
    <definedName name="PART7C" localSheetId="1">#REF!</definedName>
    <definedName name="PART8" localSheetId="1">#REF!</definedName>
    <definedName name="_xlnm.Print_Area" localSheetId="2">'FTE Pivot for regular counts'!$C$5:$R$196</definedName>
    <definedName name="_xlnm.Print_Area" localSheetId="0">'NEW-Tables 80-86'!$A$1:$O$214</definedName>
    <definedName name="_xlnm.Print_Area" localSheetId="1">'OLD Tables'!$A$1:$O$212</definedName>
    <definedName name="_xlnm.Print_Area" localSheetId="3">'Pivot-HS Student % of Undergrad'!$C$6:$T$101</definedName>
    <definedName name="_xlnm.Print_Area" localSheetId="4">'SCH Data'!$A$3</definedName>
    <definedName name="_xlnm.Print_Area">#REF!</definedName>
    <definedName name="_xlnm.Print_Titles" localSheetId="2">'FTE Pivot for regular counts'!$A:$B,'FTE Pivot for regular counts'!$2:$4</definedName>
    <definedName name="_xlnm.Print_Titles" localSheetId="3">'Pivot-HS Student % of Undergrad'!$A:$B,'Pivot-HS Student % of Undergrad'!$4:$5</definedName>
    <definedName name="_xlnm.Print_Titles" localSheetId="4">'SCH Data'!$B:$B</definedName>
    <definedName name="RATIONALE" localSheetId="1">#REF!</definedName>
    <definedName name="RATIONALE2" localSheetId="1">#REF!</definedName>
    <definedName name="SALHEAD" localSheetId="1">#REF!</definedName>
    <definedName name="SrSCH08gr2" localSheetId="4">'SCH Data'!#REF!</definedName>
    <definedName name="SrSCH08gr2_1" localSheetId="4">'SCH Data'!$AP$232:$AP$247</definedName>
    <definedName name="SrSCH08gr3" localSheetId="4">'SCH Data'!#REF!</definedName>
    <definedName name="SrSCH08gr3_1" localSheetId="4">'SCH Data'!$AR$232:$AR$247</definedName>
    <definedName name="SrSCH08gr4" localSheetId="4">'SCH Data'!#REF!</definedName>
    <definedName name="SrSCH08gr4_1" localSheetId="4">'SCH Data'!$AT$232:$AT$247</definedName>
    <definedName name="SrSCH08ug2" localSheetId="4">'SCH Data'!#REF!</definedName>
    <definedName name="SrSCH08ug2_1" localSheetId="4">'SCH Data'!$J$232:$J$247</definedName>
    <definedName name="SrSCH08ug3" localSheetId="4">'SCH Data'!#REF!</definedName>
    <definedName name="SrSCH08ug3_1" localSheetId="4">'SCH Data'!$L$232:$L$247</definedName>
    <definedName name="SrSCH08ug4" localSheetId="4">'SCH Data'!#REF!</definedName>
    <definedName name="SrSCH08ug4_1" localSheetId="4">'SCH Data'!$N$232:$N$247</definedName>
  </definedNames>
  <calcPr calcId="145621"/>
  <pivotCaches>
    <pivotCache cacheId="0" r:id="rId8"/>
    <pivotCache cacheId="1" r:id="rId9"/>
  </pivotCaches>
</workbook>
</file>

<file path=xl/calcChain.xml><?xml version="1.0" encoding="utf-8"?>
<calcChain xmlns="http://schemas.openxmlformats.org/spreadsheetml/2006/main">
  <c r="AE180" i="14" l="1"/>
  <c r="AF180" i="14"/>
  <c r="R236" i="14"/>
  <c r="AX205" i="6" l="1"/>
  <c r="AY205" i="6" s="1"/>
  <c r="AV205" i="6"/>
  <c r="AW205" i="6"/>
  <c r="R205" i="6"/>
  <c r="S205" i="6" s="1"/>
  <c r="P205" i="6"/>
  <c r="Q205" i="6" s="1"/>
  <c r="E23" i="14"/>
  <c r="M29" i="21"/>
  <c r="E23" i="21"/>
  <c r="I13" i="21"/>
  <c r="AV210" i="6" l="1"/>
  <c r="AW210" i="6" s="1"/>
  <c r="AX210" i="6"/>
  <c r="AY210" i="6"/>
  <c r="AV211" i="6"/>
  <c r="AW211" i="6"/>
  <c r="AX211" i="6"/>
  <c r="AY211" i="6" s="1"/>
  <c r="AV212" i="6"/>
  <c r="AW212" i="6"/>
  <c r="AX212" i="6"/>
  <c r="AY212" i="6"/>
  <c r="AV213" i="6"/>
  <c r="AW213" i="6"/>
  <c r="AX213" i="6"/>
  <c r="AY213" i="6"/>
  <c r="AZ213" i="6"/>
  <c r="AV214" i="6"/>
  <c r="AW214" i="6" s="1"/>
  <c r="AX214" i="6"/>
  <c r="AY214" i="6"/>
  <c r="AV215" i="6"/>
  <c r="AW215" i="6"/>
  <c r="AZ215" i="6" s="1"/>
  <c r="AX215" i="6"/>
  <c r="AY215" i="6" s="1"/>
  <c r="BA215" i="6" s="1"/>
  <c r="AV216" i="6"/>
  <c r="AW216" i="6"/>
  <c r="AX216" i="6"/>
  <c r="AY216" i="6"/>
  <c r="AV217" i="6"/>
  <c r="AW217" i="6"/>
  <c r="AX217" i="6"/>
  <c r="AY217" i="6"/>
  <c r="AV218" i="6"/>
  <c r="AW218" i="6" s="1"/>
  <c r="AX218" i="6"/>
  <c r="AY218" i="6"/>
  <c r="BA218" i="6"/>
  <c r="AV219" i="6"/>
  <c r="AW219" i="6"/>
  <c r="AZ219" i="6" s="1"/>
  <c r="AX219" i="6"/>
  <c r="AY219" i="6" s="1"/>
  <c r="AV220" i="6"/>
  <c r="AW220" i="6"/>
  <c r="AX220" i="6"/>
  <c r="AY220" i="6"/>
  <c r="BA220" i="6" s="1"/>
  <c r="AV221" i="6"/>
  <c r="AW221" i="6"/>
  <c r="AX221" i="6"/>
  <c r="AY221" i="6"/>
  <c r="AV222" i="6"/>
  <c r="AW222" i="6" s="1"/>
  <c r="AX222" i="6"/>
  <c r="AY222" i="6"/>
  <c r="AV223" i="6"/>
  <c r="AW223" i="6"/>
  <c r="AX223" i="6"/>
  <c r="AY223" i="6" s="1"/>
  <c r="AV224" i="6"/>
  <c r="AW224" i="6"/>
  <c r="AX224" i="6"/>
  <c r="AY224" i="6"/>
  <c r="AV225" i="6"/>
  <c r="AW225" i="6"/>
  <c r="AX225" i="6"/>
  <c r="AY225" i="6"/>
  <c r="AV226" i="6"/>
  <c r="AW226" i="6" s="1"/>
  <c r="AZ226" i="6" s="1"/>
  <c r="AX226" i="6"/>
  <c r="AY226" i="6"/>
  <c r="BA226" i="6"/>
  <c r="AV227" i="6"/>
  <c r="AW227" i="6"/>
  <c r="AX227" i="6"/>
  <c r="AY227" i="6" s="1"/>
  <c r="AV228" i="6"/>
  <c r="AW228" i="6"/>
  <c r="AZ228" i="6" s="1"/>
  <c r="AX228" i="6"/>
  <c r="AY228" i="6"/>
  <c r="BA228" i="6" s="1"/>
  <c r="AV229" i="6"/>
  <c r="AW229" i="6"/>
  <c r="AX229" i="6"/>
  <c r="AY229" i="6"/>
  <c r="AV230" i="6"/>
  <c r="AW230" i="6" s="1"/>
  <c r="AX230" i="6"/>
  <c r="AY230" i="6"/>
  <c r="AV231" i="6"/>
  <c r="AW231" i="6"/>
  <c r="AX231" i="6"/>
  <c r="AY231" i="6" s="1"/>
  <c r="AV232" i="6"/>
  <c r="AW232" i="6"/>
  <c r="AX232" i="6"/>
  <c r="AY232" i="6"/>
  <c r="AV233" i="6"/>
  <c r="AW233" i="6"/>
  <c r="AX233" i="6"/>
  <c r="AY233" i="6"/>
  <c r="AV234" i="6"/>
  <c r="AW234" i="6" s="1"/>
  <c r="AZ234" i="6" s="1"/>
  <c r="AX234" i="6"/>
  <c r="AY234" i="6"/>
  <c r="AV235" i="6"/>
  <c r="AW235" i="6"/>
  <c r="AX235" i="6"/>
  <c r="AY235" i="6" s="1"/>
  <c r="AV236" i="6"/>
  <c r="AW236" i="6"/>
  <c r="AZ236" i="6" s="1"/>
  <c r="AX236" i="6"/>
  <c r="AY236" i="6"/>
  <c r="BA236" i="6" s="1"/>
  <c r="AV237" i="6"/>
  <c r="AW237" i="6"/>
  <c r="AX237" i="6"/>
  <c r="AY237" i="6"/>
  <c r="AZ237" i="6"/>
  <c r="BA237" i="6"/>
  <c r="AV238" i="6"/>
  <c r="AW238" i="6" s="1"/>
  <c r="AZ238" i="6" s="1"/>
  <c r="AX238" i="6"/>
  <c r="AY238" i="6"/>
  <c r="BA238" i="6"/>
  <c r="AV239" i="6"/>
  <c r="AW239" i="6"/>
  <c r="AZ239" i="6" s="1"/>
  <c r="AX239" i="6"/>
  <c r="AY239" i="6" s="1"/>
  <c r="BA239" i="6" s="1"/>
  <c r="AV240" i="6"/>
  <c r="AW240" i="6"/>
  <c r="AZ240" i="6" s="1"/>
  <c r="AX240" i="6"/>
  <c r="AY240" i="6"/>
  <c r="BA240" i="6" s="1"/>
  <c r="AV241" i="6"/>
  <c r="AW241" i="6"/>
  <c r="AX241" i="6"/>
  <c r="AY241" i="6"/>
  <c r="AZ241" i="6"/>
  <c r="BA241" i="6"/>
  <c r="AV242" i="6"/>
  <c r="AW242" i="6" s="1"/>
  <c r="AZ242" i="6" s="1"/>
  <c r="AX242" i="6"/>
  <c r="AY242" i="6"/>
  <c r="BA242" i="6"/>
  <c r="AV243" i="6"/>
  <c r="AW243" i="6"/>
  <c r="AZ243" i="6" s="1"/>
  <c r="AX243" i="6"/>
  <c r="AY243" i="6" s="1"/>
  <c r="BA243" i="6" s="1"/>
  <c r="AV244" i="6"/>
  <c r="AW244" i="6"/>
  <c r="AZ244" i="6" s="1"/>
  <c r="AX244" i="6"/>
  <c r="AY244" i="6"/>
  <c r="BA244" i="6" s="1"/>
  <c r="AV245" i="6"/>
  <c r="AW245" i="6"/>
  <c r="AX245" i="6"/>
  <c r="AY245" i="6"/>
  <c r="AZ245" i="6"/>
  <c r="BA245" i="6"/>
  <c r="AV246" i="6"/>
  <c r="AW246" i="6" s="1"/>
  <c r="AZ246" i="6" s="1"/>
  <c r="AX246" i="6"/>
  <c r="AY246" i="6"/>
  <c r="BA246" i="6"/>
  <c r="AV247" i="6"/>
  <c r="AW247" i="6"/>
  <c r="AZ247" i="6" s="1"/>
  <c r="AX247" i="6"/>
  <c r="AY247" i="6" s="1"/>
  <c r="BA247" i="6" s="1"/>
  <c r="AV248" i="6"/>
  <c r="AW248" i="6"/>
  <c r="AZ248" i="6" s="1"/>
  <c r="AX248" i="6"/>
  <c r="AY248" i="6"/>
  <c r="BA248" i="6" s="1"/>
  <c r="AV249" i="6"/>
  <c r="AW249" i="6"/>
  <c r="AX249" i="6"/>
  <c r="AY249" i="6"/>
  <c r="AZ249" i="6"/>
  <c r="BA249" i="6"/>
  <c r="AV250" i="6"/>
  <c r="AW250" i="6" s="1"/>
  <c r="AZ250" i="6" s="1"/>
  <c r="AX250" i="6"/>
  <c r="AY250" i="6"/>
  <c r="BA250" i="6"/>
  <c r="AV251" i="6"/>
  <c r="AW251" i="6"/>
  <c r="AZ251" i="6" s="1"/>
  <c r="AX251" i="6"/>
  <c r="AY251" i="6" s="1"/>
  <c r="BA251" i="6" s="1"/>
  <c r="AV252" i="6"/>
  <c r="AW252" i="6"/>
  <c r="AZ252" i="6" s="1"/>
  <c r="AX252" i="6"/>
  <c r="AY252" i="6"/>
  <c r="BA252" i="6" s="1"/>
  <c r="AV253" i="6"/>
  <c r="AW253" i="6"/>
  <c r="AX253" i="6"/>
  <c r="AY253" i="6"/>
  <c r="AZ253" i="6"/>
  <c r="BA253" i="6"/>
  <c r="AV254" i="6"/>
  <c r="AW254" i="6" s="1"/>
  <c r="AZ254" i="6" s="1"/>
  <c r="AX254" i="6"/>
  <c r="AY254" i="6"/>
  <c r="BA254" i="6"/>
  <c r="AV255" i="6"/>
  <c r="AW255" i="6"/>
  <c r="AZ255" i="6" s="1"/>
  <c r="AX255" i="6"/>
  <c r="AY255" i="6" s="1"/>
  <c r="BA255" i="6" s="1"/>
  <c r="AV256" i="6"/>
  <c r="AW256" i="6"/>
  <c r="AZ256" i="6" s="1"/>
  <c r="AX256" i="6"/>
  <c r="AY256" i="6"/>
  <c r="BA256" i="6" s="1"/>
  <c r="AV257" i="6"/>
  <c r="AW257" i="6"/>
  <c r="AX257" i="6"/>
  <c r="AY257" i="6"/>
  <c r="AZ257" i="6"/>
  <c r="BA257" i="6"/>
  <c r="AV258" i="6"/>
  <c r="AW258" i="6" s="1"/>
  <c r="AZ258" i="6" s="1"/>
  <c r="AX258" i="6"/>
  <c r="AY258" i="6"/>
  <c r="BA258" i="6"/>
  <c r="AV259" i="6"/>
  <c r="AW259" i="6"/>
  <c r="AZ259" i="6" s="1"/>
  <c r="AX259" i="6"/>
  <c r="AY259" i="6" s="1"/>
  <c r="BA259" i="6" s="1"/>
  <c r="AV260" i="6"/>
  <c r="AW260" i="6"/>
  <c r="AZ260" i="6" s="1"/>
  <c r="AX260" i="6"/>
  <c r="AY260" i="6"/>
  <c r="BA260" i="6" s="1"/>
  <c r="AV261" i="6"/>
  <c r="AW261" i="6"/>
  <c r="AX261" i="6"/>
  <c r="AY261" i="6"/>
  <c r="AZ261" i="6"/>
  <c r="BA261" i="6"/>
  <c r="AV262" i="6"/>
  <c r="AW262" i="6" s="1"/>
  <c r="AZ262" i="6" s="1"/>
  <c r="AX262" i="6"/>
  <c r="AY262" i="6"/>
  <c r="BA262" i="6"/>
  <c r="AV263" i="6"/>
  <c r="AW263" i="6"/>
  <c r="AZ263" i="6" s="1"/>
  <c r="AX263" i="6"/>
  <c r="AY263" i="6" s="1"/>
  <c r="BA263" i="6" s="1"/>
  <c r="AV264" i="6"/>
  <c r="AW264" i="6"/>
  <c r="AZ264" i="6" s="1"/>
  <c r="AX264" i="6"/>
  <c r="AY264" i="6"/>
  <c r="BA264" i="6" s="1"/>
  <c r="AV265" i="6"/>
  <c r="AW265" i="6"/>
  <c r="AX265" i="6"/>
  <c r="AY265" i="6"/>
  <c r="AZ265" i="6"/>
  <c r="BA265" i="6"/>
  <c r="AV266" i="6"/>
  <c r="AW266" i="6" s="1"/>
  <c r="AZ266" i="6" s="1"/>
  <c r="AX266" i="6"/>
  <c r="AY266" i="6"/>
  <c r="BA266" i="6"/>
  <c r="AV267" i="6"/>
  <c r="AW267" i="6"/>
  <c r="AZ267" i="6" s="1"/>
  <c r="AX267" i="6"/>
  <c r="AY267" i="6" s="1"/>
  <c r="BA267" i="6" s="1"/>
  <c r="AV268" i="6"/>
  <c r="AW268" i="6"/>
  <c r="AZ268" i="6" s="1"/>
  <c r="AX268" i="6"/>
  <c r="AY268" i="6"/>
  <c r="BA268" i="6" s="1"/>
  <c r="AV269" i="6"/>
  <c r="AW269" i="6"/>
  <c r="AX269" i="6"/>
  <c r="AY269" i="6"/>
  <c r="AZ269" i="6"/>
  <c r="BA269" i="6"/>
  <c r="AV270" i="6"/>
  <c r="AW270" i="6" s="1"/>
  <c r="AZ270" i="6" s="1"/>
  <c r="AX270" i="6"/>
  <c r="AY270" i="6"/>
  <c r="BA270" i="6"/>
  <c r="AV271" i="6"/>
  <c r="AW271" i="6"/>
  <c r="AZ271" i="6" s="1"/>
  <c r="AX271" i="6"/>
  <c r="AY271" i="6" s="1"/>
  <c r="BA271" i="6" s="1"/>
  <c r="AV272" i="6"/>
  <c r="AW272" i="6"/>
  <c r="AZ272" i="6" s="1"/>
  <c r="AX272" i="6"/>
  <c r="AY272" i="6"/>
  <c r="BA272" i="6" s="1"/>
  <c r="AV273" i="6"/>
  <c r="AW273" i="6"/>
  <c r="AX273" i="6"/>
  <c r="AY273" i="6"/>
  <c r="AZ273" i="6"/>
  <c r="BA273" i="6"/>
  <c r="AV274" i="6"/>
  <c r="AW274" i="6" s="1"/>
  <c r="AZ274" i="6" s="1"/>
  <c r="AX274" i="6"/>
  <c r="AY274" i="6"/>
  <c r="BA274" i="6"/>
  <c r="AV275" i="6"/>
  <c r="AW275" i="6"/>
  <c r="AZ275" i="6" s="1"/>
  <c r="AX275" i="6"/>
  <c r="AY275" i="6" s="1"/>
  <c r="BA275" i="6" s="1"/>
  <c r="AV276" i="6"/>
  <c r="AW276" i="6"/>
  <c r="AZ276" i="6" s="1"/>
  <c r="AX276" i="6"/>
  <c r="AY276" i="6"/>
  <c r="BA276" i="6" s="1"/>
  <c r="AV277" i="6"/>
  <c r="AW277" i="6"/>
  <c r="AX277" i="6"/>
  <c r="AY277" i="6"/>
  <c r="AZ277" i="6"/>
  <c r="BA277" i="6"/>
  <c r="AV278" i="6"/>
  <c r="AW278" i="6" s="1"/>
  <c r="AZ278" i="6" s="1"/>
  <c r="AX278" i="6"/>
  <c r="AY278" i="6"/>
  <c r="BA278" i="6"/>
  <c r="AV279" i="6"/>
  <c r="AW279" i="6"/>
  <c r="AZ279" i="6" s="1"/>
  <c r="AX279" i="6"/>
  <c r="AY279" i="6" s="1"/>
  <c r="BA279" i="6" s="1"/>
  <c r="AV280" i="6"/>
  <c r="AW280" i="6"/>
  <c r="AZ280" i="6" s="1"/>
  <c r="AX280" i="6"/>
  <c r="AY280" i="6"/>
  <c r="BA280" i="6" s="1"/>
  <c r="AV281" i="6"/>
  <c r="AW281" i="6"/>
  <c r="AX281" i="6"/>
  <c r="AY281" i="6"/>
  <c r="AZ281" i="6"/>
  <c r="BA281" i="6"/>
  <c r="AV282" i="6"/>
  <c r="AW282" i="6" s="1"/>
  <c r="AZ282" i="6" s="1"/>
  <c r="AX282" i="6"/>
  <c r="AY282" i="6"/>
  <c r="BA282" i="6"/>
  <c r="AV283" i="6"/>
  <c r="AW283" i="6"/>
  <c r="AZ283" i="6" s="1"/>
  <c r="AX283" i="6"/>
  <c r="AY283" i="6" s="1"/>
  <c r="BA283" i="6" s="1"/>
  <c r="AV284" i="6"/>
  <c r="AW284" i="6"/>
  <c r="AZ284" i="6" s="1"/>
  <c r="AX284" i="6"/>
  <c r="AY284" i="6"/>
  <c r="BA284" i="6" s="1"/>
  <c r="AV285" i="6"/>
  <c r="AW285" i="6"/>
  <c r="AX285" i="6"/>
  <c r="AY285" i="6"/>
  <c r="AZ285" i="6"/>
  <c r="BA285" i="6"/>
  <c r="AV286" i="6"/>
  <c r="AW286" i="6" s="1"/>
  <c r="AZ286" i="6" s="1"/>
  <c r="AX286" i="6"/>
  <c r="AY286" i="6"/>
  <c r="BA286" i="6"/>
  <c r="AV287" i="6"/>
  <c r="AW287" i="6"/>
  <c r="AZ287" i="6" s="1"/>
  <c r="AX287" i="6"/>
  <c r="AY287" i="6" s="1"/>
  <c r="BA287" i="6" s="1"/>
  <c r="AV288" i="6"/>
  <c r="AW288" i="6"/>
  <c r="AZ288" i="6" s="1"/>
  <c r="AX288" i="6"/>
  <c r="AY288" i="6"/>
  <c r="BA288" i="6" s="1"/>
  <c r="AV289" i="6"/>
  <c r="AW289" i="6"/>
  <c r="AX289" i="6"/>
  <c r="AY289" i="6"/>
  <c r="AZ289" i="6"/>
  <c r="BA289" i="6"/>
  <c r="AL210" i="6"/>
  <c r="AM210" i="6"/>
  <c r="AL211" i="6"/>
  <c r="AM211" i="6"/>
  <c r="AL212" i="6"/>
  <c r="AM212" i="6"/>
  <c r="AL213" i="6"/>
  <c r="AM213" i="6"/>
  <c r="AL214" i="6"/>
  <c r="AM214" i="6"/>
  <c r="AL215" i="6"/>
  <c r="AM215" i="6"/>
  <c r="AL216" i="6"/>
  <c r="AM216" i="6"/>
  <c r="AL217" i="6"/>
  <c r="AM217" i="6"/>
  <c r="AL218" i="6"/>
  <c r="AM218" i="6"/>
  <c r="AL219" i="6"/>
  <c r="AM219" i="6"/>
  <c r="AL220" i="6"/>
  <c r="AM220" i="6"/>
  <c r="AL221" i="6"/>
  <c r="AM221" i="6"/>
  <c r="AL222" i="6"/>
  <c r="AM222" i="6"/>
  <c r="AL223" i="6"/>
  <c r="AM223" i="6"/>
  <c r="AL224" i="6"/>
  <c r="AM224" i="6"/>
  <c r="AL225" i="6"/>
  <c r="AM225" i="6"/>
  <c r="AL226" i="6"/>
  <c r="AM226" i="6"/>
  <c r="AL227" i="6"/>
  <c r="AM227" i="6"/>
  <c r="AL228" i="6"/>
  <c r="AM228" i="6"/>
  <c r="AL229" i="6"/>
  <c r="AM229" i="6"/>
  <c r="AL230" i="6"/>
  <c r="AM230" i="6"/>
  <c r="AL231" i="6"/>
  <c r="AM231" i="6"/>
  <c r="AL232" i="6"/>
  <c r="AM232" i="6"/>
  <c r="AL233" i="6"/>
  <c r="AM233" i="6"/>
  <c r="AL234" i="6"/>
  <c r="AM234" i="6"/>
  <c r="AL235" i="6"/>
  <c r="AM235" i="6"/>
  <c r="AL236" i="6"/>
  <c r="AM236" i="6"/>
  <c r="AL237" i="6"/>
  <c r="AM237" i="6"/>
  <c r="AL238" i="6"/>
  <c r="AM238" i="6"/>
  <c r="AL239" i="6"/>
  <c r="AM239" i="6"/>
  <c r="AL240" i="6"/>
  <c r="AM240" i="6"/>
  <c r="AL241" i="6"/>
  <c r="AM241" i="6"/>
  <c r="AL242" i="6"/>
  <c r="AM242" i="6"/>
  <c r="AL243" i="6"/>
  <c r="AM243" i="6"/>
  <c r="AL244" i="6"/>
  <c r="AM244" i="6"/>
  <c r="AL245" i="6"/>
  <c r="AM245" i="6"/>
  <c r="AL246" i="6"/>
  <c r="AM246" i="6"/>
  <c r="AL247" i="6"/>
  <c r="AM247" i="6"/>
  <c r="AL248" i="6"/>
  <c r="AM248" i="6"/>
  <c r="AL249" i="6"/>
  <c r="AM249" i="6"/>
  <c r="AL250" i="6"/>
  <c r="AM250" i="6"/>
  <c r="AL251" i="6"/>
  <c r="AM251" i="6"/>
  <c r="AL252" i="6"/>
  <c r="AM252" i="6"/>
  <c r="AL253" i="6"/>
  <c r="AM253" i="6"/>
  <c r="AL254" i="6"/>
  <c r="AM254" i="6"/>
  <c r="AL255" i="6"/>
  <c r="AM255" i="6"/>
  <c r="AL256" i="6"/>
  <c r="AM256" i="6"/>
  <c r="AL257" i="6"/>
  <c r="AM257" i="6"/>
  <c r="AL258" i="6"/>
  <c r="AM258" i="6"/>
  <c r="AL259" i="6"/>
  <c r="AM259" i="6"/>
  <c r="AL260" i="6"/>
  <c r="AM260" i="6"/>
  <c r="AL261" i="6"/>
  <c r="AM261" i="6"/>
  <c r="AL262" i="6"/>
  <c r="AM262" i="6"/>
  <c r="AL263" i="6"/>
  <c r="AM263" i="6"/>
  <c r="AL264" i="6"/>
  <c r="AM264" i="6"/>
  <c r="AL265" i="6"/>
  <c r="AM265" i="6"/>
  <c r="AL266" i="6"/>
  <c r="AM266" i="6"/>
  <c r="AL267" i="6"/>
  <c r="AM267" i="6"/>
  <c r="AL268" i="6"/>
  <c r="AM268" i="6"/>
  <c r="AL269" i="6"/>
  <c r="AM269" i="6"/>
  <c r="AL270" i="6"/>
  <c r="AM270" i="6"/>
  <c r="AL271" i="6"/>
  <c r="AM271" i="6"/>
  <c r="AL272" i="6"/>
  <c r="AM272" i="6"/>
  <c r="AL273" i="6"/>
  <c r="AM273" i="6"/>
  <c r="AL274" i="6"/>
  <c r="AM274" i="6"/>
  <c r="AL275" i="6"/>
  <c r="AM275" i="6"/>
  <c r="AL276" i="6"/>
  <c r="AM276" i="6"/>
  <c r="AL277" i="6"/>
  <c r="AM277" i="6"/>
  <c r="AL278" i="6"/>
  <c r="AM278" i="6"/>
  <c r="AL279" i="6"/>
  <c r="AM279" i="6"/>
  <c r="AL280" i="6"/>
  <c r="AM280" i="6"/>
  <c r="AL281" i="6"/>
  <c r="AM281" i="6"/>
  <c r="AL282" i="6"/>
  <c r="AM282" i="6"/>
  <c r="AL283" i="6"/>
  <c r="AM283" i="6"/>
  <c r="AL284" i="6"/>
  <c r="AM284" i="6"/>
  <c r="AL285" i="6"/>
  <c r="AM285" i="6"/>
  <c r="AL286" i="6"/>
  <c r="AM286" i="6"/>
  <c r="AL287" i="6"/>
  <c r="AM287" i="6"/>
  <c r="AL288" i="6"/>
  <c r="AM288" i="6"/>
  <c r="AL289" i="6"/>
  <c r="AM289" i="6"/>
  <c r="AL290" i="6"/>
  <c r="AM290" i="6"/>
  <c r="AL291" i="6"/>
  <c r="AM291" i="6"/>
  <c r="AL292" i="6"/>
  <c r="AM292" i="6"/>
  <c r="AF210" i="6"/>
  <c r="AG210" i="6" s="1"/>
  <c r="AH210" i="6"/>
  <c r="AI210" i="6"/>
  <c r="AF211" i="6"/>
  <c r="AG211" i="6"/>
  <c r="AH211" i="6"/>
  <c r="AI211" i="6"/>
  <c r="AF212" i="6"/>
  <c r="AG212" i="6" s="1"/>
  <c r="AH212" i="6"/>
  <c r="AI212" i="6"/>
  <c r="AF213" i="6"/>
  <c r="AG213" i="6"/>
  <c r="AH213" i="6"/>
  <c r="AI213" i="6"/>
  <c r="AF214" i="6"/>
  <c r="AG214" i="6" s="1"/>
  <c r="AH214" i="6"/>
  <c r="AI214" i="6"/>
  <c r="AF215" i="6"/>
  <c r="AG215" i="6"/>
  <c r="AH215" i="6"/>
  <c r="AI215" i="6"/>
  <c r="AF216" i="6"/>
  <c r="AG216" i="6" s="1"/>
  <c r="AH216" i="6"/>
  <c r="AI216" i="6"/>
  <c r="AF217" i="6"/>
  <c r="AG217" i="6"/>
  <c r="AH217" i="6"/>
  <c r="AI217" i="6"/>
  <c r="AF218" i="6"/>
  <c r="AG218" i="6" s="1"/>
  <c r="AH218" i="6"/>
  <c r="AI218" i="6"/>
  <c r="AF219" i="6"/>
  <c r="AG219" i="6"/>
  <c r="AH219" i="6"/>
  <c r="AI219" i="6"/>
  <c r="AF220" i="6"/>
  <c r="AG220" i="6" s="1"/>
  <c r="AH220" i="6"/>
  <c r="AI220" i="6"/>
  <c r="AF221" i="6"/>
  <c r="AG221" i="6"/>
  <c r="AH221" i="6"/>
  <c r="AI221" i="6"/>
  <c r="AF222" i="6"/>
  <c r="AG222" i="6" s="1"/>
  <c r="AH222" i="6"/>
  <c r="AI222" i="6"/>
  <c r="AF223" i="6"/>
  <c r="AG223" i="6"/>
  <c r="AH223" i="6"/>
  <c r="AI223" i="6"/>
  <c r="AF224" i="6"/>
  <c r="AG224" i="6" s="1"/>
  <c r="AH224" i="6"/>
  <c r="AI224" i="6"/>
  <c r="AF225" i="6"/>
  <c r="AG225" i="6"/>
  <c r="AH225" i="6"/>
  <c r="AI225" i="6"/>
  <c r="AF226" i="6"/>
  <c r="AG226" i="6" s="1"/>
  <c r="AH226" i="6"/>
  <c r="AI226" i="6"/>
  <c r="AF227" i="6"/>
  <c r="AG227" i="6"/>
  <c r="AH227" i="6"/>
  <c r="AI227" i="6"/>
  <c r="AF228" i="6"/>
  <c r="AG228" i="6" s="1"/>
  <c r="AH228" i="6"/>
  <c r="AI228" i="6"/>
  <c r="AF229" i="6"/>
  <c r="AG229" i="6"/>
  <c r="AH229" i="6"/>
  <c r="AI229" i="6"/>
  <c r="AF230" i="6"/>
  <c r="AG230" i="6" s="1"/>
  <c r="AH230" i="6"/>
  <c r="AI230" i="6" s="1"/>
  <c r="AF231" i="6"/>
  <c r="AG231" i="6" s="1"/>
  <c r="AH231" i="6"/>
  <c r="AI231" i="6" s="1"/>
  <c r="AF232" i="6"/>
  <c r="AG232" i="6" s="1"/>
  <c r="AH232" i="6"/>
  <c r="AI232" i="6" s="1"/>
  <c r="AF233" i="6"/>
  <c r="AG233" i="6"/>
  <c r="AH233" i="6"/>
  <c r="AI233" i="6"/>
  <c r="AF234" i="6"/>
  <c r="AG234" i="6" s="1"/>
  <c r="AH234" i="6"/>
  <c r="AI234" i="6" s="1"/>
  <c r="AF235" i="6"/>
  <c r="AG235" i="6"/>
  <c r="AH235" i="6"/>
  <c r="AI235" i="6"/>
  <c r="AF236" i="6"/>
  <c r="AG236" i="6" s="1"/>
  <c r="AH236" i="6"/>
  <c r="AI236" i="6"/>
  <c r="AF237" i="6"/>
  <c r="AG237" i="6"/>
  <c r="AH237" i="6"/>
  <c r="AI237" i="6"/>
  <c r="AF238" i="6"/>
  <c r="AG238" i="6" s="1"/>
  <c r="AH238" i="6"/>
  <c r="AI238" i="6"/>
  <c r="AF239" i="6"/>
  <c r="AG239" i="6"/>
  <c r="AH239" i="6"/>
  <c r="AI239" i="6"/>
  <c r="AF240" i="6"/>
  <c r="AG240" i="6" s="1"/>
  <c r="AH240" i="6"/>
  <c r="AI240" i="6"/>
  <c r="AF241" i="6"/>
  <c r="AG241" i="6"/>
  <c r="AH241" i="6"/>
  <c r="AI241" i="6"/>
  <c r="AF242" i="6"/>
  <c r="AG242" i="6" s="1"/>
  <c r="AH242" i="6"/>
  <c r="AI242" i="6"/>
  <c r="AF243" i="6"/>
  <c r="AG243" i="6"/>
  <c r="AH243" i="6"/>
  <c r="AI243" i="6"/>
  <c r="AF244" i="6"/>
  <c r="AG244" i="6" s="1"/>
  <c r="AH244" i="6"/>
  <c r="AI244" i="6"/>
  <c r="AF245" i="6"/>
  <c r="AG245" i="6"/>
  <c r="AH245" i="6"/>
  <c r="AI245" i="6"/>
  <c r="AF246" i="6"/>
  <c r="AG246" i="6" s="1"/>
  <c r="AH246" i="6"/>
  <c r="AI246" i="6"/>
  <c r="AF247" i="6"/>
  <c r="AG247" i="6"/>
  <c r="AH247" i="6"/>
  <c r="AI247" i="6"/>
  <c r="AF248" i="6"/>
  <c r="AG248" i="6" s="1"/>
  <c r="AH248" i="6"/>
  <c r="AI248" i="6"/>
  <c r="AF249" i="6"/>
  <c r="AG249" i="6"/>
  <c r="AH249" i="6"/>
  <c r="AI249" i="6"/>
  <c r="AF250" i="6"/>
  <c r="AG250" i="6" s="1"/>
  <c r="AH250" i="6"/>
  <c r="AI250" i="6"/>
  <c r="AF251" i="6"/>
  <c r="AG251" i="6"/>
  <c r="AH251" i="6"/>
  <c r="AI251" i="6"/>
  <c r="AF252" i="6"/>
  <c r="AG252" i="6" s="1"/>
  <c r="AH252" i="6"/>
  <c r="AI252" i="6"/>
  <c r="AF253" i="6"/>
  <c r="AG253" i="6"/>
  <c r="AH253" i="6"/>
  <c r="AI253" i="6"/>
  <c r="AF254" i="6"/>
  <c r="AG254" i="6" s="1"/>
  <c r="AH254" i="6"/>
  <c r="AI254" i="6"/>
  <c r="AF255" i="6"/>
  <c r="AG255" i="6"/>
  <c r="AH255" i="6"/>
  <c r="AI255" i="6"/>
  <c r="AF256" i="6"/>
  <c r="AG256" i="6" s="1"/>
  <c r="AH256" i="6"/>
  <c r="AI256" i="6"/>
  <c r="AF257" i="6"/>
  <c r="AG257" i="6"/>
  <c r="AH257" i="6"/>
  <c r="AI257" i="6"/>
  <c r="AF258" i="6"/>
  <c r="AG258" i="6" s="1"/>
  <c r="AH258" i="6"/>
  <c r="AI258" i="6"/>
  <c r="AF259" i="6"/>
  <c r="AG259" i="6"/>
  <c r="AH259" i="6"/>
  <c r="AI259" i="6"/>
  <c r="AF260" i="6"/>
  <c r="AG260" i="6" s="1"/>
  <c r="AH260" i="6"/>
  <c r="AI260" i="6"/>
  <c r="AF261" i="6"/>
  <c r="AG261" i="6"/>
  <c r="AH261" i="6"/>
  <c r="AI261" i="6"/>
  <c r="AF262" i="6"/>
  <c r="AG262" i="6" s="1"/>
  <c r="AH262" i="6"/>
  <c r="AI262" i="6"/>
  <c r="AF263" i="6"/>
  <c r="AG263" i="6"/>
  <c r="AH263" i="6"/>
  <c r="AI263" i="6"/>
  <c r="AF264" i="6"/>
  <c r="AG264" i="6" s="1"/>
  <c r="AH264" i="6"/>
  <c r="AI264" i="6"/>
  <c r="AF265" i="6"/>
  <c r="AG265" i="6"/>
  <c r="AH265" i="6"/>
  <c r="AI265" i="6"/>
  <c r="AF266" i="6"/>
  <c r="AG266" i="6" s="1"/>
  <c r="AH266" i="6"/>
  <c r="AI266" i="6"/>
  <c r="AF267" i="6"/>
  <c r="AG267" i="6"/>
  <c r="AH267" i="6"/>
  <c r="AI267" i="6"/>
  <c r="AF268" i="6"/>
  <c r="AG268" i="6" s="1"/>
  <c r="AH268" i="6"/>
  <c r="AI268" i="6"/>
  <c r="AF269" i="6"/>
  <c r="AG269" i="6"/>
  <c r="AH269" i="6"/>
  <c r="AI269" i="6"/>
  <c r="AF270" i="6"/>
  <c r="AG270" i="6" s="1"/>
  <c r="AH270" i="6"/>
  <c r="AI270" i="6"/>
  <c r="AF271" i="6"/>
  <c r="AG271" i="6"/>
  <c r="AH271" i="6"/>
  <c r="AI271" i="6"/>
  <c r="AF272" i="6"/>
  <c r="AG272" i="6" s="1"/>
  <c r="AH272" i="6"/>
  <c r="AI272" i="6"/>
  <c r="AF273" i="6"/>
  <c r="AG273" i="6"/>
  <c r="AH273" i="6"/>
  <c r="AI273" i="6"/>
  <c r="AF274" i="6"/>
  <c r="AG274" i="6" s="1"/>
  <c r="AH274" i="6"/>
  <c r="AI274" i="6"/>
  <c r="AF275" i="6"/>
  <c r="AG275" i="6"/>
  <c r="AH275" i="6"/>
  <c r="AI275" i="6"/>
  <c r="AF276" i="6"/>
  <c r="AG276" i="6" s="1"/>
  <c r="AH276" i="6"/>
  <c r="AI276" i="6"/>
  <c r="AF277" i="6"/>
  <c r="AG277" i="6"/>
  <c r="AH277" i="6"/>
  <c r="AI277" i="6"/>
  <c r="AF278" i="6"/>
  <c r="AG278" i="6" s="1"/>
  <c r="AH278" i="6"/>
  <c r="AI278" i="6"/>
  <c r="AF279" i="6"/>
  <c r="AG279" i="6"/>
  <c r="AH279" i="6"/>
  <c r="AI279" i="6"/>
  <c r="AF280" i="6"/>
  <c r="AG280" i="6" s="1"/>
  <c r="AH280" i="6"/>
  <c r="AI280" i="6"/>
  <c r="AF281" i="6"/>
  <c r="AG281" i="6"/>
  <c r="AH281" i="6"/>
  <c r="AI281" i="6"/>
  <c r="AF282" i="6"/>
  <c r="AG282" i="6" s="1"/>
  <c r="AH282" i="6"/>
  <c r="AI282" i="6"/>
  <c r="AF283" i="6"/>
  <c r="AG283" i="6"/>
  <c r="AH283" i="6"/>
  <c r="AI283" i="6"/>
  <c r="AF284" i="6"/>
  <c r="AG284" i="6" s="1"/>
  <c r="AH284" i="6"/>
  <c r="AI284" i="6"/>
  <c r="AF285" i="6"/>
  <c r="AG285" i="6"/>
  <c r="AH285" i="6"/>
  <c r="AI285" i="6"/>
  <c r="AF286" i="6"/>
  <c r="AG286" i="6" s="1"/>
  <c r="AH286" i="6"/>
  <c r="AI286" i="6"/>
  <c r="AF287" i="6"/>
  <c r="AG287" i="6"/>
  <c r="AH287" i="6"/>
  <c r="AI287" i="6"/>
  <c r="AF288" i="6"/>
  <c r="AG288" i="6" s="1"/>
  <c r="AH288" i="6"/>
  <c r="AI288" i="6"/>
  <c r="V210" i="6"/>
  <c r="W210" i="6"/>
  <c r="V213" i="6"/>
  <c r="W213" i="6"/>
  <c r="W217" i="6"/>
  <c r="V218" i="6"/>
  <c r="W218" i="6"/>
  <c r="V221" i="6"/>
  <c r="W221" i="6"/>
  <c r="W225" i="6"/>
  <c r="V226" i="6"/>
  <c r="W226" i="6"/>
  <c r="W227" i="6"/>
  <c r="V229" i="6"/>
  <c r="W229" i="6"/>
  <c r="W231" i="6"/>
  <c r="W233" i="6"/>
  <c r="V234" i="6"/>
  <c r="W234" i="6"/>
  <c r="V236" i="6"/>
  <c r="W236" i="6"/>
  <c r="V237" i="6"/>
  <c r="W237" i="6"/>
  <c r="V238" i="6"/>
  <c r="W238" i="6"/>
  <c r="V239" i="6"/>
  <c r="W239" i="6"/>
  <c r="V240" i="6"/>
  <c r="W240" i="6"/>
  <c r="V241" i="6"/>
  <c r="W241" i="6"/>
  <c r="V242" i="6"/>
  <c r="W242" i="6"/>
  <c r="V243" i="6"/>
  <c r="W243" i="6"/>
  <c r="V244" i="6"/>
  <c r="W244" i="6"/>
  <c r="V245" i="6"/>
  <c r="W245" i="6"/>
  <c r="V246" i="6"/>
  <c r="W246" i="6"/>
  <c r="V247" i="6"/>
  <c r="W247" i="6"/>
  <c r="V248" i="6"/>
  <c r="W248" i="6"/>
  <c r="V249" i="6"/>
  <c r="W249" i="6"/>
  <c r="V250" i="6"/>
  <c r="W250" i="6"/>
  <c r="V251" i="6"/>
  <c r="W251" i="6"/>
  <c r="V252" i="6"/>
  <c r="W252" i="6"/>
  <c r="V253" i="6"/>
  <c r="W253" i="6"/>
  <c r="V254" i="6"/>
  <c r="W254" i="6"/>
  <c r="V255" i="6"/>
  <c r="W255" i="6"/>
  <c r="V256" i="6"/>
  <c r="W256" i="6"/>
  <c r="V257" i="6"/>
  <c r="W257" i="6"/>
  <c r="V258" i="6"/>
  <c r="W258" i="6"/>
  <c r="V259" i="6"/>
  <c r="W259" i="6"/>
  <c r="V260" i="6"/>
  <c r="W260" i="6"/>
  <c r="V261" i="6"/>
  <c r="W261" i="6"/>
  <c r="V262" i="6"/>
  <c r="W262" i="6"/>
  <c r="V263" i="6"/>
  <c r="W263" i="6"/>
  <c r="V264" i="6"/>
  <c r="W264" i="6"/>
  <c r="V265" i="6"/>
  <c r="W265" i="6"/>
  <c r="V266" i="6"/>
  <c r="W266" i="6"/>
  <c r="V267" i="6"/>
  <c r="W267" i="6"/>
  <c r="V268" i="6"/>
  <c r="W268" i="6"/>
  <c r="V269" i="6"/>
  <c r="W269" i="6"/>
  <c r="V270" i="6"/>
  <c r="W270" i="6"/>
  <c r="V271" i="6"/>
  <c r="W271" i="6"/>
  <c r="V272" i="6"/>
  <c r="W272" i="6"/>
  <c r="V273" i="6"/>
  <c r="W273" i="6"/>
  <c r="V274" i="6"/>
  <c r="W274" i="6"/>
  <c r="V275" i="6"/>
  <c r="W275" i="6"/>
  <c r="V276" i="6"/>
  <c r="W276" i="6"/>
  <c r="V277" i="6"/>
  <c r="W277" i="6"/>
  <c r="V278" i="6"/>
  <c r="W278" i="6"/>
  <c r="V279" i="6"/>
  <c r="W279" i="6"/>
  <c r="V280" i="6"/>
  <c r="W280" i="6"/>
  <c r="V281" i="6"/>
  <c r="W281" i="6"/>
  <c r="V282" i="6"/>
  <c r="W282" i="6"/>
  <c r="V283" i="6"/>
  <c r="W283" i="6"/>
  <c r="V284" i="6"/>
  <c r="W284" i="6"/>
  <c r="V285" i="6"/>
  <c r="W285" i="6"/>
  <c r="V286" i="6"/>
  <c r="W286" i="6"/>
  <c r="V287" i="6"/>
  <c r="W287" i="6"/>
  <c r="P210" i="6"/>
  <c r="Q210" i="6" s="1"/>
  <c r="R210" i="6"/>
  <c r="S210" i="6"/>
  <c r="BA210" i="6" s="1"/>
  <c r="P211" i="6"/>
  <c r="Q211" i="6" s="1"/>
  <c r="R211" i="6"/>
  <c r="W211" i="6" s="1"/>
  <c r="S211" i="6"/>
  <c r="P212" i="6"/>
  <c r="Q212" i="6" s="1"/>
  <c r="R212" i="6"/>
  <c r="W212" i="6" s="1"/>
  <c r="S212" i="6"/>
  <c r="P213" i="6"/>
  <c r="Q213" i="6" s="1"/>
  <c r="R213" i="6"/>
  <c r="S213" i="6"/>
  <c r="BA213" i="6" s="1"/>
  <c r="P214" i="6"/>
  <c r="Q214" i="6" s="1"/>
  <c r="R214" i="6"/>
  <c r="S214" i="6" s="1"/>
  <c r="BA214" i="6" s="1"/>
  <c r="P215" i="6"/>
  <c r="Q215" i="6" s="1"/>
  <c r="R215" i="6"/>
  <c r="W215" i="6" s="1"/>
  <c r="S215" i="6"/>
  <c r="P216" i="6"/>
  <c r="Q216" i="6" s="1"/>
  <c r="R216" i="6"/>
  <c r="W216" i="6" s="1"/>
  <c r="S216" i="6"/>
  <c r="P217" i="6"/>
  <c r="Q217" i="6" s="1"/>
  <c r="AZ217" i="6" s="1"/>
  <c r="R217" i="6"/>
  <c r="S217" i="6" s="1"/>
  <c r="BA217" i="6" s="1"/>
  <c r="P218" i="6"/>
  <c r="Q218" i="6" s="1"/>
  <c r="R218" i="6"/>
  <c r="S218" i="6"/>
  <c r="P219" i="6"/>
  <c r="Q219" i="6" s="1"/>
  <c r="R219" i="6"/>
  <c r="W219" i="6" s="1"/>
  <c r="S219" i="6"/>
  <c r="P220" i="6"/>
  <c r="Q220" i="6" s="1"/>
  <c r="R220" i="6"/>
  <c r="W220" i="6" s="1"/>
  <c r="S220" i="6"/>
  <c r="P221" i="6"/>
  <c r="Q221" i="6" s="1"/>
  <c r="AZ221" i="6" s="1"/>
  <c r="R221" i="6"/>
  <c r="S221" i="6"/>
  <c r="BA221" i="6" s="1"/>
  <c r="P222" i="6"/>
  <c r="Q222" i="6" s="1"/>
  <c r="R222" i="6"/>
  <c r="S222" i="6" s="1"/>
  <c r="BA222" i="6" s="1"/>
  <c r="P223" i="6"/>
  <c r="Q223" i="6" s="1"/>
  <c r="R223" i="6"/>
  <c r="W223" i="6" s="1"/>
  <c r="S223" i="6"/>
  <c r="P224" i="6"/>
  <c r="Q224" i="6" s="1"/>
  <c r="R224" i="6"/>
  <c r="W224" i="6" s="1"/>
  <c r="S224" i="6"/>
  <c r="P225" i="6"/>
  <c r="Q225" i="6" s="1"/>
  <c r="AZ225" i="6" s="1"/>
  <c r="R225" i="6"/>
  <c r="S225" i="6" s="1"/>
  <c r="BA225" i="6" s="1"/>
  <c r="P226" i="6"/>
  <c r="Q226" i="6" s="1"/>
  <c r="R226" i="6"/>
  <c r="S226" i="6"/>
  <c r="P227" i="6"/>
  <c r="Q227" i="6" s="1"/>
  <c r="R227" i="6"/>
  <c r="S227" i="6"/>
  <c r="P228" i="6"/>
  <c r="Q228" i="6" s="1"/>
  <c r="R228" i="6"/>
  <c r="W228" i="6" s="1"/>
  <c r="S228" i="6"/>
  <c r="P229" i="6"/>
  <c r="Q229" i="6" s="1"/>
  <c r="AZ229" i="6" s="1"/>
  <c r="R229" i="6"/>
  <c r="S229" i="6"/>
  <c r="BA229" i="6" s="1"/>
  <c r="P230" i="6"/>
  <c r="Q230" i="6" s="1"/>
  <c r="R230" i="6"/>
  <c r="S230" i="6" s="1"/>
  <c r="P231" i="6"/>
  <c r="Q231" i="6" s="1"/>
  <c r="R231" i="6"/>
  <c r="S231" i="6"/>
  <c r="P232" i="6"/>
  <c r="Q232" i="6" s="1"/>
  <c r="R232" i="6"/>
  <c r="W232" i="6" s="1"/>
  <c r="S232" i="6"/>
  <c r="P233" i="6"/>
  <c r="Q233" i="6" s="1"/>
  <c r="R233" i="6"/>
  <c r="S233" i="6" s="1"/>
  <c r="BA233" i="6" s="1"/>
  <c r="P234" i="6"/>
  <c r="Q234" i="6" s="1"/>
  <c r="R234" i="6"/>
  <c r="S234" i="6"/>
  <c r="P235" i="6"/>
  <c r="Q235" i="6" s="1"/>
  <c r="R235" i="6"/>
  <c r="W235" i="6" s="1"/>
  <c r="S235" i="6"/>
  <c r="P236" i="6"/>
  <c r="Q236" i="6" s="1"/>
  <c r="R236" i="6"/>
  <c r="S236" i="6"/>
  <c r="P237" i="6"/>
  <c r="Q237" i="6" s="1"/>
  <c r="R237" i="6"/>
  <c r="S237" i="6"/>
  <c r="P238" i="6"/>
  <c r="Q238" i="6" s="1"/>
  <c r="R238" i="6"/>
  <c r="S238" i="6"/>
  <c r="P239" i="6"/>
  <c r="Q239" i="6" s="1"/>
  <c r="R239" i="6"/>
  <c r="S239" i="6"/>
  <c r="P240" i="6"/>
  <c r="Q240" i="6" s="1"/>
  <c r="R240" i="6"/>
  <c r="S240" i="6"/>
  <c r="P241" i="6"/>
  <c r="Q241" i="6" s="1"/>
  <c r="R241" i="6"/>
  <c r="S241" i="6"/>
  <c r="P242" i="6"/>
  <c r="Q242" i="6" s="1"/>
  <c r="R242" i="6"/>
  <c r="S242" i="6"/>
  <c r="P243" i="6"/>
  <c r="Q243" i="6" s="1"/>
  <c r="R243" i="6"/>
  <c r="S243" i="6"/>
  <c r="P244" i="6"/>
  <c r="Q244" i="6" s="1"/>
  <c r="R244" i="6"/>
  <c r="S244" i="6"/>
  <c r="P245" i="6"/>
  <c r="Q245" i="6" s="1"/>
  <c r="R245" i="6"/>
  <c r="S245" i="6"/>
  <c r="P246" i="6"/>
  <c r="Q246" i="6" s="1"/>
  <c r="R246" i="6"/>
  <c r="S246" i="6"/>
  <c r="P247" i="6"/>
  <c r="Q247" i="6" s="1"/>
  <c r="R247" i="6"/>
  <c r="S247" i="6"/>
  <c r="P248" i="6"/>
  <c r="Q248" i="6" s="1"/>
  <c r="R248" i="6"/>
  <c r="S248" i="6"/>
  <c r="P249" i="6"/>
  <c r="Q249" i="6" s="1"/>
  <c r="R249" i="6"/>
  <c r="S249" i="6"/>
  <c r="P250" i="6"/>
  <c r="Q250" i="6" s="1"/>
  <c r="R250" i="6"/>
  <c r="S250" i="6"/>
  <c r="P251" i="6"/>
  <c r="Q251" i="6" s="1"/>
  <c r="R251" i="6"/>
  <c r="S251" i="6"/>
  <c r="P252" i="6"/>
  <c r="Q252" i="6" s="1"/>
  <c r="R252" i="6"/>
  <c r="S252" i="6"/>
  <c r="P253" i="6"/>
  <c r="Q253" i="6" s="1"/>
  <c r="R253" i="6"/>
  <c r="S253" i="6"/>
  <c r="P254" i="6"/>
  <c r="Q254" i="6" s="1"/>
  <c r="R254" i="6"/>
  <c r="S254" i="6"/>
  <c r="P255" i="6"/>
  <c r="Q255" i="6" s="1"/>
  <c r="R255" i="6"/>
  <c r="S255" i="6"/>
  <c r="P256" i="6"/>
  <c r="Q256" i="6" s="1"/>
  <c r="R256" i="6"/>
  <c r="S256" i="6"/>
  <c r="P257" i="6"/>
  <c r="Q257" i="6" s="1"/>
  <c r="R257" i="6"/>
  <c r="S257" i="6"/>
  <c r="P258" i="6"/>
  <c r="Q258" i="6" s="1"/>
  <c r="R258" i="6"/>
  <c r="S258" i="6"/>
  <c r="P259" i="6"/>
  <c r="Q259" i="6" s="1"/>
  <c r="R259" i="6"/>
  <c r="S259" i="6"/>
  <c r="P260" i="6"/>
  <c r="Q260" i="6" s="1"/>
  <c r="R260" i="6"/>
  <c r="S260" i="6"/>
  <c r="P261" i="6"/>
  <c r="Q261" i="6" s="1"/>
  <c r="R261" i="6"/>
  <c r="S261" i="6"/>
  <c r="P262" i="6"/>
  <c r="Q262" i="6" s="1"/>
  <c r="R262" i="6"/>
  <c r="S262" i="6"/>
  <c r="P263" i="6"/>
  <c r="Q263" i="6" s="1"/>
  <c r="R263" i="6"/>
  <c r="S263" i="6"/>
  <c r="P264" i="6"/>
  <c r="Q264" i="6" s="1"/>
  <c r="R264" i="6"/>
  <c r="S264" i="6"/>
  <c r="P265" i="6"/>
  <c r="Q265" i="6" s="1"/>
  <c r="R265" i="6"/>
  <c r="S265" i="6"/>
  <c r="P266" i="6"/>
  <c r="Q266" i="6" s="1"/>
  <c r="R266" i="6"/>
  <c r="S266" i="6"/>
  <c r="P267" i="6"/>
  <c r="Q267" i="6" s="1"/>
  <c r="R267" i="6"/>
  <c r="S267" i="6"/>
  <c r="P268" i="6"/>
  <c r="Q268" i="6" s="1"/>
  <c r="R268" i="6"/>
  <c r="S268" i="6"/>
  <c r="P269" i="6"/>
  <c r="Q269" i="6" s="1"/>
  <c r="R269" i="6"/>
  <c r="S269" i="6"/>
  <c r="P270" i="6"/>
  <c r="Q270" i="6" s="1"/>
  <c r="R270" i="6"/>
  <c r="S270" i="6"/>
  <c r="P271" i="6"/>
  <c r="R271" i="6"/>
  <c r="S271" i="6"/>
  <c r="P272" i="6"/>
  <c r="Q272" i="6" s="1"/>
  <c r="R272" i="6"/>
  <c r="S272" i="6"/>
  <c r="P273" i="6"/>
  <c r="R273" i="6"/>
  <c r="S273" i="6"/>
  <c r="P274" i="6"/>
  <c r="Q274" i="6" s="1"/>
  <c r="R274" i="6"/>
  <c r="S274" i="6"/>
  <c r="P275" i="6"/>
  <c r="R275" i="6"/>
  <c r="S275" i="6"/>
  <c r="P276" i="6"/>
  <c r="Q276" i="6" s="1"/>
  <c r="R276" i="6"/>
  <c r="S276" i="6"/>
  <c r="P277" i="6"/>
  <c r="R277" i="6"/>
  <c r="S277" i="6"/>
  <c r="P278" i="6"/>
  <c r="Q278" i="6" s="1"/>
  <c r="R278" i="6"/>
  <c r="S278" i="6"/>
  <c r="P279" i="6"/>
  <c r="R279" i="6"/>
  <c r="S279" i="6"/>
  <c r="P280" i="6"/>
  <c r="Q280" i="6" s="1"/>
  <c r="R280" i="6"/>
  <c r="S280" i="6"/>
  <c r="P281" i="6"/>
  <c r="R281" i="6"/>
  <c r="S281" i="6"/>
  <c r="P282" i="6"/>
  <c r="Q282" i="6" s="1"/>
  <c r="R282" i="6"/>
  <c r="S282" i="6"/>
  <c r="P283" i="6"/>
  <c r="R283" i="6"/>
  <c r="S283" i="6"/>
  <c r="P284" i="6"/>
  <c r="Q284" i="6" s="1"/>
  <c r="R284" i="6"/>
  <c r="S284" i="6"/>
  <c r="P285" i="6"/>
  <c r="R285" i="6"/>
  <c r="S285" i="6"/>
  <c r="P286" i="6"/>
  <c r="Q286" i="6" s="1"/>
  <c r="R286" i="6"/>
  <c r="S286" i="6"/>
  <c r="P287" i="6"/>
  <c r="Q287" i="6" s="1"/>
  <c r="R287" i="6"/>
  <c r="S287" i="6"/>
  <c r="BA230" i="6" l="1"/>
  <c r="BA234" i="6"/>
  <c r="AZ233" i="6"/>
  <c r="BA232" i="6"/>
  <c r="AZ232" i="6"/>
  <c r="BA224" i="6"/>
  <c r="AZ235" i="6"/>
  <c r="BA231" i="6"/>
  <c r="AZ224" i="6"/>
  <c r="AZ222" i="6"/>
  <c r="BA216" i="6"/>
  <c r="W230" i="6"/>
  <c r="W214" i="6"/>
  <c r="V222" i="6"/>
  <c r="BA211" i="6"/>
  <c r="AZ211" i="6"/>
  <c r="V225" i="6"/>
  <c r="BA235" i="6"/>
  <c r="V232" i="6"/>
  <c r="V228" i="6"/>
  <c r="V224" i="6"/>
  <c r="V220" i="6"/>
  <c r="V216" i="6"/>
  <c r="V212" i="6"/>
  <c r="AZ231" i="6"/>
  <c r="BA227" i="6"/>
  <c r="AZ220" i="6"/>
  <c r="AZ218" i="6"/>
  <c r="BA212" i="6"/>
  <c r="W222" i="6"/>
  <c r="V214" i="6"/>
  <c r="AZ230" i="6"/>
  <c r="V233" i="6"/>
  <c r="AZ227" i="6"/>
  <c r="BA223" i="6"/>
  <c r="AZ216" i="6"/>
  <c r="AZ214" i="6"/>
  <c r="V230" i="6"/>
  <c r="V217" i="6"/>
  <c r="V235" i="6"/>
  <c r="V231" i="6"/>
  <c r="V227" i="6"/>
  <c r="V223" i="6"/>
  <c r="V219" i="6"/>
  <c r="V215" i="6"/>
  <c r="V211" i="6"/>
  <c r="AZ223" i="6"/>
  <c r="BA219" i="6"/>
  <c r="AZ212" i="6"/>
  <c r="AZ210" i="6"/>
  <c r="Q285" i="6"/>
  <c r="Q283" i="6"/>
  <c r="Q281" i="6"/>
  <c r="Q279" i="6"/>
  <c r="Q277" i="6"/>
  <c r="Q275" i="6"/>
  <c r="Q273" i="6"/>
  <c r="Q271" i="6"/>
  <c r="AV290" i="6"/>
  <c r="AW290" i="6" s="1"/>
  <c r="AX290" i="6"/>
  <c r="AY290" i="6" s="1"/>
  <c r="AV291" i="6"/>
  <c r="AW291" i="6" s="1"/>
  <c r="AX291" i="6"/>
  <c r="AY291" i="6" s="1"/>
  <c r="AV292" i="6"/>
  <c r="AW292" i="6" s="1"/>
  <c r="AX292" i="6"/>
  <c r="AY292" i="6" s="1"/>
  <c r="AV293" i="6"/>
  <c r="AW293" i="6" s="1"/>
  <c r="AX293" i="6"/>
  <c r="AY293" i="6"/>
  <c r="AV294" i="6"/>
  <c r="AW294" i="6" s="1"/>
  <c r="AX294" i="6"/>
  <c r="AY294" i="6" s="1"/>
  <c r="AV295" i="6"/>
  <c r="AW295" i="6" s="1"/>
  <c r="AX295" i="6"/>
  <c r="AY295" i="6" s="1"/>
  <c r="AV296" i="6"/>
  <c r="AW296" i="6" s="1"/>
  <c r="AX296" i="6"/>
  <c r="AY296" i="6" s="1"/>
  <c r="AV297" i="6"/>
  <c r="AW297" i="6" s="1"/>
  <c r="AX297" i="6"/>
  <c r="AY297" i="6" s="1"/>
  <c r="AV298" i="6"/>
  <c r="AW298" i="6" s="1"/>
  <c r="AX298" i="6"/>
  <c r="AY298" i="6" s="1"/>
  <c r="AV299" i="6"/>
  <c r="AW299" i="6" s="1"/>
  <c r="AX299" i="6"/>
  <c r="AY299" i="6" s="1"/>
  <c r="AV300" i="6"/>
  <c r="AW300" i="6" s="1"/>
  <c r="AX300" i="6"/>
  <c r="AY300" i="6" s="1"/>
  <c r="AV301" i="6"/>
  <c r="AW301" i="6" s="1"/>
  <c r="AX301" i="6"/>
  <c r="AY301" i="6" s="1"/>
  <c r="AV302" i="6"/>
  <c r="AW302" i="6" s="1"/>
  <c r="AX302" i="6"/>
  <c r="AY302" i="6" s="1"/>
  <c r="AV303" i="6"/>
  <c r="AW303" i="6" s="1"/>
  <c r="AX303" i="6"/>
  <c r="AY303" i="6" s="1"/>
  <c r="AV304" i="6"/>
  <c r="AW304" i="6"/>
  <c r="AX304" i="6"/>
  <c r="AY304" i="6" s="1"/>
  <c r="AV305" i="6"/>
  <c r="AW305" i="6" s="1"/>
  <c r="AX305" i="6"/>
  <c r="AY305" i="6" s="1"/>
  <c r="AV306" i="6"/>
  <c r="AW306" i="6" s="1"/>
  <c r="AX306" i="6"/>
  <c r="AY306" i="6" s="1"/>
  <c r="AV307" i="6"/>
  <c r="AW307" i="6" s="1"/>
  <c r="AX307" i="6"/>
  <c r="AY307" i="6" s="1"/>
  <c r="AV308" i="6"/>
  <c r="AW308" i="6"/>
  <c r="AX308" i="6"/>
  <c r="AY308" i="6" s="1"/>
  <c r="AV309" i="6"/>
  <c r="AW309" i="6" s="1"/>
  <c r="AX309" i="6"/>
  <c r="AY309" i="6" s="1"/>
  <c r="AV310" i="6"/>
  <c r="AW310" i="6"/>
  <c r="AX310" i="6"/>
  <c r="AY310" i="6" s="1"/>
  <c r="AV311" i="6"/>
  <c r="AW311" i="6" s="1"/>
  <c r="AX311" i="6"/>
  <c r="AY311" i="6" s="1"/>
  <c r="AV312" i="6"/>
  <c r="AW312" i="6" s="1"/>
  <c r="AX312" i="6"/>
  <c r="AY312" i="6" s="1"/>
  <c r="AV313" i="6"/>
  <c r="AW313" i="6" s="1"/>
  <c r="AX313" i="6"/>
  <c r="AY313" i="6" s="1"/>
  <c r="AV314" i="6"/>
  <c r="AW314" i="6" s="1"/>
  <c r="AX314" i="6"/>
  <c r="AY314" i="6" s="1"/>
  <c r="AV315" i="6"/>
  <c r="AW315" i="6" s="1"/>
  <c r="AX315" i="6"/>
  <c r="AY315" i="6" s="1"/>
  <c r="AV316" i="6"/>
  <c r="AW316" i="6" s="1"/>
  <c r="AX316" i="6"/>
  <c r="AY316" i="6" s="1"/>
  <c r="AV317" i="6"/>
  <c r="AW317" i="6" s="1"/>
  <c r="AX317" i="6"/>
  <c r="AY317" i="6" s="1"/>
  <c r="AV318" i="6"/>
  <c r="AW318" i="6" s="1"/>
  <c r="AX318" i="6"/>
  <c r="AY318" i="6" s="1"/>
  <c r="AV319" i="6"/>
  <c r="AW319" i="6" s="1"/>
  <c r="AX319" i="6"/>
  <c r="AY319" i="6" s="1"/>
  <c r="AV320" i="6"/>
  <c r="AW320" i="6" s="1"/>
  <c r="AX320" i="6"/>
  <c r="AY320" i="6" s="1"/>
  <c r="AV321" i="6"/>
  <c r="AW321" i="6" s="1"/>
  <c r="AX321" i="6"/>
  <c r="AY321" i="6" s="1"/>
  <c r="AV322" i="6"/>
  <c r="AW322" i="6" s="1"/>
  <c r="AX322" i="6"/>
  <c r="AY322" i="6" s="1"/>
  <c r="AV323" i="6"/>
  <c r="AW323" i="6" s="1"/>
  <c r="AX323" i="6"/>
  <c r="AY323" i="6" s="1"/>
  <c r="AV324" i="6"/>
  <c r="AW324" i="6"/>
  <c r="AX324" i="6"/>
  <c r="AY324" i="6" s="1"/>
  <c r="AV325" i="6"/>
  <c r="AW325" i="6" s="1"/>
  <c r="AX325" i="6"/>
  <c r="AY325" i="6"/>
  <c r="AV326" i="6"/>
  <c r="AW326" i="6" s="1"/>
  <c r="AX326" i="6"/>
  <c r="AY326" i="6" s="1"/>
  <c r="AV327" i="6"/>
  <c r="AW327" i="6" s="1"/>
  <c r="AX327" i="6"/>
  <c r="AY327" i="6" s="1"/>
  <c r="AV328" i="6"/>
  <c r="AW328" i="6" s="1"/>
  <c r="AX328" i="6"/>
  <c r="AY328" i="6" s="1"/>
  <c r="AV329" i="6"/>
  <c r="AW329" i="6" s="1"/>
  <c r="AX329" i="6"/>
  <c r="AY329" i="6" s="1"/>
  <c r="AV330" i="6"/>
  <c r="AW330" i="6"/>
  <c r="AX330" i="6"/>
  <c r="AY330" i="6" s="1"/>
  <c r="AV331" i="6"/>
  <c r="AW331" i="6" s="1"/>
  <c r="AX331" i="6"/>
  <c r="AY331" i="6" s="1"/>
  <c r="AV332" i="6"/>
  <c r="AW332" i="6" s="1"/>
  <c r="AX332" i="6"/>
  <c r="AY332" i="6" s="1"/>
  <c r="AV333" i="6"/>
  <c r="AW333" i="6" s="1"/>
  <c r="AX333" i="6"/>
  <c r="AY333" i="6" s="1"/>
  <c r="AV334" i="6"/>
  <c r="AW334" i="6"/>
  <c r="AX334" i="6"/>
  <c r="AY334" i="6" s="1"/>
  <c r="AV335" i="6"/>
  <c r="AW335" i="6" s="1"/>
  <c r="AX335" i="6"/>
  <c r="AY335" i="6" s="1"/>
  <c r="AV336" i="6"/>
  <c r="AW336" i="6"/>
  <c r="AX336" i="6"/>
  <c r="AY336" i="6" s="1"/>
  <c r="AV337" i="6"/>
  <c r="AW337" i="6" s="1"/>
  <c r="AX337" i="6"/>
  <c r="AY337" i="6" s="1"/>
  <c r="AV338" i="6"/>
  <c r="AW338" i="6" s="1"/>
  <c r="AX338" i="6"/>
  <c r="AY338" i="6" s="1"/>
  <c r="AV339" i="6"/>
  <c r="AW339" i="6" s="1"/>
  <c r="AX339" i="6"/>
  <c r="AY339" i="6" s="1"/>
  <c r="AV340" i="6"/>
  <c r="AW340" i="6" s="1"/>
  <c r="AX340" i="6"/>
  <c r="AY340" i="6" s="1"/>
  <c r="AV341" i="6"/>
  <c r="AW341" i="6" s="1"/>
  <c r="AX341" i="6"/>
  <c r="AY341" i="6" s="1"/>
  <c r="AV342" i="6"/>
  <c r="AW342" i="6" s="1"/>
  <c r="AX342" i="6"/>
  <c r="AY342" i="6"/>
  <c r="AV343" i="6"/>
  <c r="AW343" i="6" s="1"/>
  <c r="AX343" i="6"/>
  <c r="AY343" i="6" s="1"/>
  <c r="AV344" i="6"/>
  <c r="AW344" i="6" s="1"/>
  <c r="AX344" i="6"/>
  <c r="AY344" i="6" s="1"/>
  <c r="AV345" i="6"/>
  <c r="AW345" i="6" s="1"/>
  <c r="AX345" i="6"/>
  <c r="AY345" i="6" s="1"/>
  <c r="AV346" i="6"/>
  <c r="AW346" i="6" s="1"/>
  <c r="AX346" i="6"/>
  <c r="AY346" i="6" s="1"/>
  <c r="AV347" i="6"/>
  <c r="AW347" i="6" s="1"/>
  <c r="AX347" i="6"/>
  <c r="AY347" i="6" s="1"/>
  <c r="AV348" i="6"/>
  <c r="AW348" i="6" s="1"/>
  <c r="AX348" i="6"/>
  <c r="AY348" i="6" s="1"/>
  <c r="AV349" i="6"/>
  <c r="AW349" i="6" s="1"/>
  <c r="AX349" i="6"/>
  <c r="AY349" i="6"/>
  <c r="AV350" i="6"/>
  <c r="AW350" i="6" s="1"/>
  <c r="AX350" i="6"/>
  <c r="AY350" i="6" s="1"/>
  <c r="AV351" i="6"/>
  <c r="AW351" i="6" s="1"/>
  <c r="AX351" i="6"/>
  <c r="AY351" i="6" s="1"/>
  <c r="AV352" i="6"/>
  <c r="AW352" i="6" s="1"/>
  <c r="AX352" i="6"/>
  <c r="AY352" i="6" s="1"/>
  <c r="AV353" i="6"/>
  <c r="AW353" i="6" s="1"/>
  <c r="AX353" i="6"/>
  <c r="AY353" i="6" s="1"/>
  <c r="AV354" i="6"/>
  <c r="AW354" i="6"/>
  <c r="AX354" i="6"/>
  <c r="AY354" i="6" s="1"/>
  <c r="AV355" i="6"/>
  <c r="AW355" i="6" s="1"/>
  <c r="AX355" i="6"/>
  <c r="AY355" i="6" s="1"/>
  <c r="AV356" i="6"/>
  <c r="AW356" i="6"/>
  <c r="AX356" i="6"/>
  <c r="AY356" i="6" s="1"/>
  <c r="AV357" i="6"/>
  <c r="AW357" i="6" s="1"/>
  <c r="AX357" i="6"/>
  <c r="AY357" i="6" s="1"/>
  <c r="AV358" i="6"/>
  <c r="AW358" i="6" s="1"/>
  <c r="AX358" i="6"/>
  <c r="AY358" i="6" s="1"/>
  <c r="AV359" i="6"/>
  <c r="AW359" i="6" s="1"/>
  <c r="AX359" i="6"/>
  <c r="AY359" i="6" s="1"/>
  <c r="AV360" i="6"/>
  <c r="AW360" i="6" s="1"/>
  <c r="AX360" i="6"/>
  <c r="AY360" i="6" s="1"/>
  <c r="AV361" i="6"/>
  <c r="AW361" i="6" s="1"/>
  <c r="AX361" i="6"/>
  <c r="AY361" i="6" s="1"/>
  <c r="AV362" i="6"/>
  <c r="AW362" i="6" s="1"/>
  <c r="AX362" i="6"/>
  <c r="AY362" i="6" s="1"/>
  <c r="AV363" i="6"/>
  <c r="AW363" i="6" s="1"/>
  <c r="AX363" i="6"/>
  <c r="AY363" i="6" s="1"/>
  <c r="AV364" i="6"/>
  <c r="AW364" i="6" s="1"/>
  <c r="AX364" i="6"/>
  <c r="AY364" i="6" s="1"/>
  <c r="AV365" i="6"/>
  <c r="AW365" i="6" s="1"/>
  <c r="AX365" i="6"/>
  <c r="AY365" i="6"/>
  <c r="AV366" i="6"/>
  <c r="AW366" i="6" s="1"/>
  <c r="AX366" i="6"/>
  <c r="AY366" i="6" s="1"/>
  <c r="AV367" i="6"/>
  <c r="AW367" i="6" s="1"/>
  <c r="AX367" i="6"/>
  <c r="AY367" i="6" s="1"/>
  <c r="AZ367" i="6"/>
  <c r="AV368" i="6"/>
  <c r="AW368" i="6"/>
  <c r="AX368" i="6"/>
  <c r="AY368" i="6" s="1"/>
  <c r="AV369" i="6"/>
  <c r="AW369" i="6" s="1"/>
  <c r="AX369" i="6"/>
  <c r="AY369" i="6" s="1"/>
  <c r="AV370" i="6"/>
  <c r="AW370" i="6"/>
  <c r="AX370" i="6"/>
  <c r="AY370" i="6" s="1"/>
  <c r="AV371" i="6"/>
  <c r="AW371" i="6" s="1"/>
  <c r="AX371" i="6"/>
  <c r="AY371" i="6" s="1"/>
  <c r="AV372" i="6"/>
  <c r="AW372" i="6"/>
  <c r="AX372" i="6"/>
  <c r="AY372" i="6" s="1"/>
  <c r="AV373" i="6"/>
  <c r="AW373" i="6" s="1"/>
  <c r="AX373" i="6"/>
  <c r="AY373" i="6" s="1"/>
  <c r="AV374" i="6"/>
  <c r="AW374" i="6" s="1"/>
  <c r="AX374" i="6"/>
  <c r="AY374" i="6" s="1"/>
  <c r="AV375" i="6"/>
  <c r="AW375" i="6" s="1"/>
  <c r="AX375" i="6"/>
  <c r="AY375" i="6"/>
  <c r="AV376" i="6"/>
  <c r="AW376" i="6" s="1"/>
  <c r="AX376" i="6"/>
  <c r="AY376" i="6" s="1"/>
  <c r="AV377" i="6"/>
  <c r="AW377" i="6" s="1"/>
  <c r="AX377" i="6"/>
  <c r="AY377" i="6" s="1"/>
  <c r="AV378" i="6"/>
  <c r="AW378" i="6" s="1"/>
  <c r="AX378" i="6"/>
  <c r="AY378" i="6" s="1"/>
  <c r="AV379" i="6"/>
  <c r="AW379" i="6" s="1"/>
  <c r="AX379" i="6"/>
  <c r="AY379" i="6"/>
  <c r="AV380" i="6"/>
  <c r="AW380" i="6" s="1"/>
  <c r="AX380" i="6"/>
  <c r="AY380" i="6" s="1"/>
  <c r="AV381" i="6"/>
  <c r="AW381" i="6" s="1"/>
  <c r="AX381" i="6"/>
  <c r="AY381" i="6" s="1"/>
  <c r="AV382" i="6"/>
  <c r="AW382" i="6" s="1"/>
  <c r="AX382" i="6"/>
  <c r="AY382" i="6" s="1"/>
  <c r="AV383" i="6"/>
  <c r="AW383" i="6" s="1"/>
  <c r="AX383" i="6"/>
  <c r="AY383" i="6" s="1"/>
  <c r="AV384" i="6"/>
  <c r="AW384" i="6" s="1"/>
  <c r="AX384" i="6"/>
  <c r="AY384" i="6" s="1"/>
  <c r="BA384" i="6" s="1"/>
  <c r="AV385" i="6"/>
  <c r="AW385" i="6" s="1"/>
  <c r="AX385" i="6"/>
  <c r="AY385" i="6" s="1"/>
  <c r="AV386" i="6"/>
  <c r="AW386" i="6" s="1"/>
  <c r="AX386" i="6"/>
  <c r="AY386" i="6" s="1"/>
  <c r="AV387" i="6"/>
  <c r="AW387" i="6" s="1"/>
  <c r="AX387" i="6"/>
  <c r="AY387" i="6" s="1"/>
  <c r="AV388" i="6"/>
  <c r="AW388" i="6" s="1"/>
  <c r="AX388" i="6"/>
  <c r="AY388" i="6" s="1"/>
  <c r="AV389" i="6"/>
  <c r="AW389" i="6" s="1"/>
  <c r="AX389" i="6"/>
  <c r="AY389" i="6" s="1"/>
  <c r="AV390" i="6"/>
  <c r="AW390" i="6" s="1"/>
  <c r="AX390" i="6"/>
  <c r="AY390" i="6" s="1"/>
  <c r="AV391" i="6"/>
  <c r="AW391" i="6" s="1"/>
  <c r="AX391" i="6"/>
  <c r="AY391" i="6" s="1"/>
  <c r="AV392" i="6"/>
  <c r="AW392" i="6" s="1"/>
  <c r="AX392" i="6"/>
  <c r="AY392" i="6" s="1"/>
  <c r="AV393" i="6"/>
  <c r="AW393" i="6" s="1"/>
  <c r="AX393" i="6"/>
  <c r="AY393" i="6"/>
  <c r="AV394" i="6"/>
  <c r="AW394" i="6" s="1"/>
  <c r="AX394" i="6"/>
  <c r="AY394" i="6" s="1"/>
  <c r="AV395" i="6"/>
  <c r="AW395" i="6" s="1"/>
  <c r="AX395" i="6"/>
  <c r="AY395" i="6"/>
  <c r="AV396" i="6"/>
  <c r="AW396" i="6" s="1"/>
  <c r="AX396" i="6"/>
  <c r="AY396" i="6" s="1"/>
  <c r="AV397" i="6"/>
  <c r="AW397" i="6" s="1"/>
  <c r="AX397" i="6"/>
  <c r="AY397" i="6" s="1"/>
  <c r="AV398" i="6"/>
  <c r="AW398" i="6" s="1"/>
  <c r="AX398" i="6"/>
  <c r="AY398" i="6" s="1"/>
  <c r="AV399" i="6"/>
  <c r="AW399" i="6" s="1"/>
  <c r="AX399" i="6"/>
  <c r="AY399" i="6" s="1"/>
  <c r="AV400" i="6"/>
  <c r="AW400" i="6" s="1"/>
  <c r="AX400" i="6"/>
  <c r="AY400" i="6" s="1"/>
  <c r="AV401" i="6"/>
  <c r="AW401" i="6" s="1"/>
  <c r="AX401" i="6"/>
  <c r="AY401" i="6" s="1"/>
  <c r="AV402" i="6"/>
  <c r="AW402" i="6" s="1"/>
  <c r="AX402" i="6"/>
  <c r="AY402" i="6" s="1"/>
  <c r="AV403" i="6"/>
  <c r="AW403" i="6" s="1"/>
  <c r="AX403" i="6"/>
  <c r="AY403" i="6"/>
  <c r="AV404" i="6"/>
  <c r="AW404" i="6" s="1"/>
  <c r="AX404" i="6"/>
  <c r="AY404" i="6" s="1"/>
  <c r="AV405" i="6"/>
  <c r="AW405" i="6" s="1"/>
  <c r="AX405" i="6"/>
  <c r="AY405" i="6" s="1"/>
  <c r="AV406" i="6"/>
  <c r="AW406" i="6"/>
  <c r="AX406" i="6"/>
  <c r="AY406" i="6" s="1"/>
  <c r="AV407" i="6"/>
  <c r="AW407" i="6" s="1"/>
  <c r="AX407" i="6"/>
  <c r="AY407" i="6" s="1"/>
  <c r="AV408" i="6"/>
  <c r="AW408" i="6"/>
  <c r="AX408" i="6"/>
  <c r="AY408" i="6" s="1"/>
  <c r="AV409" i="6"/>
  <c r="AW409" i="6" s="1"/>
  <c r="AX409" i="6"/>
  <c r="AY409" i="6" s="1"/>
  <c r="AV410" i="6"/>
  <c r="AW410" i="6" s="1"/>
  <c r="AX410" i="6"/>
  <c r="AY410" i="6" s="1"/>
  <c r="AV411" i="6"/>
  <c r="AW411" i="6" s="1"/>
  <c r="AX411" i="6"/>
  <c r="AY411" i="6" s="1"/>
  <c r="AV412" i="6"/>
  <c r="AW412" i="6" s="1"/>
  <c r="AX412" i="6"/>
  <c r="AY412" i="6" s="1"/>
  <c r="AV413" i="6"/>
  <c r="AW413" i="6" s="1"/>
  <c r="AX413" i="6"/>
  <c r="AY413" i="6" s="1"/>
  <c r="AV414" i="6"/>
  <c r="AW414" i="6" s="1"/>
  <c r="AX414" i="6"/>
  <c r="AY414" i="6" s="1"/>
  <c r="AV415" i="6"/>
  <c r="AW415" i="6" s="1"/>
  <c r="AX415" i="6"/>
  <c r="AY415" i="6"/>
  <c r="AV416" i="6"/>
  <c r="AW416" i="6"/>
  <c r="AX416" i="6"/>
  <c r="AY416" i="6" s="1"/>
  <c r="AV417" i="6"/>
  <c r="AW417" i="6" s="1"/>
  <c r="AX417" i="6"/>
  <c r="AY417" i="6" s="1"/>
  <c r="AV418" i="6"/>
  <c r="AW418" i="6" s="1"/>
  <c r="AX418" i="6"/>
  <c r="AY418" i="6" s="1"/>
  <c r="AV419" i="6"/>
  <c r="AW419" i="6" s="1"/>
  <c r="AX419" i="6"/>
  <c r="AY419" i="6" s="1"/>
  <c r="AV420" i="6"/>
  <c r="AW420" i="6" s="1"/>
  <c r="AX420" i="6"/>
  <c r="AY420" i="6" s="1"/>
  <c r="AV421" i="6"/>
  <c r="AW421" i="6" s="1"/>
  <c r="AX421" i="6"/>
  <c r="AY421" i="6" s="1"/>
  <c r="AV422" i="6"/>
  <c r="AW422" i="6" s="1"/>
  <c r="AX422" i="6"/>
  <c r="AY422" i="6"/>
  <c r="AV423" i="6"/>
  <c r="AW423" i="6" s="1"/>
  <c r="AX423" i="6"/>
  <c r="AY423" i="6" s="1"/>
  <c r="AV424" i="6"/>
  <c r="AW424" i="6" s="1"/>
  <c r="AX424" i="6"/>
  <c r="AY424" i="6" s="1"/>
  <c r="AV425" i="6"/>
  <c r="AW425" i="6" s="1"/>
  <c r="AX425" i="6"/>
  <c r="AY425" i="6"/>
  <c r="AV426" i="6"/>
  <c r="AW426" i="6" s="1"/>
  <c r="AX426" i="6"/>
  <c r="AY426" i="6" s="1"/>
  <c r="AV427" i="6"/>
  <c r="AW427" i="6" s="1"/>
  <c r="AX427" i="6"/>
  <c r="AY427" i="6" s="1"/>
  <c r="AV428" i="6"/>
  <c r="AW428" i="6" s="1"/>
  <c r="AX428" i="6"/>
  <c r="AY428" i="6" s="1"/>
  <c r="AV429" i="6"/>
  <c r="AW429" i="6" s="1"/>
  <c r="AX429" i="6"/>
  <c r="AY429" i="6" s="1"/>
  <c r="AV430" i="6"/>
  <c r="AW430" i="6" s="1"/>
  <c r="AX430" i="6"/>
  <c r="AY430" i="6" s="1"/>
  <c r="AV431" i="6"/>
  <c r="AW431" i="6" s="1"/>
  <c r="AX431" i="6"/>
  <c r="AY431" i="6"/>
  <c r="AV432" i="6"/>
  <c r="AW432" i="6" s="1"/>
  <c r="AX432" i="6"/>
  <c r="AY432" i="6" s="1"/>
  <c r="AV433" i="6"/>
  <c r="AW433" i="6" s="1"/>
  <c r="AX433" i="6"/>
  <c r="AY433" i="6" s="1"/>
  <c r="AV434" i="6"/>
  <c r="AW434" i="6" s="1"/>
  <c r="AX434" i="6"/>
  <c r="AY434" i="6" s="1"/>
  <c r="AV435" i="6"/>
  <c r="AW435" i="6" s="1"/>
  <c r="AX435" i="6"/>
  <c r="AY435" i="6" s="1"/>
  <c r="AV436" i="6"/>
  <c r="AW436" i="6" s="1"/>
  <c r="AX436" i="6"/>
  <c r="AY436" i="6" s="1"/>
  <c r="AV437" i="6"/>
  <c r="AW437" i="6" s="1"/>
  <c r="AX437" i="6"/>
  <c r="AY437" i="6" s="1"/>
  <c r="AV438" i="6"/>
  <c r="AW438" i="6" s="1"/>
  <c r="AX438" i="6"/>
  <c r="AY438" i="6" s="1"/>
  <c r="AV439" i="6"/>
  <c r="AW439" i="6" s="1"/>
  <c r="AX439" i="6"/>
  <c r="AY439" i="6" s="1"/>
  <c r="AV440" i="6"/>
  <c r="AW440" i="6"/>
  <c r="AX440" i="6"/>
  <c r="AY440" i="6"/>
  <c r="AV441" i="6"/>
  <c r="AW441" i="6" s="1"/>
  <c r="AX441" i="6"/>
  <c r="AY441" i="6" s="1"/>
  <c r="AV442" i="6"/>
  <c r="AW442" i="6"/>
  <c r="AX442" i="6"/>
  <c r="AY442" i="6" s="1"/>
  <c r="AV443" i="6"/>
  <c r="AW443" i="6" s="1"/>
  <c r="AX443" i="6"/>
  <c r="AY443" i="6" s="1"/>
  <c r="AV444" i="6"/>
  <c r="AW444" i="6" s="1"/>
  <c r="AX444" i="6"/>
  <c r="AY444" i="6" s="1"/>
  <c r="AV445" i="6"/>
  <c r="AW445" i="6" s="1"/>
  <c r="AX445" i="6"/>
  <c r="AY445" i="6" s="1"/>
  <c r="AV446" i="6"/>
  <c r="AW446" i="6" s="1"/>
  <c r="AX446" i="6"/>
  <c r="AY446" i="6" s="1"/>
  <c r="AV447" i="6"/>
  <c r="AW447" i="6" s="1"/>
  <c r="AX447" i="6"/>
  <c r="AY447" i="6"/>
  <c r="AV448" i="6"/>
  <c r="AW448" i="6" s="1"/>
  <c r="AX448" i="6"/>
  <c r="AY448" i="6"/>
  <c r="AV449" i="6"/>
  <c r="AW449" i="6" s="1"/>
  <c r="AX449" i="6"/>
  <c r="AY449" i="6" s="1"/>
  <c r="AV450" i="6"/>
  <c r="AW450" i="6" s="1"/>
  <c r="AX450" i="6"/>
  <c r="AY450" i="6" s="1"/>
  <c r="AV451" i="6"/>
  <c r="AW451" i="6" s="1"/>
  <c r="AX451" i="6"/>
  <c r="AY451" i="6"/>
  <c r="AV452" i="6"/>
  <c r="AW452" i="6" s="1"/>
  <c r="AX452" i="6"/>
  <c r="AY452" i="6" s="1"/>
  <c r="AV453" i="6"/>
  <c r="AW453" i="6" s="1"/>
  <c r="AX453" i="6"/>
  <c r="AY453" i="6" s="1"/>
  <c r="AV454" i="6"/>
  <c r="AW454" i="6" s="1"/>
  <c r="AX454" i="6"/>
  <c r="AY454" i="6" s="1"/>
  <c r="AV455" i="6"/>
  <c r="AW455" i="6"/>
  <c r="AX455" i="6"/>
  <c r="AY455" i="6"/>
  <c r="AV456" i="6"/>
  <c r="AW456" i="6" s="1"/>
  <c r="AX456" i="6"/>
  <c r="AY456" i="6" s="1"/>
  <c r="AV457" i="6"/>
  <c r="AW457" i="6" s="1"/>
  <c r="AX457" i="6"/>
  <c r="AY457" i="6" s="1"/>
  <c r="AV458" i="6"/>
  <c r="AW458" i="6" s="1"/>
  <c r="AX458" i="6"/>
  <c r="AY458" i="6" s="1"/>
  <c r="AV459" i="6"/>
  <c r="AW459" i="6"/>
  <c r="AX459" i="6"/>
  <c r="AY459" i="6" s="1"/>
  <c r="AV460" i="6"/>
  <c r="AW460" i="6" s="1"/>
  <c r="AX460" i="6"/>
  <c r="AY460" i="6" s="1"/>
  <c r="AV461" i="6"/>
  <c r="AW461" i="6"/>
  <c r="AX461" i="6"/>
  <c r="AY461" i="6" s="1"/>
  <c r="AV462" i="6"/>
  <c r="AW462" i="6" s="1"/>
  <c r="AX462" i="6"/>
  <c r="AY462" i="6" s="1"/>
  <c r="AV463" i="6"/>
  <c r="AW463" i="6" s="1"/>
  <c r="AX463" i="6"/>
  <c r="AY463" i="6"/>
  <c r="AV464" i="6"/>
  <c r="AW464" i="6" s="1"/>
  <c r="AX464" i="6"/>
  <c r="AY464" i="6" s="1"/>
  <c r="AV465" i="6"/>
  <c r="AW465" i="6" s="1"/>
  <c r="AX465" i="6"/>
  <c r="AY465" i="6" s="1"/>
  <c r="AV466" i="6"/>
  <c r="AW466" i="6" s="1"/>
  <c r="AX466" i="6"/>
  <c r="AY466" i="6" s="1"/>
  <c r="AV467" i="6"/>
  <c r="AW467" i="6" s="1"/>
  <c r="AX467" i="6"/>
  <c r="AY467" i="6" s="1"/>
  <c r="AV468" i="6"/>
  <c r="AW468" i="6" s="1"/>
  <c r="AX468" i="6"/>
  <c r="AY468" i="6" s="1"/>
  <c r="AV469" i="6"/>
  <c r="AW469" i="6" s="1"/>
  <c r="AX469" i="6"/>
  <c r="AY469" i="6" s="1"/>
  <c r="AV470" i="6"/>
  <c r="AW470" i="6" s="1"/>
  <c r="AX470" i="6"/>
  <c r="AY470" i="6" s="1"/>
  <c r="AV471" i="6"/>
  <c r="AW471" i="6" s="1"/>
  <c r="AX471" i="6"/>
  <c r="AY471" i="6" s="1"/>
  <c r="AV472" i="6"/>
  <c r="AW472" i="6" s="1"/>
  <c r="AX472" i="6"/>
  <c r="AY472" i="6" s="1"/>
  <c r="AV473" i="6"/>
  <c r="AW473" i="6" s="1"/>
  <c r="AX473" i="6"/>
  <c r="AY473" i="6" s="1"/>
  <c r="AV474" i="6"/>
  <c r="AW474" i="6" s="1"/>
  <c r="AX474" i="6"/>
  <c r="AY474" i="6" s="1"/>
  <c r="AV475" i="6"/>
  <c r="AW475" i="6" s="1"/>
  <c r="AX475" i="6"/>
  <c r="AY475" i="6" s="1"/>
  <c r="AV476" i="6"/>
  <c r="AW476" i="6" s="1"/>
  <c r="AX476" i="6"/>
  <c r="AY476" i="6" s="1"/>
  <c r="AV477" i="6"/>
  <c r="AW477" i="6"/>
  <c r="AX477" i="6"/>
  <c r="AY477" i="6" s="1"/>
  <c r="AV478" i="6"/>
  <c r="AW478" i="6" s="1"/>
  <c r="AX478" i="6"/>
  <c r="AY478" i="6" s="1"/>
  <c r="AV479" i="6"/>
  <c r="AW479" i="6" s="1"/>
  <c r="AX479" i="6"/>
  <c r="AY479" i="6" s="1"/>
  <c r="AV480" i="6"/>
  <c r="AW480" i="6"/>
  <c r="AX480" i="6"/>
  <c r="AY480" i="6" s="1"/>
  <c r="AV481" i="6"/>
  <c r="AW481" i="6" s="1"/>
  <c r="AX481" i="6"/>
  <c r="AY481" i="6" s="1"/>
  <c r="AV482" i="6"/>
  <c r="AW482" i="6" s="1"/>
  <c r="AX482" i="6"/>
  <c r="AY482" i="6" s="1"/>
  <c r="AV483" i="6"/>
  <c r="AW483" i="6" s="1"/>
  <c r="AX483" i="6"/>
  <c r="AY483" i="6" s="1"/>
  <c r="AV484" i="6"/>
  <c r="AW484" i="6" s="1"/>
  <c r="AX484" i="6"/>
  <c r="AY484" i="6" s="1"/>
  <c r="AV485" i="6"/>
  <c r="AW485" i="6" s="1"/>
  <c r="AX485" i="6"/>
  <c r="AY485" i="6" s="1"/>
  <c r="AV486" i="6"/>
  <c r="AW486" i="6" s="1"/>
  <c r="AX486" i="6"/>
  <c r="AY486" i="6" s="1"/>
  <c r="AV487" i="6"/>
  <c r="AW487" i="6" s="1"/>
  <c r="AX487" i="6"/>
  <c r="AY487" i="6" s="1"/>
  <c r="AV488" i="6"/>
  <c r="AW488" i="6" s="1"/>
  <c r="AX488" i="6"/>
  <c r="AY488" i="6" s="1"/>
  <c r="AV489" i="6"/>
  <c r="AW489" i="6" s="1"/>
  <c r="AX489" i="6"/>
  <c r="AY489" i="6" s="1"/>
  <c r="AV490" i="6"/>
  <c r="AW490" i="6" s="1"/>
  <c r="AX490" i="6"/>
  <c r="AY490" i="6" s="1"/>
  <c r="AV491" i="6"/>
  <c r="AW491" i="6" s="1"/>
  <c r="AX491" i="6"/>
  <c r="AY491" i="6" s="1"/>
  <c r="AV492" i="6"/>
  <c r="AW492" i="6" s="1"/>
  <c r="AX492" i="6"/>
  <c r="AY492" i="6" s="1"/>
  <c r="AV493" i="6"/>
  <c r="AW493" i="6" s="1"/>
  <c r="AX493" i="6"/>
  <c r="AY493" i="6" s="1"/>
  <c r="AV494" i="6"/>
  <c r="AW494" i="6" s="1"/>
  <c r="AX494" i="6"/>
  <c r="AY494" i="6" s="1"/>
  <c r="AV495" i="6"/>
  <c r="AW495" i="6" s="1"/>
  <c r="AX495" i="6"/>
  <c r="AY495" i="6" s="1"/>
  <c r="BA495" i="6" s="1"/>
  <c r="AV496" i="6"/>
  <c r="AW496" i="6"/>
  <c r="AX496" i="6"/>
  <c r="AY496" i="6" s="1"/>
  <c r="AV497" i="6"/>
  <c r="AW497" i="6" s="1"/>
  <c r="AX497" i="6"/>
  <c r="AY497" i="6"/>
  <c r="AV498" i="6"/>
  <c r="AW498" i="6" s="1"/>
  <c r="AX498" i="6"/>
  <c r="AY498" i="6"/>
  <c r="BA498" i="6" s="1"/>
  <c r="AV499" i="6"/>
  <c r="AW499" i="6" s="1"/>
  <c r="AX499" i="6"/>
  <c r="AY499" i="6" s="1"/>
  <c r="AV500" i="6"/>
  <c r="AW500" i="6" s="1"/>
  <c r="AX500" i="6"/>
  <c r="AY500" i="6" s="1"/>
  <c r="AV501" i="6"/>
  <c r="AW501" i="6" s="1"/>
  <c r="AX501" i="6"/>
  <c r="AY501" i="6"/>
  <c r="BA501" i="6" s="1"/>
  <c r="AV502" i="6"/>
  <c r="AW502" i="6" s="1"/>
  <c r="AX502" i="6"/>
  <c r="AY502" i="6" s="1"/>
  <c r="AV503" i="6"/>
  <c r="AW503" i="6" s="1"/>
  <c r="AX503" i="6"/>
  <c r="AY503" i="6" s="1"/>
  <c r="AV504" i="6"/>
  <c r="AW504" i="6" s="1"/>
  <c r="AX504" i="6"/>
  <c r="AY504" i="6" s="1"/>
  <c r="AV505" i="6"/>
  <c r="AW505" i="6" s="1"/>
  <c r="AX505" i="6"/>
  <c r="AY505" i="6" s="1"/>
  <c r="AV506" i="6"/>
  <c r="AW506" i="6"/>
  <c r="AX506" i="6"/>
  <c r="AY506" i="6" s="1"/>
  <c r="AV507" i="6"/>
  <c r="AW507" i="6" s="1"/>
  <c r="AX507" i="6"/>
  <c r="AY507" i="6" s="1"/>
  <c r="AV508" i="6"/>
  <c r="AW508" i="6" s="1"/>
  <c r="AX508" i="6"/>
  <c r="AY508" i="6" s="1"/>
  <c r="AV509" i="6"/>
  <c r="AW509" i="6"/>
  <c r="AZ509" i="6" s="1"/>
  <c r="AX509" i="6"/>
  <c r="AY509" i="6" s="1"/>
  <c r="AV510" i="6"/>
  <c r="AW510" i="6" s="1"/>
  <c r="AX510" i="6"/>
  <c r="AY510" i="6" s="1"/>
  <c r="AV511" i="6"/>
  <c r="AW511" i="6" s="1"/>
  <c r="AX511" i="6"/>
  <c r="AY511" i="6" s="1"/>
  <c r="AV512" i="6"/>
  <c r="AW512" i="6"/>
  <c r="AX512" i="6"/>
  <c r="AY512" i="6" s="1"/>
  <c r="BA512" i="6" s="1"/>
  <c r="AV513" i="6"/>
  <c r="AW513" i="6" s="1"/>
  <c r="AX513" i="6"/>
  <c r="AY513" i="6" s="1"/>
  <c r="AV514" i="6"/>
  <c r="AW514" i="6" s="1"/>
  <c r="AX514" i="6"/>
  <c r="AY514" i="6" s="1"/>
  <c r="AV515" i="6"/>
  <c r="AW515" i="6" s="1"/>
  <c r="AX515" i="6"/>
  <c r="AY515" i="6"/>
  <c r="AZ515" i="6"/>
  <c r="AV516" i="6"/>
  <c r="AW516" i="6" s="1"/>
  <c r="AX516" i="6"/>
  <c r="AY516" i="6" s="1"/>
  <c r="AV517" i="6"/>
  <c r="AW517" i="6" s="1"/>
  <c r="AX517" i="6"/>
  <c r="AY517" i="6"/>
  <c r="AV518" i="6"/>
  <c r="AW518" i="6" s="1"/>
  <c r="AX518" i="6"/>
  <c r="AY518" i="6"/>
  <c r="BA518" i="6" s="1"/>
  <c r="AV519" i="6"/>
  <c r="AW519" i="6" s="1"/>
  <c r="AX519" i="6"/>
  <c r="AY519" i="6" s="1"/>
  <c r="AV520" i="6"/>
  <c r="AW520" i="6" s="1"/>
  <c r="AX520" i="6"/>
  <c r="AY520" i="6" s="1"/>
  <c r="AV521" i="6"/>
  <c r="AW521" i="6" s="1"/>
  <c r="AX521" i="6"/>
  <c r="AY521" i="6"/>
  <c r="AV522" i="6"/>
  <c r="AW522" i="6" s="1"/>
  <c r="AX522" i="6"/>
  <c r="AY522" i="6" s="1"/>
  <c r="AV523" i="6"/>
  <c r="AW523" i="6" s="1"/>
  <c r="AX523" i="6"/>
  <c r="AY523" i="6"/>
  <c r="AZ523" i="6"/>
  <c r="AV524" i="6"/>
  <c r="AW524" i="6" s="1"/>
  <c r="AX524" i="6"/>
  <c r="AY524" i="6" s="1"/>
  <c r="AV525" i="6"/>
  <c r="AW525" i="6" s="1"/>
  <c r="AX525" i="6"/>
  <c r="AY525" i="6" s="1"/>
  <c r="AV526" i="6"/>
  <c r="AW526" i="6" s="1"/>
  <c r="AX526" i="6"/>
  <c r="AY526" i="6"/>
  <c r="AV527" i="6"/>
  <c r="AW527" i="6" s="1"/>
  <c r="AX527" i="6"/>
  <c r="AY527" i="6"/>
  <c r="AV528" i="6"/>
  <c r="AW528" i="6" s="1"/>
  <c r="AX528" i="6"/>
  <c r="AY528" i="6" s="1"/>
  <c r="AV529" i="6"/>
  <c r="AW529" i="6"/>
  <c r="AX529" i="6"/>
  <c r="AY529" i="6" s="1"/>
  <c r="AV530" i="6"/>
  <c r="AW530" i="6" s="1"/>
  <c r="AX530" i="6"/>
  <c r="AY530" i="6" s="1"/>
  <c r="AV531" i="6"/>
  <c r="AW531" i="6" s="1"/>
  <c r="AX531" i="6"/>
  <c r="AY531" i="6"/>
  <c r="AV532" i="6"/>
  <c r="AW532" i="6" s="1"/>
  <c r="AX532" i="6"/>
  <c r="AY532" i="6" s="1"/>
  <c r="AV533" i="6"/>
  <c r="AW533" i="6" s="1"/>
  <c r="AX533" i="6"/>
  <c r="AY533" i="6" s="1"/>
  <c r="AV534" i="6"/>
  <c r="AW534" i="6"/>
  <c r="AX534" i="6"/>
  <c r="AY534" i="6"/>
  <c r="AV535" i="6"/>
  <c r="AW535" i="6" s="1"/>
  <c r="AX535" i="6"/>
  <c r="AY535" i="6" s="1"/>
  <c r="AV536" i="6"/>
  <c r="AW536" i="6" s="1"/>
  <c r="AX536" i="6"/>
  <c r="AY536" i="6" s="1"/>
  <c r="AV537" i="6"/>
  <c r="AW537" i="6"/>
  <c r="AX537" i="6"/>
  <c r="AY537" i="6" s="1"/>
  <c r="AV538" i="6"/>
  <c r="AW538" i="6"/>
  <c r="AX538" i="6"/>
  <c r="AY538" i="6" s="1"/>
  <c r="AV539" i="6"/>
  <c r="AW539" i="6" s="1"/>
  <c r="AX539" i="6"/>
  <c r="AY539" i="6" s="1"/>
  <c r="AV540" i="6"/>
  <c r="AW540" i="6" s="1"/>
  <c r="AX540" i="6"/>
  <c r="AY540" i="6" s="1"/>
  <c r="AV541" i="6"/>
  <c r="AW541" i="6"/>
  <c r="AX541" i="6"/>
  <c r="AY541" i="6" s="1"/>
  <c r="AV542" i="6"/>
  <c r="AW542" i="6"/>
  <c r="AX542" i="6"/>
  <c r="AY542" i="6"/>
  <c r="AV543" i="6"/>
  <c r="AW543" i="6" s="1"/>
  <c r="AX543" i="6"/>
  <c r="AY543" i="6" s="1"/>
  <c r="AV544" i="6"/>
  <c r="AW544" i="6" s="1"/>
  <c r="AX544" i="6"/>
  <c r="AY544" i="6" s="1"/>
  <c r="AV545" i="6"/>
  <c r="AW545" i="6"/>
  <c r="AX545" i="6"/>
  <c r="AY545" i="6" s="1"/>
  <c r="AV546" i="6"/>
  <c r="AW546" i="6"/>
  <c r="AX546" i="6"/>
  <c r="AY546" i="6" s="1"/>
  <c r="AV547" i="6"/>
  <c r="AW547" i="6" s="1"/>
  <c r="AX547" i="6"/>
  <c r="AY547" i="6"/>
  <c r="BA547" i="6" s="1"/>
  <c r="AV548" i="6"/>
  <c r="AW548" i="6" s="1"/>
  <c r="AX548" i="6"/>
  <c r="AY548" i="6" s="1"/>
  <c r="AV549" i="6"/>
  <c r="AW549" i="6" s="1"/>
  <c r="AX549" i="6"/>
  <c r="AY549" i="6" s="1"/>
  <c r="AV550" i="6"/>
  <c r="AW550" i="6"/>
  <c r="AX550" i="6"/>
  <c r="AY550" i="6"/>
  <c r="AV551" i="6"/>
  <c r="AW551" i="6" s="1"/>
  <c r="AX551" i="6"/>
  <c r="AY551" i="6"/>
  <c r="BA551" i="6" s="1"/>
  <c r="AV552" i="6"/>
  <c r="AW552" i="6" s="1"/>
  <c r="AX552" i="6"/>
  <c r="AY552" i="6" s="1"/>
  <c r="AV553" i="6"/>
  <c r="AW553" i="6"/>
  <c r="AX553" i="6"/>
  <c r="AY553" i="6" s="1"/>
  <c r="AV554" i="6"/>
  <c r="AW554" i="6" s="1"/>
  <c r="AX554" i="6"/>
  <c r="AY554" i="6" s="1"/>
  <c r="AV555" i="6"/>
  <c r="AW555" i="6" s="1"/>
  <c r="AX555" i="6"/>
  <c r="AY555" i="6" s="1"/>
  <c r="AV556" i="6"/>
  <c r="AW556" i="6" s="1"/>
  <c r="AX556" i="6"/>
  <c r="AY556" i="6" s="1"/>
  <c r="AV557" i="6"/>
  <c r="AW557" i="6" s="1"/>
  <c r="AX557" i="6"/>
  <c r="AY557" i="6" s="1"/>
  <c r="AV558" i="6"/>
  <c r="AW558" i="6" s="1"/>
  <c r="AX558" i="6"/>
  <c r="AY558" i="6" s="1"/>
  <c r="AZ558" i="6"/>
  <c r="AV559" i="6"/>
  <c r="AW559" i="6" s="1"/>
  <c r="AX559" i="6"/>
  <c r="AY559" i="6"/>
  <c r="AV560" i="6"/>
  <c r="AW560" i="6" s="1"/>
  <c r="AX560" i="6"/>
  <c r="AY560" i="6" s="1"/>
  <c r="AV561" i="6"/>
  <c r="AW561" i="6" s="1"/>
  <c r="AX561" i="6"/>
  <c r="AY561" i="6" s="1"/>
  <c r="AV562" i="6"/>
  <c r="AW562" i="6" s="1"/>
  <c r="AX562" i="6"/>
  <c r="AY562" i="6"/>
  <c r="AV563" i="6"/>
  <c r="AW563" i="6" s="1"/>
  <c r="AX563" i="6"/>
  <c r="AY563" i="6" s="1"/>
  <c r="AV564" i="6"/>
  <c r="AW564" i="6" s="1"/>
  <c r="AX564" i="6"/>
  <c r="AY564" i="6" s="1"/>
  <c r="AV565" i="6"/>
  <c r="AW565" i="6"/>
  <c r="AX565" i="6"/>
  <c r="AY565" i="6" s="1"/>
  <c r="AV566" i="6"/>
  <c r="AW566" i="6" s="1"/>
  <c r="AX566" i="6"/>
  <c r="AY566" i="6"/>
  <c r="AV567" i="6"/>
  <c r="AW567" i="6" s="1"/>
  <c r="AX567" i="6"/>
  <c r="AY567" i="6"/>
  <c r="AV568" i="6"/>
  <c r="AW568" i="6" s="1"/>
  <c r="AX568" i="6"/>
  <c r="AY568" i="6" s="1"/>
  <c r="AV569" i="6"/>
  <c r="AW569" i="6" s="1"/>
  <c r="AX569" i="6"/>
  <c r="AY569" i="6" s="1"/>
  <c r="AV570" i="6"/>
  <c r="AW570" i="6" s="1"/>
  <c r="AX570" i="6"/>
  <c r="AY570" i="6"/>
  <c r="AV571" i="6"/>
  <c r="AW571" i="6" s="1"/>
  <c r="AX571" i="6"/>
  <c r="AY571" i="6" s="1"/>
  <c r="AV572" i="6"/>
  <c r="AW572" i="6" s="1"/>
  <c r="AX572" i="6"/>
  <c r="AY572" i="6" s="1"/>
  <c r="AV573" i="6"/>
  <c r="AW573" i="6"/>
  <c r="AX573" i="6"/>
  <c r="AY573" i="6" s="1"/>
  <c r="AV574" i="6"/>
  <c r="AW574" i="6" s="1"/>
  <c r="AX574" i="6"/>
  <c r="AY574" i="6"/>
  <c r="AV575" i="6"/>
  <c r="AW575" i="6" s="1"/>
  <c r="AX575" i="6"/>
  <c r="AY575" i="6" s="1"/>
  <c r="AV576" i="6"/>
  <c r="AW576" i="6" s="1"/>
  <c r="AX576" i="6"/>
  <c r="AY576" i="6" s="1"/>
  <c r="AV577" i="6"/>
  <c r="AW577" i="6" s="1"/>
  <c r="AX577" i="6"/>
  <c r="AY577" i="6" s="1"/>
  <c r="AV578" i="6"/>
  <c r="AW578" i="6"/>
  <c r="AX578" i="6"/>
  <c r="AY578" i="6" s="1"/>
  <c r="AV579" i="6"/>
  <c r="AW579" i="6" s="1"/>
  <c r="AX579" i="6"/>
  <c r="AY579" i="6" s="1"/>
  <c r="AV580" i="6"/>
  <c r="AW580" i="6" s="1"/>
  <c r="AX580" i="6"/>
  <c r="AY580" i="6" s="1"/>
  <c r="AV581" i="6"/>
  <c r="AW581" i="6" s="1"/>
  <c r="AX581" i="6"/>
  <c r="AY581" i="6" s="1"/>
  <c r="AV582" i="6"/>
  <c r="AW582" i="6" s="1"/>
  <c r="AX582" i="6"/>
  <c r="AY582" i="6"/>
  <c r="AV583" i="6"/>
  <c r="AW583" i="6" s="1"/>
  <c r="AX583" i="6"/>
  <c r="AY583" i="6" s="1"/>
  <c r="AV584" i="6"/>
  <c r="AW584" i="6" s="1"/>
  <c r="AX584" i="6"/>
  <c r="AY584" i="6" s="1"/>
  <c r="AV585" i="6"/>
  <c r="AW585" i="6"/>
  <c r="AX585" i="6"/>
  <c r="AY585" i="6" s="1"/>
  <c r="AV586" i="6"/>
  <c r="AW586" i="6"/>
  <c r="AX586" i="6"/>
  <c r="AY586" i="6" s="1"/>
  <c r="AV587" i="6"/>
  <c r="AW587" i="6" s="1"/>
  <c r="AX587" i="6"/>
  <c r="AY587" i="6"/>
  <c r="AV588" i="6"/>
  <c r="AW588" i="6" s="1"/>
  <c r="AX588" i="6"/>
  <c r="AY588" i="6" s="1"/>
  <c r="AV589" i="6"/>
  <c r="AW589" i="6" s="1"/>
  <c r="AX589" i="6"/>
  <c r="AY589" i="6"/>
  <c r="AV590" i="6"/>
  <c r="AW590" i="6"/>
  <c r="AZ590" i="6" s="1"/>
  <c r="AX590" i="6"/>
  <c r="AY590" i="6" s="1"/>
  <c r="AV591" i="6"/>
  <c r="AW591" i="6" s="1"/>
  <c r="AX591" i="6"/>
  <c r="AY591" i="6" s="1"/>
  <c r="AV592" i="6"/>
  <c r="AW592" i="6" s="1"/>
  <c r="AX592" i="6"/>
  <c r="AY592" i="6" s="1"/>
  <c r="AV593" i="6"/>
  <c r="AW593" i="6" s="1"/>
  <c r="AX593" i="6"/>
  <c r="AY593" i="6" s="1"/>
  <c r="AV594" i="6"/>
  <c r="AW594" i="6"/>
  <c r="AX594" i="6"/>
  <c r="AY594" i="6" s="1"/>
  <c r="AV595" i="6"/>
  <c r="AW595" i="6" s="1"/>
  <c r="AX595" i="6"/>
  <c r="AY595" i="6" s="1"/>
  <c r="AV596" i="6"/>
  <c r="AW596" i="6" s="1"/>
  <c r="AX596" i="6"/>
  <c r="AY596" i="6" s="1"/>
  <c r="AV597" i="6"/>
  <c r="AW597" i="6"/>
  <c r="AX597" i="6"/>
  <c r="AY597" i="6" s="1"/>
  <c r="AV598" i="6"/>
  <c r="AW598" i="6" s="1"/>
  <c r="AX598" i="6"/>
  <c r="AY598" i="6" s="1"/>
  <c r="AV599" i="6"/>
  <c r="AW599" i="6" s="1"/>
  <c r="AX599" i="6"/>
  <c r="AY599" i="6"/>
  <c r="AV600" i="6"/>
  <c r="AW600" i="6" s="1"/>
  <c r="AX600" i="6"/>
  <c r="AY600" i="6" s="1"/>
  <c r="AV601" i="6"/>
  <c r="AW601" i="6" s="1"/>
  <c r="AX601" i="6"/>
  <c r="AY601" i="6" s="1"/>
  <c r="AV602" i="6"/>
  <c r="AW602" i="6" s="1"/>
  <c r="AX602" i="6"/>
  <c r="AY602" i="6"/>
  <c r="AV603" i="6"/>
  <c r="AW603" i="6" s="1"/>
  <c r="AX603" i="6"/>
  <c r="AY603" i="6" s="1"/>
  <c r="AV604" i="6"/>
  <c r="AW604" i="6" s="1"/>
  <c r="AX604" i="6"/>
  <c r="AY604" i="6" s="1"/>
  <c r="AV605" i="6"/>
  <c r="AW605" i="6" s="1"/>
  <c r="AX605" i="6"/>
  <c r="AY605" i="6"/>
  <c r="AV606" i="6"/>
  <c r="AW606" i="6" s="1"/>
  <c r="AX606" i="6"/>
  <c r="AY606" i="6" s="1"/>
  <c r="AV607" i="6"/>
  <c r="AW607" i="6" s="1"/>
  <c r="AX607" i="6"/>
  <c r="AY607" i="6"/>
  <c r="AV608" i="6"/>
  <c r="AW608" i="6" s="1"/>
  <c r="AX608" i="6"/>
  <c r="AY608" i="6" s="1"/>
  <c r="AV609" i="6"/>
  <c r="AW609" i="6" s="1"/>
  <c r="AX609" i="6"/>
  <c r="AY609" i="6" s="1"/>
  <c r="AV610" i="6"/>
  <c r="AW610" i="6"/>
  <c r="AX610" i="6"/>
  <c r="AY610" i="6" s="1"/>
  <c r="AV611" i="6"/>
  <c r="AW611" i="6" s="1"/>
  <c r="AX611" i="6"/>
  <c r="AY611" i="6" s="1"/>
  <c r="AV612" i="6"/>
  <c r="AW612" i="6" s="1"/>
  <c r="AX612" i="6"/>
  <c r="AY612" i="6" s="1"/>
  <c r="AV613" i="6"/>
  <c r="AW613" i="6" s="1"/>
  <c r="AX613" i="6"/>
  <c r="AY613" i="6"/>
  <c r="BA613" i="6" s="1"/>
  <c r="AV614" i="6"/>
  <c r="AW614" i="6" s="1"/>
  <c r="AX614" i="6"/>
  <c r="AY614" i="6" s="1"/>
  <c r="AV615" i="6"/>
  <c r="AW615" i="6" s="1"/>
  <c r="AX615" i="6"/>
  <c r="AY615" i="6" s="1"/>
  <c r="AV616" i="6"/>
  <c r="AW616" i="6" s="1"/>
  <c r="AX616" i="6"/>
  <c r="AY616" i="6" s="1"/>
  <c r="AV617" i="6"/>
  <c r="AW617" i="6" s="1"/>
  <c r="AX617" i="6"/>
  <c r="AY617" i="6" s="1"/>
  <c r="AV618" i="6"/>
  <c r="AW618" i="6" s="1"/>
  <c r="AX618" i="6"/>
  <c r="AY618" i="6" s="1"/>
  <c r="AV619" i="6"/>
  <c r="AW619" i="6" s="1"/>
  <c r="AX619" i="6"/>
  <c r="AY619" i="6" s="1"/>
  <c r="AV620" i="6"/>
  <c r="AW620" i="6"/>
  <c r="AZ620" i="6" s="1"/>
  <c r="AX620" i="6"/>
  <c r="AY620" i="6" s="1"/>
  <c r="AV621" i="6"/>
  <c r="AW621" i="6" s="1"/>
  <c r="AX621" i="6"/>
  <c r="AY621" i="6"/>
  <c r="AV622" i="6"/>
  <c r="AW622" i="6"/>
  <c r="AZ622" i="6" s="1"/>
  <c r="AX622" i="6"/>
  <c r="AY622" i="6" s="1"/>
  <c r="AV623" i="6"/>
  <c r="AW623" i="6" s="1"/>
  <c r="AX623" i="6"/>
  <c r="AY623" i="6" s="1"/>
  <c r="AV624" i="6"/>
  <c r="AW624" i="6"/>
  <c r="AX624" i="6"/>
  <c r="AY624" i="6" s="1"/>
  <c r="AV625" i="6"/>
  <c r="AW625" i="6" s="1"/>
  <c r="AX625" i="6"/>
  <c r="AY625" i="6" s="1"/>
  <c r="AV626" i="6"/>
  <c r="AW626" i="6"/>
  <c r="AX626" i="6"/>
  <c r="AY626" i="6" s="1"/>
  <c r="AV627" i="6"/>
  <c r="AW627" i="6" s="1"/>
  <c r="AX627" i="6"/>
  <c r="AY627" i="6" s="1"/>
  <c r="AV628" i="6"/>
  <c r="AW628" i="6" s="1"/>
  <c r="AX628" i="6"/>
  <c r="AY628" i="6" s="1"/>
  <c r="AV629" i="6"/>
  <c r="AW629" i="6"/>
  <c r="AX629" i="6"/>
  <c r="AY629" i="6" s="1"/>
  <c r="BA629" i="6" s="1"/>
  <c r="AV630" i="6"/>
  <c r="AW630" i="6" s="1"/>
  <c r="AX630" i="6"/>
  <c r="AY630" i="6" s="1"/>
  <c r="AV631" i="6"/>
  <c r="AW631" i="6" s="1"/>
  <c r="AX631" i="6"/>
  <c r="AY631" i="6"/>
  <c r="AV632" i="6"/>
  <c r="AW632" i="6" s="1"/>
  <c r="AZ632" i="6" s="1"/>
  <c r="AX632" i="6"/>
  <c r="AY632" i="6" s="1"/>
  <c r="AV633" i="6"/>
  <c r="AW633" i="6" s="1"/>
  <c r="AX633" i="6"/>
  <c r="AY633" i="6" s="1"/>
  <c r="AV634" i="6"/>
  <c r="AW634" i="6" s="1"/>
  <c r="AX634" i="6"/>
  <c r="AY634" i="6" s="1"/>
  <c r="AV635" i="6"/>
  <c r="AW635" i="6" s="1"/>
  <c r="AX635" i="6"/>
  <c r="AY635" i="6" s="1"/>
  <c r="AV636" i="6"/>
  <c r="AW636" i="6" s="1"/>
  <c r="AX636" i="6"/>
  <c r="AY636" i="6" s="1"/>
  <c r="AV637" i="6"/>
  <c r="AW637" i="6" s="1"/>
  <c r="AX637" i="6"/>
  <c r="AY637" i="6"/>
  <c r="AV638" i="6"/>
  <c r="AW638" i="6" s="1"/>
  <c r="AX638" i="6"/>
  <c r="AY638" i="6" s="1"/>
  <c r="AV639" i="6"/>
  <c r="AW639" i="6" s="1"/>
  <c r="AX639" i="6"/>
  <c r="AY639" i="6" s="1"/>
  <c r="AV640" i="6"/>
  <c r="AW640" i="6" s="1"/>
  <c r="AX640" i="6"/>
  <c r="AY640" i="6" s="1"/>
  <c r="AV641" i="6"/>
  <c r="AW641" i="6" s="1"/>
  <c r="AX641" i="6"/>
  <c r="AY641" i="6" s="1"/>
  <c r="AV642" i="6"/>
  <c r="AW642" i="6" s="1"/>
  <c r="AX642" i="6"/>
  <c r="AY642" i="6" s="1"/>
  <c r="AV643" i="6"/>
  <c r="AW643" i="6" s="1"/>
  <c r="AX643" i="6"/>
  <c r="AY643" i="6" s="1"/>
  <c r="AV644" i="6"/>
  <c r="AW644" i="6" s="1"/>
  <c r="AX644" i="6"/>
  <c r="AY644" i="6" s="1"/>
  <c r="AV645" i="6"/>
  <c r="AW645" i="6" s="1"/>
  <c r="AX645" i="6"/>
  <c r="AY645" i="6" s="1"/>
  <c r="AV646" i="6"/>
  <c r="AW646" i="6"/>
  <c r="AX646" i="6"/>
  <c r="AY646" i="6"/>
  <c r="AV647" i="6"/>
  <c r="AW647" i="6" s="1"/>
  <c r="AX647" i="6"/>
  <c r="AY647" i="6" s="1"/>
  <c r="AV648" i="6"/>
  <c r="AW648" i="6"/>
  <c r="AX648" i="6"/>
  <c r="AY648" i="6" s="1"/>
  <c r="AV649" i="6"/>
  <c r="AW649" i="6"/>
  <c r="AX649" i="6"/>
  <c r="AY649" i="6" s="1"/>
  <c r="AV650" i="6"/>
  <c r="AW650" i="6" s="1"/>
  <c r="AX650" i="6"/>
  <c r="AY650" i="6"/>
  <c r="AV651" i="6"/>
  <c r="AW651" i="6" s="1"/>
  <c r="AX651" i="6"/>
  <c r="AY651" i="6" s="1"/>
  <c r="AV652" i="6"/>
  <c r="AW652" i="6"/>
  <c r="AX652" i="6"/>
  <c r="AY652" i="6" s="1"/>
  <c r="AV653" i="6"/>
  <c r="AW653" i="6"/>
  <c r="AX653" i="6"/>
  <c r="AY653" i="6" s="1"/>
  <c r="AV654" i="6"/>
  <c r="AW654" i="6"/>
  <c r="AX654" i="6"/>
  <c r="AY654" i="6" s="1"/>
  <c r="AV655" i="6"/>
  <c r="AW655" i="6" s="1"/>
  <c r="AX655" i="6"/>
  <c r="AY655" i="6" s="1"/>
  <c r="AV656" i="6"/>
  <c r="AW656" i="6" s="1"/>
  <c r="AX656" i="6"/>
  <c r="AY656" i="6" s="1"/>
  <c r="AV657" i="6"/>
  <c r="AW657" i="6" s="1"/>
  <c r="AX657" i="6"/>
  <c r="AY657" i="6" s="1"/>
  <c r="AV658" i="6"/>
  <c r="AW658" i="6" s="1"/>
  <c r="AX658" i="6"/>
  <c r="AY658" i="6" s="1"/>
  <c r="AV659" i="6"/>
  <c r="AW659" i="6" s="1"/>
  <c r="AX659" i="6"/>
  <c r="AY659" i="6" s="1"/>
  <c r="AV660" i="6"/>
  <c r="AW660" i="6" s="1"/>
  <c r="AX660" i="6"/>
  <c r="AY660" i="6" s="1"/>
  <c r="AV661" i="6"/>
  <c r="AW661" i="6"/>
  <c r="AX661" i="6"/>
  <c r="AY661" i="6" s="1"/>
  <c r="AV662" i="6"/>
  <c r="AW662" i="6" s="1"/>
  <c r="AX662" i="6"/>
  <c r="AY662" i="6" s="1"/>
  <c r="AV663" i="6"/>
  <c r="AW663" i="6" s="1"/>
  <c r="AX663" i="6"/>
  <c r="AY663" i="6"/>
  <c r="AV664" i="6"/>
  <c r="AW664" i="6" s="1"/>
  <c r="AX664" i="6"/>
  <c r="AY664" i="6" s="1"/>
  <c r="AV665" i="6"/>
  <c r="AW665" i="6" s="1"/>
  <c r="AX665" i="6"/>
  <c r="AY665" i="6" s="1"/>
  <c r="AV666" i="6"/>
  <c r="AW666" i="6" s="1"/>
  <c r="AX666" i="6"/>
  <c r="AY666" i="6"/>
  <c r="BA666" i="6" s="1"/>
  <c r="AV667" i="6"/>
  <c r="AW667" i="6" s="1"/>
  <c r="AX667" i="6"/>
  <c r="AY667" i="6"/>
  <c r="AV668" i="6"/>
  <c r="AW668" i="6" s="1"/>
  <c r="AX668" i="6"/>
  <c r="AY668" i="6" s="1"/>
  <c r="AV669" i="6"/>
  <c r="AW669" i="6" s="1"/>
  <c r="AX669" i="6"/>
  <c r="AY669" i="6"/>
  <c r="AV670" i="6"/>
  <c r="AW670" i="6" s="1"/>
  <c r="AX670" i="6"/>
  <c r="AY670" i="6" s="1"/>
  <c r="AV671" i="6"/>
  <c r="AW671" i="6" s="1"/>
  <c r="AX671" i="6"/>
  <c r="AY671" i="6" s="1"/>
  <c r="AV672" i="6"/>
  <c r="AW672" i="6" s="1"/>
  <c r="AX672" i="6"/>
  <c r="AY672" i="6" s="1"/>
  <c r="AV673" i="6"/>
  <c r="AW673" i="6" s="1"/>
  <c r="AX673" i="6"/>
  <c r="AY673" i="6" s="1"/>
  <c r="AV674" i="6"/>
  <c r="AW674" i="6" s="1"/>
  <c r="AX674" i="6"/>
  <c r="AY674" i="6"/>
  <c r="AV675" i="6"/>
  <c r="AW675" i="6" s="1"/>
  <c r="AX675" i="6"/>
  <c r="AY675" i="6" s="1"/>
  <c r="AV676" i="6"/>
  <c r="AW676" i="6" s="1"/>
  <c r="AX676" i="6"/>
  <c r="AY676" i="6" s="1"/>
  <c r="AV677" i="6"/>
  <c r="AW677" i="6"/>
  <c r="AX677" i="6"/>
  <c r="AY677" i="6" s="1"/>
  <c r="AL293" i="6"/>
  <c r="AM293" i="6"/>
  <c r="AL294" i="6"/>
  <c r="AM294" i="6"/>
  <c r="AL295" i="6"/>
  <c r="AM295" i="6"/>
  <c r="AL296" i="6"/>
  <c r="AM296" i="6"/>
  <c r="AL297" i="6"/>
  <c r="AM297" i="6"/>
  <c r="AL298" i="6"/>
  <c r="AM298" i="6"/>
  <c r="AL299" i="6"/>
  <c r="AM299" i="6"/>
  <c r="AL300" i="6"/>
  <c r="AM300" i="6"/>
  <c r="AL301" i="6"/>
  <c r="AM301" i="6"/>
  <c r="AL302" i="6"/>
  <c r="AM302" i="6"/>
  <c r="AL303" i="6"/>
  <c r="AM303" i="6"/>
  <c r="AL304" i="6"/>
  <c r="AM304" i="6"/>
  <c r="AL305" i="6"/>
  <c r="AM305" i="6"/>
  <c r="AL306" i="6"/>
  <c r="AM306" i="6"/>
  <c r="AL307" i="6"/>
  <c r="AM307" i="6"/>
  <c r="AL308" i="6"/>
  <c r="AM308" i="6"/>
  <c r="AL309" i="6"/>
  <c r="AM309" i="6"/>
  <c r="AL310" i="6"/>
  <c r="AM310" i="6"/>
  <c r="AL311" i="6"/>
  <c r="AM311" i="6"/>
  <c r="AL312" i="6"/>
  <c r="AM312" i="6"/>
  <c r="AL313" i="6"/>
  <c r="AM313" i="6"/>
  <c r="AL314" i="6"/>
  <c r="AM314" i="6"/>
  <c r="AL315" i="6"/>
  <c r="AM315" i="6"/>
  <c r="AL316" i="6"/>
  <c r="AM316" i="6"/>
  <c r="AL317" i="6"/>
  <c r="AM317" i="6"/>
  <c r="AL318" i="6"/>
  <c r="AM318" i="6"/>
  <c r="AL319" i="6"/>
  <c r="AM319" i="6"/>
  <c r="AL320" i="6"/>
  <c r="AM320" i="6"/>
  <c r="AL321" i="6"/>
  <c r="AM321" i="6"/>
  <c r="AL322" i="6"/>
  <c r="AM322" i="6"/>
  <c r="AL323" i="6"/>
  <c r="AM323" i="6"/>
  <c r="AL324" i="6"/>
  <c r="AM324" i="6"/>
  <c r="AL325" i="6"/>
  <c r="AM325" i="6"/>
  <c r="AL326" i="6"/>
  <c r="AM326" i="6"/>
  <c r="AL327" i="6"/>
  <c r="AM327" i="6"/>
  <c r="AL328" i="6"/>
  <c r="AM328" i="6"/>
  <c r="AL329" i="6"/>
  <c r="AM329" i="6"/>
  <c r="AL330" i="6"/>
  <c r="AM330" i="6"/>
  <c r="AL331" i="6"/>
  <c r="AM331" i="6"/>
  <c r="AL332" i="6"/>
  <c r="AM332" i="6"/>
  <c r="AL333" i="6"/>
  <c r="AM333" i="6"/>
  <c r="AL334" i="6"/>
  <c r="AM334" i="6"/>
  <c r="AL335" i="6"/>
  <c r="AM335" i="6"/>
  <c r="AL336" i="6"/>
  <c r="AM336" i="6"/>
  <c r="AL337" i="6"/>
  <c r="AM337" i="6"/>
  <c r="AL338" i="6"/>
  <c r="AM338" i="6"/>
  <c r="AL339" i="6"/>
  <c r="AM339" i="6"/>
  <c r="AL340" i="6"/>
  <c r="AM340" i="6"/>
  <c r="AL341" i="6"/>
  <c r="AM341" i="6"/>
  <c r="AL342" i="6"/>
  <c r="AM342" i="6"/>
  <c r="AL343" i="6"/>
  <c r="AM343" i="6"/>
  <c r="AL344" i="6"/>
  <c r="AM344" i="6"/>
  <c r="AL345" i="6"/>
  <c r="AM345" i="6"/>
  <c r="AL346" i="6"/>
  <c r="AM346" i="6"/>
  <c r="AL347" i="6"/>
  <c r="AM347" i="6"/>
  <c r="AL348" i="6"/>
  <c r="AM348" i="6"/>
  <c r="AL349" i="6"/>
  <c r="AM349" i="6"/>
  <c r="AL350" i="6"/>
  <c r="AM350" i="6"/>
  <c r="AL351" i="6"/>
  <c r="AM351" i="6"/>
  <c r="AL352" i="6"/>
  <c r="AM352" i="6"/>
  <c r="AL353" i="6"/>
  <c r="AM353" i="6"/>
  <c r="AL354" i="6"/>
  <c r="AM354" i="6"/>
  <c r="AL355" i="6"/>
  <c r="AM355" i="6"/>
  <c r="AL356" i="6"/>
  <c r="AM356" i="6"/>
  <c r="AL357" i="6"/>
  <c r="AM357" i="6"/>
  <c r="AL358" i="6"/>
  <c r="AM358" i="6"/>
  <c r="AL359" i="6"/>
  <c r="AM359" i="6"/>
  <c r="AL360" i="6"/>
  <c r="AM360" i="6"/>
  <c r="AL361" i="6"/>
  <c r="AM361" i="6"/>
  <c r="AL362" i="6"/>
  <c r="AM362" i="6"/>
  <c r="AL363" i="6"/>
  <c r="AM363" i="6"/>
  <c r="AL364" i="6"/>
  <c r="AM364" i="6"/>
  <c r="AL365" i="6"/>
  <c r="AM365" i="6"/>
  <c r="AL366" i="6"/>
  <c r="AM366" i="6"/>
  <c r="AL367" i="6"/>
  <c r="AM367" i="6"/>
  <c r="AL368" i="6"/>
  <c r="AM368" i="6"/>
  <c r="AL369" i="6"/>
  <c r="AM369" i="6"/>
  <c r="AL370" i="6"/>
  <c r="AM370" i="6"/>
  <c r="AL371" i="6"/>
  <c r="AM371" i="6"/>
  <c r="AL372" i="6"/>
  <c r="AM372" i="6"/>
  <c r="AL373" i="6"/>
  <c r="AM373" i="6"/>
  <c r="AL374" i="6"/>
  <c r="AM374" i="6"/>
  <c r="AL375" i="6"/>
  <c r="AM375" i="6"/>
  <c r="AL376" i="6"/>
  <c r="AM376" i="6"/>
  <c r="AL377" i="6"/>
  <c r="AM377" i="6"/>
  <c r="AL378" i="6"/>
  <c r="AM378" i="6"/>
  <c r="AL379" i="6"/>
  <c r="AM379" i="6"/>
  <c r="AL380" i="6"/>
  <c r="AM380" i="6"/>
  <c r="AL381" i="6"/>
  <c r="AM381" i="6"/>
  <c r="AL382" i="6"/>
  <c r="AM382" i="6"/>
  <c r="AL383" i="6"/>
  <c r="AM383" i="6"/>
  <c r="AL384" i="6"/>
  <c r="AM384" i="6"/>
  <c r="AL385" i="6"/>
  <c r="AM385" i="6"/>
  <c r="AL386" i="6"/>
  <c r="AM386" i="6"/>
  <c r="AL387" i="6"/>
  <c r="AM387" i="6"/>
  <c r="AL388" i="6"/>
  <c r="AM388" i="6"/>
  <c r="AL389" i="6"/>
  <c r="AM389" i="6"/>
  <c r="AL390" i="6"/>
  <c r="AM390" i="6"/>
  <c r="AL391" i="6"/>
  <c r="AM391" i="6"/>
  <c r="AL392" i="6"/>
  <c r="AM392" i="6"/>
  <c r="AL393" i="6"/>
  <c r="AM393" i="6"/>
  <c r="AL394" i="6"/>
  <c r="AM394" i="6"/>
  <c r="AL395" i="6"/>
  <c r="AM395" i="6"/>
  <c r="AL396" i="6"/>
  <c r="AM396" i="6"/>
  <c r="AL397" i="6"/>
  <c r="AM397" i="6"/>
  <c r="AL398" i="6"/>
  <c r="AM398" i="6"/>
  <c r="AL399" i="6"/>
  <c r="AM399" i="6"/>
  <c r="AL400" i="6"/>
  <c r="AM400" i="6"/>
  <c r="AL401" i="6"/>
  <c r="AM401" i="6"/>
  <c r="AL402" i="6"/>
  <c r="AM402" i="6"/>
  <c r="AL403" i="6"/>
  <c r="AM403" i="6"/>
  <c r="AL404" i="6"/>
  <c r="AM404" i="6"/>
  <c r="AL405" i="6"/>
  <c r="AM405" i="6"/>
  <c r="AL406" i="6"/>
  <c r="AM406" i="6"/>
  <c r="AL407" i="6"/>
  <c r="AM407" i="6"/>
  <c r="AL408" i="6"/>
  <c r="AM408" i="6"/>
  <c r="AL409" i="6"/>
  <c r="AM409" i="6"/>
  <c r="AL410" i="6"/>
  <c r="AM410" i="6"/>
  <c r="AL411" i="6"/>
  <c r="AM411" i="6"/>
  <c r="AL412" i="6"/>
  <c r="AM412" i="6"/>
  <c r="AL413" i="6"/>
  <c r="AM413" i="6"/>
  <c r="AL414" i="6"/>
  <c r="AM414" i="6"/>
  <c r="AL415" i="6"/>
  <c r="AM415" i="6"/>
  <c r="AL416" i="6"/>
  <c r="AM416" i="6"/>
  <c r="AL417" i="6"/>
  <c r="AM417" i="6"/>
  <c r="AL418" i="6"/>
  <c r="AM418" i="6"/>
  <c r="AL419" i="6"/>
  <c r="AM419" i="6"/>
  <c r="AL420" i="6"/>
  <c r="AM420" i="6"/>
  <c r="AL421" i="6"/>
  <c r="AM421" i="6"/>
  <c r="AL422" i="6"/>
  <c r="AM422" i="6"/>
  <c r="AL423" i="6"/>
  <c r="AM423" i="6"/>
  <c r="AL424" i="6"/>
  <c r="AM424" i="6"/>
  <c r="AL425" i="6"/>
  <c r="AM425" i="6"/>
  <c r="AL426" i="6"/>
  <c r="AM426" i="6"/>
  <c r="AL427" i="6"/>
  <c r="AM427" i="6"/>
  <c r="AL428" i="6"/>
  <c r="AM428" i="6"/>
  <c r="AL429" i="6"/>
  <c r="AM429" i="6"/>
  <c r="AL430" i="6"/>
  <c r="AM430" i="6"/>
  <c r="AL431" i="6"/>
  <c r="AM431" i="6"/>
  <c r="AL432" i="6"/>
  <c r="AM432" i="6"/>
  <c r="AL433" i="6"/>
  <c r="AM433" i="6"/>
  <c r="AL434" i="6"/>
  <c r="AM434" i="6"/>
  <c r="AL435" i="6"/>
  <c r="AM435" i="6"/>
  <c r="AL436" i="6"/>
  <c r="AM436" i="6"/>
  <c r="AL437" i="6"/>
  <c r="AM437" i="6"/>
  <c r="AL438" i="6"/>
  <c r="AM438" i="6"/>
  <c r="AL439" i="6"/>
  <c r="AM439" i="6"/>
  <c r="AL440" i="6"/>
  <c r="AM440" i="6"/>
  <c r="AL441" i="6"/>
  <c r="AM441" i="6"/>
  <c r="AL442" i="6"/>
  <c r="AM442" i="6"/>
  <c r="AL443" i="6"/>
  <c r="AM443" i="6"/>
  <c r="AL444" i="6"/>
  <c r="AM444" i="6"/>
  <c r="AL445" i="6"/>
  <c r="AM445" i="6"/>
  <c r="AL446" i="6"/>
  <c r="AM446" i="6"/>
  <c r="AL447" i="6"/>
  <c r="AM447" i="6"/>
  <c r="AL448" i="6"/>
  <c r="AM448" i="6"/>
  <c r="AL449" i="6"/>
  <c r="AM449" i="6"/>
  <c r="AL450" i="6"/>
  <c r="AM450" i="6"/>
  <c r="AL451" i="6"/>
  <c r="AM451" i="6"/>
  <c r="AL452" i="6"/>
  <c r="AM452" i="6"/>
  <c r="AL453" i="6"/>
  <c r="AM453" i="6"/>
  <c r="AL454" i="6"/>
  <c r="AM454" i="6"/>
  <c r="AL455" i="6"/>
  <c r="AM455" i="6"/>
  <c r="AL456" i="6"/>
  <c r="AM456" i="6"/>
  <c r="AL457" i="6"/>
  <c r="AM457" i="6"/>
  <c r="AL458" i="6"/>
  <c r="AM458" i="6"/>
  <c r="AL459" i="6"/>
  <c r="AM459" i="6"/>
  <c r="AL460" i="6"/>
  <c r="AM460" i="6"/>
  <c r="AL461" i="6"/>
  <c r="AM461" i="6"/>
  <c r="AL462" i="6"/>
  <c r="AM462" i="6"/>
  <c r="AL463" i="6"/>
  <c r="AM463" i="6"/>
  <c r="AL464" i="6"/>
  <c r="AM464" i="6"/>
  <c r="AL465" i="6"/>
  <c r="AM465" i="6"/>
  <c r="AL466" i="6"/>
  <c r="AM466" i="6"/>
  <c r="AL467" i="6"/>
  <c r="AM467" i="6"/>
  <c r="AL468" i="6"/>
  <c r="AM468" i="6"/>
  <c r="AL469" i="6"/>
  <c r="AM469" i="6"/>
  <c r="AL470" i="6"/>
  <c r="AM470" i="6"/>
  <c r="AL471" i="6"/>
  <c r="AM471" i="6"/>
  <c r="AL472" i="6"/>
  <c r="AM472" i="6"/>
  <c r="AL473" i="6"/>
  <c r="AM473" i="6"/>
  <c r="AL474" i="6"/>
  <c r="AM474" i="6"/>
  <c r="AL475" i="6"/>
  <c r="AM475" i="6"/>
  <c r="AL476" i="6"/>
  <c r="AM476" i="6"/>
  <c r="AL477" i="6"/>
  <c r="AM477" i="6"/>
  <c r="AL478" i="6"/>
  <c r="AM478" i="6"/>
  <c r="AL479" i="6"/>
  <c r="AM479" i="6"/>
  <c r="AL480" i="6"/>
  <c r="AM480" i="6"/>
  <c r="AL481" i="6"/>
  <c r="AM481" i="6"/>
  <c r="AL482" i="6"/>
  <c r="AM482" i="6"/>
  <c r="AL483" i="6"/>
  <c r="AM483" i="6"/>
  <c r="AL484" i="6"/>
  <c r="AM484" i="6"/>
  <c r="AL485" i="6"/>
  <c r="AM485" i="6"/>
  <c r="AL486" i="6"/>
  <c r="AM486" i="6"/>
  <c r="AL487" i="6"/>
  <c r="AM487" i="6"/>
  <c r="AL488" i="6"/>
  <c r="AM488" i="6"/>
  <c r="AL489" i="6"/>
  <c r="AM489" i="6"/>
  <c r="AL490" i="6"/>
  <c r="AM490" i="6"/>
  <c r="AL491" i="6"/>
  <c r="AM491" i="6"/>
  <c r="AL492" i="6"/>
  <c r="AM492" i="6"/>
  <c r="AL493" i="6"/>
  <c r="AM493" i="6"/>
  <c r="AL494" i="6"/>
  <c r="AM494" i="6"/>
  <c r="AL495" i="6"/>
  <c r="AM495" i="6"/>
  <c r="AL496" i="6"/>
  <c r="AM496" i="6"/>
  <c r="AL497" i="6"/>
  <c r="AM497" i="6"/>
  <c r="AL498" i="6"/>
  <c r="AM498" i="6"/>
  <c r="AL499" i="6"/>
  <c r="AM499" i="6"/>
  <c r="AL500" i="6"/>
  <c r="AM500" i="6"/>
  <c r="AL501" i="6"/>
  <c r="AM501" i="6"/>
  <c r="AL502" i="6"/>
  <c r="AM502" i="6"/>
  <c r="AL503" i="6"/>
  <c r="AM503" i="6"/>
  <c r="AL504" i="6"/>
  <c r="AM504" i="6"/>
  <c r="AL505" i="6"/>
  <c r="AM505" i="6"/>
  <c r="AL506" i="6"/>
  <c r="AM506" i="6"/>
  <c r="AL507" i="6"/>
  <c r="AM507" i="6"/>
  <c r="AL508" i="6"/>
  <c r="AM508" i="6"/>
  <c r="AL509" i="6"/>
  <c r="AM509" i="6"/>
  <c r="AL510" i="6"/>
  <c r="AM510" i="6"/>
  <c r="AL511" i="6"/>
  <c r="AM511" i="6"/>
  <c r="AL512" i="6"/>
  <c r="AM512" i="6"/>
  <c r="AL513" i="6"/>
  <c r="AM513" i="6"/>
  <c r="AL514" i="6"/>
  <c r="AM514" i="6"/>
  <c r="AL515" i="6"/>
  <c r="AM515" i="6"/>
  <c r="AL516" i="6"/>
  <c r="AM516" i="6"/>
  <c r="AL517" i="6"/>
  <c r="AM517" i="6"/>
  <c r="AL518" i="6"/>
  <c r="AM518" i="6"/>
  <c r="AL519" i="6"/>
  <c r="AM519" i="6"/>
  <c r="AL520" i="6"/>
  <c r="AM520" i="6"/>
  <c r="AL521" i="6"/>
  <c r="AM521" i="6"/>
  <c r="AL522" i="6"/>
  <c r="AM522" i="6"/>
  <c r="AL523" i="6"/>
  <c r="AM523" i="6"/>
  <c r="AL524" i="6"/>
  <c r="AM524" i="6"/>
  <c r="AL525" i="6"/>
  <c r="AM525" i="6"/>
  <c r="AL526" i="6"/>
  <c r="AM526" i="6"/>
  <c r="AL527" i="6"/>
  <c r="AM527" i="6"/>
  <c r="AL528" i="6"/>
  <c r="AM528" i="6"/>
  <c r="AL529" i="6"/>
  <c r="AM529" i="6"/>
  <c r="AL530" i="6"/>
  <c r="AM530" i="6"/>
  <c r="AL531" i="6"/>
  <c r="AM531" i="6"/>
  <c r="AL532" i="6"/>
  <c r="AM532" i="6"/>
  <c r="AL533" i="6"/>
  <c r="AM533" i="6"/>
  <c r="AL534" i="6"/>
  <c r="AM534" i="6"/>
  <c r="AL535" i="6"/>
  <c r="AM535" i="6"/>
  <c r="AL536" i="6"/>
  <c r="AM536" i="6"/>
  <c r="AL537" i="6"/>
  <c r="AM537" i="6"/>
  <c r="AL538" i="6"/>
  <c r="AM538" i="6"/>
  <c r="AL539" i="6"/>
  <c r="AM539" i="6"/>
  <c r="AL540" i="6"/>
  <c r="AM540" i="6"/>
  <c r="AL541" i="6"/>
  <c r="AM541" i="6"/>
  <c r="AL542" i="6"/>
  <c r="AM542" i="6"/>
  <c r="AL543" i="6"/>
  <c r="AM543" i="6"/>
  <c r="AL544" i="6"/>
  <c r="AM544" i="6"/>
  <c r="AL545" i="6"/>
  <c r="AM545" i="6"/>
  <c r="AL546" i="6"/>
  <c r="AM546" i="6"/>
  <c r="AL547" i="6"/>
  <c r="AM547" i="6"/>
  <c r="AL548" i="6"/>
  <c r="AM548" i="6"/>
  <c r="AL549" i="6"/>
  <c r="AM549" i="6"/>
  <c r="AL550" i="6"/>
  <c r="AM550" i="6"/>
  <c r="AL551" i="6"/>
  <c r="AM551" i="6"/>
  <c r="AL552" i="6"/>
  <c r="AM552" i="6"/>
  <c r="AL553" i="6"/>
  <c r="AM553" i="6"/>
  <c r="AL554" i="6"/>
  <c r="AM554" i="6"/>
  <c r="AL555" i="6"/>
  <c r="AM555" i="6"/>
  <c r="AL556" i="6"/>
  <c r="AM556" i="6"/>
  <c r="AL557" i="6"/>
  <c r="AM557" i="6"/>
  <c r="AL558" i="6"/>
  <c r="AM558" i="6"/>
  <c r="AL559" i="6"/>
  <c r="AM559" i="6"/>
  <c r="AL560" i="6"/>
  <c r="AM560" i="6"/>
  <c r="AL561" i="6"/>
  <c r="AM561" i="6"/>
  <c r="AL562" i="6"/>
  <c r="AM562" i="6"/>
  <c r="AL563" i="6"/>
  <c r="AM563" i="6"/>
  <c r="AL564" i="6"/>
  <c r="AM564" i="6"/>
  <c r="AL565" i="6"/>
  <c r="AM565" i="6"/>
  <c r="AL566" i="6"/>
  <c r="AM566" i="6"/>
  <c r="AL567" i="6"/>
  <c r="AM567" i="6"/>
  <c r="AL568" i="6"/>
  <c r="AM568" i="6"/>
  <c r="AL569" i="6"/>
  <c r="AM569" i="6"/>
  <c r="AL570" i="6"/>
  <c r="AM570" i="6"/>
  <c r="AL571" i="6"/>
  <c r="AM571" i="6"/>
  <c r="AL572" i="6"/>
  <c r="AM572" i="6"/>
  <c r="AL573" i="6"/>
  <c r="AM573" i="6"/>
  <c r="AL574" i="6"/>
  <c r="AM574" i="6"/>
  <c r="AL575" i="6"/>
  <c r="AM575" i="6"/>
  <c r="AL576" i="6"/>
  <c r="AM576" i="6"/>
  <c r="AL577" i="6"/>
  <c r="AM577" i="6"/>
  <c r="AL578" i="6"/>
  <c r="AM578" i="6"/>
  <c r="AL579" i="6"/>
  <c r="AM579" i="6"/>
  <c r="AL580" i="6"/>
  <c r="AM580" i="6"/>
  <c r="AL581" i="6"/>
  <c r="AM581" i="6"/>
  <c r="AL582" i="6"/>
  <c r="AM582" i="6"/>
  <c r="AL583" i="6"/>
  <c r="AM583" i="6"/>
  <c r="AL584" i="6"/>
  <c r="AM584" i="6"/>
  <c r="AL585" i="6"/>
  <c r="AM585" i="6"/>
  <c r="AL586" i="6"/>
  <c r="AM586" i="6"/>
  <c r="AL587" i="6"/>
  <c r="AM587" i="6"/>
  <c r="AL588" i="6"/>
  <c r="AM588" i="6"/>
  <c r="AL589" i="6"/>
  <c r="AM589" i="6"/>
  <c r="AL590" i="6"/>
  <c r="AM590" i="6"/>
  <c r="AL591" i="6"/>
  <c r="AM591" i="6"/>
  <c r="AL592" i="6"/>
  <c r="AM592" i="6"/>
  <c r="AL593" i="6"/>
  <c r="AM593" i="6"/>
  <c r="AL594" i="6"/>
  <c r="AM594" i="6"/>
  <c r="AL595" i="6"/>
  <c r="AM595" i="6"/>
  <c r="AL596" i="6"/>
  <c r="AM596" i="6"/>
  <c r="AL597" i="6"/>
  <c r="AM597" i="6"/>
  <c r="AL598" i="6"/>
  <c r="AM598" i="6"/>
  <c r="AL599" i="6"/>
  <c r="AM599" i="6"/>
  <c r="AL600" i="6"/>
  <c r="AM600" i="6"/>
  <c r="AL601" i="6"/>
  <c r="AM601" i="6"/>
  <c r="AL602" i="6"/>
  <c r="AM602" i="6"/>
  <c r="AL603" i="6"/>
  <c r="AM603" i="6"/>
  <c r="AL604" i="6"/>
  <c r="AM604" i="6"/>
  <c r="AL605" i="6"/>
  <c r="AM605" i="6"/>
  <c r="AL606" i="6"/>
  <c r="AM606" i="6"/>
  <c r="AL607" i="6"/>
  <c r="AM607" i="6"/>
  <c r="AL608" i="6"/>
  <c r="AM608" i="6"/>
  <c r="AL609" i="6"/>
  <c r="AM609" i="6"/>
  <c r="AL610" i="6"/>
  <c r="AM610" i="6"/>
  <c r="AL611" i="6"/>
  <c r="AM611" i="6"/>
  <c r="AL612" i="6"/>
  <c r="AM612" i="6"/>
  <c r="AL613" i="6"/>
  <c r="AM613" i="6"/>
  <c r="AL614" i="6"/>
  <c r="AM614" i="6"/>
  <c r="AL615" i="6"/>
  <c r="AM615" i="6"/>
  <c r="AL616" i="6"/>
  <c r="AM616" i="6"/>
  <c r="AL617" i="6"/>
  <c r="AM617" i="6"/>
  <c r="AL618" i="6"/>
  <c r="AM618" i="6"/>
  <c r="AL619" i="6"/>
  <c r="AM619" i="6"/>
  <c r="AL620" i="6"/>
  <c r="AM620" i="6"/>
  <c r="AL621" i="6"/>
  <c r="AM621" i="6"/>
  <c r="AL622" i="6"/>
  <c r="AM622" i="6"/>
  <c r="AL623" i="6"/>
  <c r="AM623" i="6"/>
  <c r="AL624" i="6"/>
  <c r="AM624" i="6"/>
  <c r="AL625" i="6"/>
  <c r="AM625" i="6"/>
  <c r="AL626" i="6"/>
  <c r="AM626" i="6"/>
  <c r="AL627" i="6"/>
  <c r="AM627" i="6"/>
  <c r="AL628" i="6"/>
  <c r="AM628" i="6"/>
  <c r="AL629" i="6"/>
  <c r="AM629" i="6"/>
  <c r="AL630" i="6"/>
  <c r="AM630" i="6"/>
  <c r="AL631" i="6"/>
  <c r="AM631" i="6"/>
  <c r="AL632" i="6"/>
  <c r="AM632" i="6"/>
  <c r="AL633" i="6"/>
  <c r="AM633" i="6"/>
  <c r="AL634" i="6"/>
  <c r="AM634" i="6"/>
  <c r="AL635" i="6"/>
  <c r="AM635" i="6"/>
  <c r="AL636" i="6"/>
  <c r="AM636" i="6"/>
  <c r="AL637" i="6"/>
  <c r="AM637" i="6"/>
  <c r="AL638" i="6"/>
  <c r="AM638" i="6"/>
  <c r="AL639" i="6"/>
  <c r="AM639" i="6"/>
  <c r="AL640" i="6"/>
  <c r="AM640" i="6"/>
  <c r="AL641" i="6"/>
  <c r="AM641" i="6"/>
  <c r="AL642" i="6"/>
  <c r="AM642" i="6"/>
  <c r="AL643" i="6"/>
  <c r="AM643" i="6"/>
  <c r="AL644" i="6"/>
  <c r="AM644" i="6"/>
  <c r="AL645" i="6"/>
  <c r="AM645" i="6"/>
  <c r="AL646" i="6"/>
  <c r="AM646" i="6"/>
  <c r="AL647" i="6"/>
  <c r="AM647" i="6"/>
  <c r="AL648" i="6"/>
  <c r="AM648" i="6"/>
  <c r="AL649" i="6"/>
  <c r="AM649" i="6"/>
  <c r="AL650" i="6"/>
  <c r="AM650" i="6"/>
  <c r="AL651" i="6"/>
  <c r="AM651" i="6"/>
  <c r="AL652" i="6"/>
  <c r="AM652" i="6"/>
  <c r="AL653" i="6"/>
  <c r="AM653" i="6"/>
  <c r="AL654" i="6"/>
  <c r="AM654" i="6"/>
  <c r="AL655" i="6"/>
  <c r="AM655" i="6"/>
  <c r="AL656" i="6"/>
  <c r="AM656" i="6"/>
  <c r="AL657" i="6"/>
  <c r="AM657" i="6"/>
  <c r="AL658" i="6"/>
  <c r="AM658" i="6"/>
  <c r="AL659" i="6"/>
  <c r="AM659" i="6"/>
  <c r="AL660" i="6"/>
  <c r="AM660" i="6"/>
  <c r="AL661" i="6"/>
  <c r="AM661" i="6"/>
  <c r="AL662" i="6"/>
  <c r="AM662" i="6"/>
  <c r="AL663" i="6"/>
  <c r="AM663" i="6"/>
  <c r="AL664" i="6"/>
  <c r="AM664" i="6"/>
  <c r="AL665" i="6"/>
  <c r="AM665" i="6"/>
  <c r="AL666" i="6"/>
  <c r="AM666" i="6"/>
  <c r="AL667" i="6"/>
  <c r="AM667" i="6"/>
  <c r="AL668" i="6"/>
  <c r="AM668" i="6"/>
  <c r="AL669" i="6"/>
  <c r="AM669" i="6"/>
  <c r="AL670" i="6"/>
  <c r="AM670" i="6"/>
  <c r="AL671" i="6"/>
  <c r="AM671" i="6"/>
  <c r="AL672" i="6"/>
  <c r="AM672" i="6"/>
  <c r="AL673" i="6"/>
  <c r="AM673" i="6"/>
  <c r="AL674" i="6"/>
  <c r="AM674" i="6"/>
  <c r="AL675" i="6"/>
  <c r="AM675" i="6"/>
  <c r="AL676" i="6"/>
  <c r="AM676" i="6"/>
  <c r="AL677" i="6"/>
  <c r="AM677" i="6"/>
  <c r="AL678" i="6"/>
  <c r="AM678" i="6"/>
  <c r="AF289" i="6"/>
  <c r="AG289" i="6" s="1"/>
  <c r="AH289" i="6"/>
  <c r="AI289" i="6"/>
  <c r="AF290" i="6"/>
  <c r="AG290" i="6" s="1"/>
  <c r="AH290" i="6"/>
  <c r="AI290" i="6" s="1"/>
  <c r="AF291" i="6"/>
  <c r="AG291" i="6" s="1"/>
  <c r="AH291" i="6"/>
  <c r="AI291" i="6"/>
  <c r="AF292" i="6"/>
  <c r="AG292" i="6" s="1"/>
  <c r="AH292" i="6"/>
  <c r="AI292" i="6"/>
  <c r="AF293" i="6"/>
  <c r="AG293" i="6" s="1"/>
  <c r="AH293" i="6"/>
  <c r="AI293" i="6" s="1"/>
  <c r="AF294" i="6"/>
  <c r="AG294" i="6" s="1"/>
  <c r="AH294" i="6"/>
  <c r="AI294" i="6" s="1"/>
  <c r="AF295" i="6"/>
  <c r="AG295" i="6" s="1"/>
  <c r="AH295" i="6"/>
  <c r="AI295" i="6"/>
  <c r="AF296" i="6"/>
  <c r="AG296" i="6" s="1"/>
  <c r="AH296" i="6"/>
  <c r="AI296" i="6" s="1"/>
  <c r="AF297" i="6"/>
  <c r="AG297" i="6" s="1"/>
  <c r="AH297" i="6"/>
  <c r="AI297" i="6" s="1"/>
  <c r="AF298" i="6"/>
  <c r="AG298" i="6" s="1"/>
  <c r="AH298" i="6"/>
  <c r="AI298" i="6"/>
  <c r="AF299" i="6"/>
  <c r="AG299" i="6" s="1"/>
  <c r="AH299" i="6"/>
  <c r="AI299" i="6" s="1"/>
  <c r="AF300" i="6"/>
  <c r="AG300" i="6" s="1"/>
  <c r="AH300" i="6"/>
  <c r="AI300" i="6" s="1"/>
  <c r="AF301" i="6"/>
  <c r="AG301" i="6" s="1"/>
  <c r="AH301" i="6"/>
  <c r="AI301" i="6" s="1"/>
  <c r="AF302" i="6"/>
  <c r="AG302" i="6" s="1"/>
  <c r="AH302" i="6"/>
  <c r="AI302" i="6" s="1"/>
  <c r="AF303" i="6"/>
  <c r="AG303" i="6" s="1"/>
  <c r="AH303" i="6"/>
  <c r="AI303" i="6" s="1"/>
  <c r="AF304" i="6"/>
  <c r="AG304" i="6" s="1"/>
  <c r="AH304" i="6"/>
  <c r="AI304" i="6" s="1"/>
  <c r="AF305" i="6"/>
  <c r="AG305" i="6" s="1"/>
  <c r="AH305" i="6"/>
  <c r="AI305" i="6"/>
  <c r="AF306" i="6"/>
  <c r="AG306" i="6" s="1"/>
  <c r="AH306" i="6"/>
  <c r="AI306" i="6" s="1"/>
  <c r="AF307" i="6"/>
  <c r="AG307" i="6" s="1"/>
  <c r="AH307" i="6"/>
  <c r="AI307" i="6" s="1"/>
  <c r="AF308" i="6"/>
  <c r="AG308" i="6" s="1"/>
  <c r="AH308" i="6"/>
  <c r="AI308" i="6"/>
  <c r="AF309" i="6"/>
  <c r="AG309" i="6" s="1"/>
  <c r="AH309" i="6"/>
  <c r="AI309" i="6"/>
  <c r="AF310" i="6"/>
  <c r="AG310" i="6" s="1"/>
  <c r="AH310" i="6"/>
  <c r="AI310" i="6" s="1"/>
  <c r="AF311" i="6"/>
  <c r="AG311" i="6" s="1"/>
  <c r="AH311" i="6"/>
  <c r="AI311" i="6"/>
  <c r="AF312" i="6"/>
  <c r="AG312" i="6" s="1"/>
  <c r="AH312" i="6"/>
  <c r="AI312" i="6"/>
  <c r="AF313" i="6"/>
  <c r="AG313" i="6" s="1"/>
  <c r="AH313" i="6"/>
  <c r="AI313" i="6" s="1"/>
  <c r="AF314" i="6"/>
  <c r="AG314" i="6" s="1"/>
  <c r="AH314" i="6"/>
  <c r="AI314" i="6" s="1"/>
  <c r="AF315" i="6"/>
  <c r="AG315" i="6" s="1"/>
  <c r="AH315" i="6"/>
  <c r="AI315" i="6"/>
  <c r="AF316" i="6"/>
  <c r="AG316" i="6" s="1"/>
  <c r="AH316" i="6"/>
  <c r="AI316" i="6" s="1"/>
  <c r="AF317" i="6"/>
  <c r="AG317" i="6" s="1"/>
  <c r="AH317" i="6"/>
  <c r="AI317" i="6"/>
  <c r="AF318" i="6"/>
  <c r="AG318" i="6" s="1"/>
  <c r="AH318" i="6"/>
  <c r="AI318" i="6" s="1"/>
  <c r="AF319" i="6"/>
  <c r="AG319" i="6" s="1"/>
  <c r="AH319" i="6"/>
  <c r="AI319" i="6" s="1"/>
  <c r="AF320" i="6"/>
  <c r="AG320" i="6" s="1"/>
  <c r="AH320" i="6"/>
  <c r="AI320" i="6"/>
  <c r="AF321" i="6"/>
  <c r="AG321" i="6" s="1"/>
  <c r="AH321" i="6"/>
  <c r="AI321" i="6"/>
  <c r="AF322" i="6"/>
  <c r="AG322" i="6" s="1"/>
  <c r="AH322" i="6"/>
  <c r="AI322" i="6" s="1"/>
  <c r="AF323" i="6"/>
  <c r="AG323" i="6" s="1"/>
  <c r="AH323" i="6"/>
  <c r="AI323" i="6"/>
  <c r="AF324" i="6"/>
  <c r="AG324" i="6" s="1"/>
  <c r="AH324" i="6"/>
  <c r="AI324" i="6"/>
  <c r="AF325" i="6"/>
  <c r="AG325" i="6" s="1"/>
  <c r="AH325" i="6"/>
  <c r="AI325" i="6" s="1"/>
  <c r="AF326" i="6"/>
  <c r="AG326" i="6" s="1"/>
  <c r="AH326" i="6"/>
  <c r="AI326" i="6" s="1"/>
  <c r="AF327" i="6"/>
  <c r="AG327" i="6" s="1"/>
  <c r="AH327" i="6"/>
  <c r="AI327" i="6"/>
  <c r="AF328" i="6"/>
  <c r="AG328" i="6" s="1"/>
  <c r="AH328" i="6"/>
  <c r="AI328" i="6" s="1"/>
  <c r="AF329" i="6"/>
  <c r="AG329" i="6" s="1"/>
  <c r="AH329" i="6"/>
  <c r="AI329" i="6"/>
  <c r="AF330" i="6"/>
  <c r="AG330" i="6" s="1"/>
  <c r="AH330" i="6"/>
  <c r="AI330" i="6" s="1"/>
  <c r="AF331" i="6"/>
  <c r="AG331" i="6" s="1"/>
  <c r="AH331" i="6"/>
  <c r="AI331" i="6" s="1"/>
  <c r="AF332" i="6"/>
  <c r="AG332" i="6" s="1"/>
  <c r="AH332" i="6"/>
  <c r="AI332" i="6" s="1"/>
  <c r="AF333" i="6"/>
  <c r="AG333" i="6" s="1"/>
  <c r="AH333" i="6"/>
  <c r="AI333" i="6" s="1"/>
  <c r="AF334" i="6"/>
  <c r="AG334" i="6" s="1"/>
  <c r="AH334" i="6"/>
  <c r="AI334" i="6" s="1"/>
  <c r="AF335" i="6"/>
  <c r="AG335" i="6" s="1"/>
  <c r="AH335" i="6"/>
  <c r="AI335" i="6" s="1"/>
  <c r="AF336" i="6"/>
  <c r="AG336" i="6" s="1"/>
  <c r="AH336" i="6"/>
  <c r="AI336" i="6" s="1"/>
  <c r="AF337" i="6"/>
  <c r="AG337" i="6" s="1"/>
  <c r="AH337" i="6"/>
  <c r="AI337" i="6"/>
  <c r="AF338" i="6"/>
  <c r="AG338" i="6" s="1"/>
  <c r="AH338" i="6"/>
  <c r="AI338" i="6" s="1"/>
  <c r="AF339" i="6"/>
  <c r="AG339" i="6" s="1"/>
  <c r="AH339" i="6"/>
  <c r="AI339" i="6" s="1"/>
  <c r="AF340" i="6"/>
  <c r="AG340" i="6" s="1"/>
  <c r="AH340" i="6"/>
  <c r="AI340" i="6"/>
  <c r="AF341" i="6"/>
  <c r="AG341" i="6" s="1"/>
  <c r="AH341" i="6"/>
  <c r="AI341" i="6"/>
  <c r="AF342" i="6"/>
  <c r="AG342" i="6" s="1"/>
  <c r="AH342" i="6"/>
  <c r="AI342" i="6" s="1"/>
  <c r="AF343" i="6"/>
  <c r="AG343" i="6" s="1"/>
  <c r="AH343" i="6"/>
  <c r="AI343" i="6"/>
  <c r="AF344" i="6"/>
  <c r="AG344" i="6" s="1"/>
  <c r="AH344" i="6"/>
  <c r="AI344" i="6"/>
  <c r="AF345" i="6"/>
  <c r="AG345" i="6" s="1"/>
  <c r="AH345" i="6"/>
  <c r="AI345" i="6"/>
  <c r="AF346" i="6"/>
  <c r="AG346" i="6" s="1"/>
  <c r="AH346" i="6"/>
  <c r="AI346" i="6" s="1"/>
  <c r="AF347" i="6"/>
  <c r="AG347" i="6" s="1"/>
  <c r="AH347" i="6"/>
  <c r="AI347" i="6"/>
  <c r="AF348" i="6"/>
  <c r="AG348" i="6" s="1"/>
  <c r="AH348" i="6"/>
  <c r="AI348" i="6"/>
  <c r="AF349" i="6"/>
  <c r="AG349" i="6" s="1"/>
  <c r="AH349" i="6"/>
  <c r="AI349" i="6"/>
  <c r="AF350" i="6"/>
  <c r="AG350" i="6" s="1"/>
  <c r="AH350" i="6"/>
  <c r="AI350" i="6" s="1"/>
  <c r="AF351" i="6"/>
  <c r="AG351" i="6" s="1"/>
  <c r="AH351" i="6"/>
  <c r="AI351" i="6"/>
  <c r="AF352" i="6"/>
  <c r="AG352" i="6" s="1"/>
  <c r="AH352" i="6"/>
  <c r="AI352" i="6"/>
  <c r="AF353" i="6"/>
  <c r="AG353" i="6" s="1"/>
  <c r="AH353" i="6"/>
  <c r="AI353" i="6"/>
  <c r="AF354" i="6"/>
  <c r="AG354" i="6" s="1"/>
  <c r="AH354" i="6"/>
  <c r="AI354" i="6" s="1"/>
  <c r="AF355" i="6"/>
  <c r="AG355" i="6" s="1"/>
  <c r="AH355" i="6"/>
  <c r="AI355" i="6"/>
  <c r="AF356" i="6"/>
  <c r="AG356" i="6" s="1"/>
  <c r="AH356" i="6"/>
  <c r="AI356" i="6"/>
  <c r="AF357" i="6"/>
  <c r="AG357" i="6" s="1"/>
  <c r="AH357" i="6"/>
  <c r="AI357" i="6" s="1"/>
  <c r="AF358" i="6"/>
  <c r="AG358" i="6" s="1"/>
  <c r="AH358" i="6"/>
  <c r="AI358" i="6" s="1"/>
  <c r="AF359" i="6"/>
  <c r="AG359" i="6" s="1"/>
  <c r="AH359" i="6"/>
  <c r="AI359" i="6"/>
  <c r="AF360" i="6"/>
  <c r="AG360" i="6" s="1"/>
  <c r="AH360" i="6"/>
  <c r="AI360" i="6" s="1"/>
  <c r="AF361" i="6"/>
  <c r="AG361" i="6" s="1"/>
  <c r="AH361" i="6"/>
  <c r="AI361" i="6"/>
  <c r="AF362" i="6"/>
  <c r="AG362" i="6" s="1"/>
  <c r="AH362" i="6"/>
  <c r="AI362" i="6" s="1"/>
  <c r="AF363" i="6"/>
  <c r="AG363" i="6" s="1"/>
  <c r="AH363" i="6"/>
  <c r="AI363" i="6" s="1"/>
  <c r="AF364" i="6"/>
  <c r="AG364" i="6" s="1"/>
  <c r="AH364" i="6"/>
  <c r="AI364" i="6" s="1"/>
  <c r="AF365" i="6"/>
  <c r="AG365" i="6" s="1"/>
  <c r="AH365" i="6"/>
  <c r="AI365" i="6" s="1"/>
  <c r="AF366" i="6"/>
  <c r="AG366" i="6" s="1"/>
  <c r="AH366" i="6"/>
  <c r="AI366" i="6" s="1"/>
  <c r="AF367" i="6"/>
  <c r="AG367" i="6" s="1"/>
  <c r="AH367" i="6"/>
  <c r="AI367" i="6" s="1"/>
  <c r="AF368" i="6"/>
  <c r="AG368" i="6" s="1"/>
  <c r="AH368" i="6"/>
  <c r="AI368" i="6" s="1"/>
  <c r="AF369" i="6"/>
  <c r="AG369" i="6" s="1"/>
  <c r="AH369" i="6"/>
  <c r="AI369" i="6"/>
  <c r="AF370" i="6"/>
  <c r="AG370" i="6" s="1"/>
  <c r="AH370" i="6"/>
  <c r="AI370" i="6" s="1"/>
  <c r="AF371" i="6"/>
  <c r="AG371" i="6" s="1"/>
  <c r="AH371" i="6"/>
  <c r="AI371" i="6" s="1"/>
  <c r="AF372" i="6"/>
  <c r="AG372" i="6" s="1"/>
  <c r="AH372" i="6"/>
  <c r="AI372" i="6"/>
  <c r="AF373" i="6"/>
  <c r="AG373" i="6" s="1"/>
  <c r="AH373" i="6"/>
  <c r="AI373" i="6" s="1"/>
  <c r="AF374" i="6"/>
  <c r="AG374" i="6" s="1"/>
  <c r="AH374" i="6"/>
  <c r="AI374" i="6" s="1"/>
  <c r="AF375" i="6"/>
  <c r="AG375" i="6" s="1"/>
  <c r="AH375" i="6"/>
  <c r="AI375" i="6"/>
  <c r="AF376" i="6"/>
  <c r="AG376" i="6" s="1"/>
  <c r="AH376" i="6"/>
  <c r="AI376" i="6" s="1"/>
  <c r="AF377" i="6"/>
  <c r="AG377" i="6" s="1"/>
  <c r="AH377" i="6"/>
  <c r="AI377" i="6"/>
  <c r="AF378" i="6"/>
  <c r="AG378" i="6" s="1"/>
  <c r="AH378" i="6"/>
  <c r="AI378" i="6" s="1"/>
  <c r="AF379" i="6"/>
  <c r="AG379" i="6" s="1"/>
  <c r="AH379" i="6"/>
  <c r="AI379" i="6" s="1"/>
  <c r="AF380" i="6"/>
  <c r="AG380" i="6" s="1"/>
  <c r="AH380" i="6"/>
  <c r="AI380" i="6"/>
  <c r="AF381" i="6"/>
  <c r="AG381" i="6" s="1"/>
  <c r="AH381" i="6"/>
  <c r="AI381" i="6"/>
  <c r="AF382" i="6"/>
  <c r="AG382" i="6" s="1"/>
  <c r="AH382" i="6"/>
  <c r="AI382" i="6" s="1"/>
  <c r="AF383" i="6"/>
  <c r="AG383" i="6" s="1"/>
  <c r="AH383" i="6"/>
  <c r="AI383" i="6"/>
  <c r="AF384" i="6"/>
  <c r="AG384" i="6" s="1"/>
  <c r="AH384" i="6"/>
  <c r="AI384" i="6"/>
  <c r="AF385" i="6"/>
  <c r="AG385" i="6" s="1"/>
  <c r="AH385" i="6"/>
  <c r="AI385" i="6" s="1"/>
  <c r="AF386" i="6"/>
  <c r="AG386" i="6" s="1"/>
  <c r="AH386" i="6"/>
  <c r="AI386" i="6" s="1"/>
  <c r="AF387" i="6"/>
  <c r="AG387" i="6" s="1"/>
  <c r="AH387" i="6"/>
  <c r="AI387" i="6"/>
  <c r="AF388" i="6"/>
  <c r="AG388" i="6" s="1"/>
  <c r="AH388" i="6"/>
  <c r="AI388" i="6" s="1"/>
  <c r="AF389" i="6"/>
  <c r="AG389" i="6" s="1"/>
  <c r="AH389" i="6"/>
  <c r="AI389" i="6"/>
  <c r="AF390" i="6"/>
  <c r="AG390" i="6" s="1"/>
  <c r="AH390" i="6"/>
  <c r="AI390" i="6" s="1"/>
  <c r="AF391" i="6"/>
  <c r="AG391" i="6" s="1"/>
  <c r="AH391" i="6"/>
  <c r="AI391" i="6" s="1"/>
  <c r="AF392" i="6"/>
  <c r="AG392" i="6" s="1"/>
  <c r="AH392" i="6"/>
  <c r="AI392" i="6"/>
  <c r="AF393" i="6"/>
  <c r="AG393" i="6" s="1"/>
  <c r="AH393" i="6"/>
  <c r="AI393" i="6"/>
  <c r="AF394" i="6"/>
  <c r="AG394" i="6" s="1"/>
  <c r="AH394" i="6"/>
  <c r="AI394" i="6" s="1"/>
  <c r="AF395" i="6"/>
  <c r="AG395" i="6"/>
  <c r="AH395" i="6"/>
  <c r="AI395" i="6" s="1"/>
  <c r="AF396" i="6"/>
  <c r="AG396" i="6" s="1"/>
  <c r="AH396" i="6"/>
  <c r="AI396" i="6" s="1"/>
  <c r="AF397" i="6"/>
  <c r="AG397" i="6" s="1"/>
  <c r="AH397" i="6"/>
  <c r="AI397" i="6" s="1"/>
  <c r="AF398" i="6"/>
  <c r="AG398" i="6" s="1"/>
  <c r="AH398" i="6"/>
  <c r="AI398" i="6" s="1"/>
  <c r="AF399" i="6"/>
  <c r="AG399" i="6" s="1"/>
  <c r="AH399" i="6"/>
  <c r="AI399" i="6"/>
  <c r="AF400" i="6"/>
  <c r="AG400" i="6" s="1"/>
  <c r="AH400" i="6"/>
  <c r="AI400" i="6" s="1"/>
  <c r="AF401" i="6"/>
  <c r="AG401" i="6" s="1"/>
  <c r="AH401" i="6"/>
  <c r="AI401" i="6" s="1"/>
  <c r="AF402" i="6"/>
  <c r="AG402" i="6" s="1"/>
  <c r="AH402" i="6"/>
  <c r="AI402" i="6" s="1"/>
  <c r="AF403" i="6"/>
  <c r="AG403" i="6" s="1"/>
  <c r="AH403" i="6"/>
  <c r="AI403" i="6" s="1"/>
  <c r="AF404" i="6"/>
  <c r="AG404" i="6" s="1"/>
  <c r="AH404" i="6"/>
  <c r="AI404" i="6" s="1"/>
  <c r="AF405" i="6"/>
  <c r="AG405" i="6" s="1"/>
  <c r="AH405" i="6"/>
  <c r="AI405" i="6"/>
  <c r="AF406" i="6"/>
  <c r="AG406" i="6" s="1"/>
  <c r="AH406" i="6"/>
  <c r="AI406" i="6" s="1"/>
  <c r="AF407" i="6"/>
  <c r="AG407" i="6"/>
  <c r="AH407" i="6"/>
  <c r="AI407" i="6" s="1"/>
  <c r="AF408" i="6"/>
  <c r="AG408" i="6" s="1"/>
  <c r="AH408" i="6"/>
  <c r="AI408" i="6" s="1"/>
  <c r="AF409" i="6"/>
  <c r="AG409" i="6" s="1"/>
  <c r="AH409" i="6"/>
  <c r="AI409" i="6"/>
  <c r="AF410" i="6"/>
  <c r="AG410" i="6" s="1"/>
  <c r="AH410" i="6"/>
  <c r="AI410" i="6" s="1"/>
  <c r="AF411" i="6"/>
  <c r="AG411" i="6"/>
  <c r="AH411" i="6"/>
  <c r="AI411" i="6" s="1"/>
  <c r="AF412" i="6"/>
  <c r="AG412" i="6" s="1"/>
  <c r="AH412" i="6"/>
  <c r="AI412" i="6" s="1"/>
  <c r="AF413" i="6"/>
  <c r="AG413" i="6"/>
  <c r="AH413" i="6"/>
  <c r="AI413" i="6" s="1"/>
  <c r="AF414" i="6"/>
  <c r="AG414" i="6" s="1"/>
  <c r="AH414" i="6"/>
  <c r="AI414" i="6" s="1"/>
  <c r="AF415" i="6"/>
  <c r="AG415" i="6" s="1"/>
  <c r="AH415" i="6"/>
  <c r="AI415" i="6"/>
  <c r="AF416" i="6"/>
  <c r="AG416" i="6" s="1"/>
  <c r="AH416" i="6"/>
  <c r="AI416" i="6" s="1"/>
  <c r="AF417" i="6"/>
  <c r="AG417" i="6" s="1"/>
  <c r="AH417" i="6"/>
  <c r="AI417" i="6" s="1"/>
  <c r="AF418" i="6"/>
  <c r="AG418" i="6" s="1"/>
  <c r="AH418" i="6"/>
  <c r="AI418" i="6" s="1"/>
  <c r="AF419" i="6"/>
  <c r="AG419" i="6" s="1"/>
  <c r="AH419" i="6"/>
  <c r="AI419" i="6" s="1"/>
  <c r="AF420" i="6"/>
  <c r="AG420" i="6" s="1"/>
  <c r="AH420" i="6"/>
  <c r="AI420" i="6" s="1"/>
  <c r="AF421" i="6"/>
  <c r="AG421" i="6" s="1"/>
  <c r="AH421" i="6"/>
  <c r="AI421" i="6"/>
  <c r="AF422" i="6"/>
  <c r="AG422" i="6" s="1"/>
  <c r="AH422" i="6"/>
  <c r="AI422" i="6" s="1"/>
  <c r="AF423" i="6"/>
  <c r="AG423" i="6"/>
  <c r="AH423" i="6"/>
  <c r="AI423" i="6" s="1"/>
  <c r="AF424" i="6"/>
  <c r="AG424" i="6" s="1"/>
  <c r="AH424" i="6"/>
  <c r="AI424" i="6" s="1"/>
  <c r="AF425" i="6"/>
  <c r="AG425" i="6" s="1"/>
  <c r="AH425" i="6"/>
  <c r="AI425" i="6"/>
  <c r="AF426" i="6"/>
  <c r="AG426" i="6" s="1"/>
  <c r="AH426" i="6"/>
  <c r="AI426" i="6" s="1"/>
  <c r="AF427" i="6"/>
  <c r="AG427" i="6"/>
  <c r="AH427" i="6"/>
  <c r="AI427" i="6" s="1"/>
  <c r="AF428" i="6"/>
  <c r="AG428" i="6" s="1"/>
  <c r="AH428" i="6"/>
  <c r="AI428" i="6" s="1"/>
  <c r="AF429" i="6"/>
  <c r="AG429" i="6"/>
  <c r="AH429" i="6"/>
  <c r="AI429" i="6" s="1"/>
  <c r="AF430" i="6"/>
  <c r="AG430" i="6" s="1"/>
  <c r="AH430" i="6"/>
  <c r="AI430" i="6" s="1"/>
  <c r="AF431" i="6"/>
  <c r="AG431" i="6" s="1"/>
  <c r="AH431" i="6"/>
  <c r="AI431" i="6"/>
  <c r="AF432" i="6"/>
  <c r="AG432" i="6" s="1"/>
  <c r="AH432" i="6"/>
  <c r="AI432" i="6" s="1"/>
  <c r="AF433" i="6"/>
  <c r="AG433" i="6" s="1"/>
  <c r="AH433" i="6"/>
  <c r="AI433" i="6"/>
  <c r="AF434" i="6"/>
  <c r="AG434" i="6" s="1"/>
  <c r="AH434" i="6"/>
  <c r="AI434" i="6" s="1"/>
  <c r="AF435" i="6"/>
  <c r="AG435" i="6" s="1"/>
  <c r="AH435" i="6"/>
  <c r="AI435" i="6" s="1"/>
  <c r="AF436" i="6"/>
  <c r="AG436" i="6" s="1"/>
  <c r="AH436" i="6"/>
  <c r="AI436" i="6" s="1"/>
  <c r="AF437" i="6"/>
  <c r="AG437" i="6" s="1"/>
  <c r="AH437" i="6"/>
  <c r="AI437" i="6"/>
  <c r="AF438" i="6"/>
  <c r="AG438" i="6" s="1"/>
  <c r="AH438" i="6"/>
  <c r="AI438" i="6" s="1"/>
  <c r="AF439" i="6"/>
  <c r="AG439" i="6"/>
  <c r="AH439" i="6"/>
  <c r="AI439" i="6" s="1"/>
  <c r="AF440" i="6"/>
  <c r="AG440" i="6" s="1"/>
  <c r="AH440" i="6"/>
  <c r="AI440" i="6" s="1"/>
  <c r="AF441" i="6"/>
  <c r="AG441" i="6" s="1"/>
  <c r="AH441" i="6"/>
  <c r="AI441" i="6"/>
  <c r="AF442" i="6"/>
  <c r="AG442" i="6" s="1"/>
  <c r="AH442" i="6"/>
  <c r="AI442" i="6" s="1"/>
  <c r="AF443" i="6"/>
  <c r="AG443" i="6"/>
  <c r="AH443" i="6"/>
  <c r="AI443" i="6" s="1"/>
  <c r="AF444" i="6"/>
  <c r="AG444" i="6" s="1"/>
  <c r="AH444" i="6"/>
  <c r="AI444" i="6" s="1"/>
  <c r="AF445" i="6"/>
  <c r="AG445" i="6"/>
  <c r="AH445" i="6"/>
  <c r="AI445" i="6" s="1"/>
  <c r="AF446" i="6"/>
  <c r="AG446" i="6" s="1"/>
  <c r="AH446" i="6"/>
  <c r="AI446" i="6" s="1"/>
  <c r="AF447" i="6"/>
  <c r="AG447" i="6" s="1"/>
  <c r="AH447" i="6"/>
  <c r="AI447" i="6"/>
  <c r="AF448" i="6"/>
  <c r="AG448" i="6" s="1"/>
  <c r="AH448" i="6"/>
  <c r="AI448" i="6" s="1"/>
  <c r="AF449" i="6"/>
  <c r="AG449" i="6" s="1"/>
  <c r="AH449" i="6"/>
  <c r="AI449" i="6" s="1"/>
  <c r="AF450" i="6"/>
  <c r="AG450" i="6" s="1"/>
  <c r="AH450" i="6"/>
  <c r="AI450" i="6" s="1"/>
  <c r="AF451" i="6"/>
  <c r="AG451" i="6" s="1"/>
  <c r="AH451" i="6"/>
  <c r="AI451" i="6" s="1"/>
  <c r="AF452" i="6"/>
  <c r="AG452" i="6" s="1"/>
  <c r="AH452" i="6"/>
  <c r="AI452" i="6" s="1"/>
  <c r="AF453" i="6"/>
  <c r="AG453" i="6" s="1"/>
  <c r="AH453" i="6"/>
  <c r="AI453" i="6"/>
  <c r="AF454" i="6"/>
  <c r="AG454" i="6" s="1"/>
  <c r="AH454" i="6"/>
  <c r="AI454" i="6" s="1"/>
  <c r="AF455" i="6"/>
  <c r="AG455" i="6" s="1"/>
  <c r="AH455" i="6"/>
  <c r="AI455" i="6" s="1"/>
  <c r="AF456" i="6"/>
  <c r="AG456" i="6" s="1"/>
  <c r="AH456" i="6"/>
  <c r="AI456" i="6" s="1"/>
  <c r="AF457" i="6"/>
  <c r="AG457" i="6" s="1"/>
  <c r="AH457" i="6"/>
  <c r="AI457" i="6"/>
  <c r="AF458" i="6"/>
  <c r="AG458" i="6" s="1"/>
  <c r="AH458" i="6"/>
  <c r="AI458" i="6" s="1"/>
  <c r="AF459" i="6"/>
  <c r="AG459" i="6"/>
  <c r="AH459" i="6"/>
  <c r="AI459" i="6" s="1"/>
  <c r="AF460" i="6"/>
  <c r="AG460" i="6" s="1"/>
  <c r="AH460" i="6"/>
  <c r="AI460" i="6" s="1"/>
  <c r="AF461" i="6"/>
  <c r="AG461" i="6"/>
  <c r="AH461" i="6"/>
  <c r="AI461" i="6" s="1"/>
  <c r="AF462" i="6"/>
  <c r="AG462" i="6" s="1"/>
  <c r="AH462" i="6"/>
  <c r="AI462" i="6" s="1"/>
  <c r="AF463" i="6"/>
  <c r="AG463" i="6" s="1"/>
  <c r="AH463" i="6"/>
  <c r="AI463" i="6"/>
  <c r="AF464" i="6"/>
  <c r="AG464" i="6" s="1"/>
  <c r="AH464" i="6"/>
  <c r="AI464" i="6" s="1"/>
  <c r="AF465" i="6"/>
  <c r="AG465" i="6" s="1"/>
  <c r="AH465" i="6"/>
  <c r="AI465" i="6" s="1"/>
  <c r="AF466" i="6"/>
  <c r="AG466" i="6" s="1"/>
  <c r="AH466" i="6"/>
  <c r="AI466" i="6"/>
  <c r="AF467" i="6"/>
  <c r="AG467" i="6" s="1"/>
  <c r="AH467" i="6"/>
  <c r="AI467" i="6" s="1"/>
  <c r="AF468" i="6"/>
  <c r="AG468" i="6" s="1"/>
  <c r="AH468" i="6"/>
  <c r="AI468" i="6" s="1"/>
  <c r="AF469" i="6"/>
  <c r="AG469" i="6" s="1"/>
  <c r="AH469" i="6"/>
  <c r="AI469" i="6" s="1"/>
  <c r="AF470" i="6"/>
  <c r="AG470" i="6" s="1"/>
  <c r="AH470" i="6"/>
  <c r="AI470" i="6"/>
  <c r="AF471" i="6"/>
  <c r="AG471" i="6" s="1"/>
  <c r="AH471" i="6"/>
  <c r="AI471" i="6" s="1"/>
  <c r="AF472" i="6"/>
  <c r="AG472" i="6" s="1"/>
  <c r="AH472" i="6"/>
  <c r="AI472" i="6" s="1"/>
  <c r="AF473" i="6"/>
  <c r="AG473" i="6" s="1"/>
  <c r="AH473" i="6"/>
  <c r="AI473" i="6" s="1"/>
  <c r="AF474" i="6"/>
  <c r="AG474" i="6" s="1"/>
  <c r="AH474" i="6"/>
  <c r="AI474" i="6" s="1"/>
  <c r="AF475" i="6"/>
  <c r="AG475" i="6" s="1"/>
  <c r="AH475" i="6"/>
  <c r="AI475" i="6" s="1"/>
  <c r="AF476" i="6"/>
  <c r="AG476" i="6" s="1"/>
  <c r="AH476" i="6"/>
  <c r="AI476" i="6" s="1"/>
  <c r="AF477" i="6"/>
  <c r="AG477" i="6"/>
  <c r="AH477" i="6"/>
  <c r="AI477" i="6" s="1"/>
  <c r="AF478" i="6"/>
  <c r="AG478" i="6" s="1"/>
  <c r="AH478" i="6"/>
  <c r="AI478" i="6"/>
  <c r="AF479" i="6"/>
  <c r="AG479" i="6" s="1"/>
  <c r="AH479" i="6"/>
  <c r="AI479" i="6" s="1"/>
  <c r="AF480" i="6"/>
  <c r="AG480" i="6" s="1"/>
  <c r="AH480" i="6"/>
  <c r="AI480" i="6" s="1"/>
  <c r="AF481" i="6"/>
  <c r="AG481" i="6" s="1"/>
  <c r="AH481" i="6"/>
  <c r="AI481" i="6" s="1"/>
  <c r="AF482" i="6"/>
  <c r="AG482" i="6" s="1"/>
  <c r="AH482" i="6"/>
  <c r="AI482" i="6"/>
  <c r="AF483" i="6"/>
  <c r="AG483" i="6" s="1"/>
  <c r="AH483" i="6"/>
  <c r="AI483" i="6" s="1"/>
  <c r="AF484" i="6"/>
  <c r="AG484" i="6"/>
  <c r="AH484" i="6"/>
  <c r="AI484" i="6" s="1"/>
  <c r="AF485" i="6"/>
  <c r="AG485" i="6" s="1"/>
  <c r="AH485" i="6"/>
  <c r="AI485" i="6" s="1"/>
  <c r="AF486" i="6"/>
  <c r="AG486" i="6" s="1"/>
  <c r="AH486" i="6"/>
  <c r="AI486" i="6" s="1"/>
  <c r="AF487" i="6"/>
  <c r="AG487" i="6"/>
  <c r="AH487" i="6"/>
  <c r="AI487" i="6" s="1"/>
  <c r="AF488" i="6"/>
  <c r="AG488" i="6"/>
  <c r="AH488" i="6"/>
  <c r="AI488" i="6" s="1"/>
  <c r="AF489" i="6"/>
  <c r="AG489" i="6" s="1"/>
  <c r="AH489" i="6"/>
  <c r="AI489" i="6" s="1"/>
  <c r="AF490" i="6"/>
  <c r="AG490" i="6" s="1"/>
  <c r="AH490" i="6"/>
  <c r="AI490" i="6" s="1"/>
  <c r="AF491" i="6"/>
  <c r="AG491" i="6" s="1"/>
  <c r="AH491" i="6"/>
  <c r="AI491" i="6" s="1"/>
  <c r="AF492" i="6"/>
  <c r="AG492" i="6" s="1"/>
  <c r="AH492" i="6"/>
  <c r="AI492" i="6"/>
  <c r="AF493" i="6"/>
  <c r="AG493" i="6" s="1"/>
  <c r="AH493" i="6"/>
  <c r="AI493" i="6" s="1"/>
  <c r="AF494" i="6"/>
  <c r="AG494" i="6" s="1"/>
  <c r="AH494" i="6"/>
  <c r="AI494" i="6"/>
  <c r="AF495" i="6"/>
  <c r="AG495" i="6" s="1"/>
  <c r="AH495" i="6"/>
  <c r="AI495" i="6" s="1"/>
  <c r="AF496" i="6"/>
  <c r="AG496" i="6" s="1"/>
  <c r="AH496" i="6"/>
  <c r="AI496" i="6" s="1"/>
  <c r="AF497" i="6"/>
  <c r="AG497" i="6" s="1"/>
  <c r="AH497" i="6"/>
  <c r="AI497" i="6" s="1"/>
  <c r="AF498" i="6"/>
  <c r="AG498" i="6"/>
  <c r="AH498" i="6"/>
  <c r="AI498" i="6" s="1"/>
  <c r="AF499" i="6"/>
  <c r="AG499" i="6"/>
  <c r="AH499" i="6"/>
  <c r="AI499" i="6" s="1"/>
  <c r="AF500" i="6"/>
  <c r="AG500" i="6"/>
  <c r="AH500" i="6"/>
  <c r="AI500" i="6" s="1"/>
  <c r="AF501" i="6"/>
  <c r="AG501" i="6" s="1"/>
  <c r="AH501" i="6"/>
  <c r="AI501" i="6" s="1"/>
  <c r="AF502" i="6"/>
  <c r="AG502" i="6" s="1"/>
  <c r="AH502" i="6"/>
  <c r="AI502" i="6" s="1"/>
  <c r="AF503" i="6"/>
  <c r="AG503" i="6"/>
  <c r="AH503" i="6"/>
  <c r="AI503" i="6" s="1"/>
  <c r="AF504" i="6"/>
  <c r="AG504" i="6" s="1"/>
  <c r="AH504" i="6"/>
  <c r="AI504" i="6"/>
  <c r="AF505" i="6"/>
  <c r="AG505" i="6" s="1"/>
  <c r="AH505" i="6"/>
  <c r="AI505" i="6" s="1"/>
  <c r="AF506" i="6"/>
  <c r="AG506" i="6"/>
  <c r="AH506" i="6"/>
  <c r="AI506" i="6" s="1"/>
  <c r="AF507" i="6"/>
  <c r="AG507" i="6"/>
  <c r="AH507" i="6"/>
  <c r="AI507" i="6" s="1"/>
  <c r="AF508" i="6"/>
  <c r="AG508" i="6" s="1"/>
  <c r="AH508" i="6"/>
  <c r="AI508" i="6"/>
  <c r="AF509" i="6"/>
  <c r="AG509" i="6"/>
  <c r="AH509" i="6"/>
  <c r="AI509" i="6" s="1"/>
  <c r="AF510" i="6"/>
  <c r="AG510" i="6"/>
  <c r="AH510" i="6"/>
  <c r="AI510" i="6" s="1"/>
  <c r="AF511" i="6"/>
  <c r="AG511" i="6" s="1"/>
  <c r="AH511" i="6"/>
  <c r="AI511" i="6" s="1"/>
  <c r="AF512" i="6"/>
  <c r="AG512" i="6" s="1"/>
  <c r="AH512" i="6"/>
  <c r="AI512" i="6" s="1"/>
  <c r="AF513" i="6"/>
  <c r="AG513" i="6"/>
  <c r="AH513" i="6"/>
  <c r="AI513" i="6" s="1"/>
  <c r="AF514" i="6"/>
  <c r="AG514" i="6"/>
  <c r="AH514" i="6"/>
  <c r="AI514" i="6"/>
  <c r="AF515" i="6"/>
  <c r="AG515" i="6"/>
  <c r="AH515" i="6"/>
  <c r="AI515" i="6" s="1"/>
  <c r="AF516" i="6"/>
  <c r="AG516" i="6" s="1"/>
  <c r="AH516" i="6"/>
  <c r="AI516" i="6" s="1"/>
  <c r="AF517" i="6"/>
  <c r="AG517" i="6" s="1"/>
  <c r="AH517" i="6"/>
  <c r="AI517" i="6" s="1"/>
  <c r="AF518" i="6"/>
  <c r="AG518" i="6" s="1"/>
  <c r="AH518" i="6"/>
  <c r="AI518" i="6" s="1"/>
  <c r="AF519" i="6"/>
  <c r="AG519" i="6" s="1"/>
  <c r="AH519" i="6"/>
  <c r="AI519" i="6" s="1"/>
  <c r="AF520" i="6"/>
  <c r="AG520" i="6"/>
  <c r="AH520" i="6"/>
  <c r="AI520" i="6"/>
  <c r="AF521" i="6"/>
  <c r="AG521" i="6" s="1"/>
  <c r="AH521" i="6"/>
  <c r="AI521" i="6" s="1"/>
  <c r="AF522" i="6"/>
  <c r="AG522" i="6"/>
  <c r="AH522" i="6"/>
  <c r="AI522" i="6" s="1"/>
  <c r="AF523" i="6"/>
  <c r="AG523" i="6" s="1"/>
  <c r="AH523" i="6"/>
  <c r="AI523" i="6" s="1"/>
  <c r="AF524" i="6"/>
  <c r="AG524" i="6" s="1"/>
  <c r="AH524" i="6"/>
  <c r="AI524" i="6" s="1"/>
  <c r="AF525" i="6"/>
  <c r="AG525" i="6"/>
  <c r="AH525" i="6"/>
  <c r="AI525" i="6" s="1"/>
  <c r="AF526" i="6"/>
  <c r="AG526" i="6"/>
  <c r="AH526" i="6"/>
  <c r="AI526" i="6" s="1"/>
  <c r="AF527" i="6"/>
  <c r="AG527" i="6" s="1"/>
  <c r="AH527" i="6"/>
  <c r="AI527" i="6" s="1"/>
  <c r="AF528" i="6"/>
  <c r="AG528" i="6" s="1"/>
  <c r="AH528" i="6"/>
  <c r="AI528" i="6" s="1"/>
  <c r="AF529" i="6"/>
  <c r="AG529" i="6"/>
  <c r="AH529" i="6"/>
  <c r="AI529" i="6" s="1"/>
  <c r="AF530" i="6"/>
  <c r="AG530" i="6" s="1"/>
  <c r="AH530" i="6"/>
  <c r="AI530" i="6"/>
  <c r="AF531" i="6"/>
  <c r="AG531" i="6" s="1"/>
  <c r="AH531" i="6"/>
  <c r="AI531" i="6" s="1"/>
  <c r="AF532" i="6"/>
  <c r="AG532" i="6" s="1"/>
  <c r="AH532" i="6"/>
  <c r="AI532" i="6" s="1"/>
  <c r="AF533" i="6"/>
  <c r="AG533" i="6" s="1"/>
  <c r="AH533" i="6"/>
  <c r="AI533" i="6" s="1"/>
  <c r="AF534" i="6"/>
  <c r="AG534" i="6" s="1"/>
  <c r="AH534" i="6"/>
  <c r="AI534" i="6"/>
  <c r="AF535" i="6"/>
  <c r="AG535" i="6" s="1"/>
  <c r="AH535" i="6"/>
  <c r="AI535" i="6" s="1"/>
  <c r="AF536" i="6"/>
  <c r="AG536" i="6"/>
  <c r="AH536" i="6"/>
  <c r="AI536" i="6" s="1"/>
  <c r="AF537" i="6"/>
  <c r="AG537" i="6" s="1"/>
  <c r="AH537" i="6"/>
  <c r="AI537" i="6" s="1"/>
  <c r="AF538" i="6"/>
  <c r="AG538" i="6" s="1"/>
  <c r="AH538" i="6"/>
  <c r="AI538" i="6" s="1"/>
  <c r="AF539" i="6"/>
  <c r="AG539" i="6" s="1"/>
  <c r="AH539" i="6"/>
  <c r="AI539" i="6" s="1"/>
  <c r="AF540" i="6"/>
  <c r="AG540" i="6" s="1"/>
  <c r="AH540" i="6"/>
  <c r="AI540" i="6" s="1"/>
  <c r="AF541" i="6"/>
  <c r="AG541" i="6"/>
  <c r="AH541" i="6"/>
  <c r="AI541" i="6" s="1"/>
  <c r="AF542" i="6"/>
  <c r="AG542" i="6" s="1"/>
  <c r="AH542" i="6"/>
  <c r="AI542" i="6"/>
  <c r="AF543" i="6"/>
  <c r="AG543" i="6" s="1"/>
  <c r="AH543" i="6"/>
  <c r="AI543" i="6" s="1"/>
  <c r="AF544" i="6"/>
  <c r="AG544" i="6" s="1"/>
  <c r="AH544" i="6"/>
  <c r="AI544" i="6" s="1"/>
  <c r="AF545" i="6"/>
  <c r="AG545" i="6" s="1"/>
  <c r="AH545" i="6"/>
  <c r="AI545" i="6" s="1"/>
  <c r="AF546" i="6"/>
  <c r="AG546" i="6" s="1"/>
  <c r="AH546" i="6"/>
  <c r="AI546" i="6"/>
  <c r="AF547" i="6"/>
  <c r="AG547" i="6" s="1"/>
  <c r="AH547" i="6"/>
  <c r="AI547" i="6" s="1"/>
  <c r="AF548" i="6"/>
  <c r="AG548" i="6"/>
  <c r="AH548" i="6"/>
  <c r="AI548" i="6" s="1"/>
  <c r="AF549" i="6"/>
  <c r="AG549" i="6" s="1"/>
  <c r="AH549" i="6"/>
  <c r="AI549" i="6" s="1"/>
  <c r="AF550" i="6"/>
  <c r="AG550" i="6" s="1"/>
  <c r="AH550" i="6"/>
  <c r="AI550" i="6" s="1"/>
  <c r="AF551" i="6"/>
  <c r="AG551" i="6"/>
  <c r="AH551" i="6"/>
  <c r="AI551" i="6" s="1"/>
  <c r="AF552" i="6"/>
  <c r="AG552" i="6"/>
  <c r="AH552" i="6"/>
  <c r="AI552" i="6"/>
  <c r="AF553" i="6"/>
  <c r="AG553" i="6" s="1"/>
  <c r="AH553" i="6"/>
  <c r="AI553" i="6" s="1"/>
  <c r="AF554" i="6"/>
  <c r="AG554" i="6" s="1"/>
  <c r="AH554" i="6"/>
  <c r="AI554" i="6" s="1"/>
  <c r="AF555" i="6"/>
  <c r="AG555" i="6"/>
  <c r="AH555" i="6"/>
  <c r="AI555" i="6" s="1"/>
  <c r="AF556" i="6"/>
  <c r="AG556" i="6" s="1"/>
  <c r="AH556" i="6"/>
  <c r="AI556" i="6" s="1"/>
  <c r="AF557" i="6"/>
  <c r="AG557" i="6" s="1"/>
  <c r="AH557" i="6"/>
  <c r="AI557" i="6" s="1"/>
  <c r="AF558" i="6"/>
  <c r="AG558" i="6"/>
  <c r="AH558" i="6"/>
  <c r="AI558" i="6"/>
  <c r="AF559" i="6"/>
  <c r="AG559" i="6" s="1"/>
  <c r="AH559" i="6"/>
  <c r="AI559" i="6" s="1"/>
  <c r="AF560" i="6"/>
  <c r="AG560" i="6" s="1"/>
  <c r="AH560" i="6"/>
  <c r="AI560" i="6" s="1"/>
  <c r="AF561" i="6"/>
  <c r="AG561" i="6"/>
  <c r="AH561" i="6"/>
  <c r="AI561" i="6" s="1"/>
  <c r="AF562" i="6"/>
  <c r="AG562" i="6" s="1"/>
  <c r="AH562" i="6"/>
  <c r="AI562" i="6" s="1"/>
  <c r="AF563" i="6"/>
  <c r="AG563" i="6"/>
  <c r="AH563" i="6"/>
  <c r="AI563" i="6" s="1"/>
  <c r="AF564" i="6"/>
  <c r="AG564" i="6"/>
  <c r="AH564" i="6"/>
  <c r="AI564" i="6" s="1"/>
  <c r="AF565" i="6"/>
  <c r="AG565" i="6" s="1"/>
  <c r="AH565" i="6"/>
  <c r="AI565" i="6" s="1"/>
  <c r="AF566" i="6"/>
  <c r="AG566" i="6" s="1"/>
  <c r="AH566" i="6"/>
  <c r="AI566" i="6" s="1"/>
  <c r="AF567" i="6"/>
  <c r="AG567" i="6"/>
  <c r="AH567" i="6"/>
  <c r="AI567" i="6" s="1"/>
  <c r="AF568" i="6"/>
  <c r="AG568" i="6" s="1"/>
  <c r="AH568" i="6"/>
  <c r="AI568" i="6"/>
  <c r="AF569" i="6"/>
  <c r="AG569" i="6" s="1"/>
  <c r="AH569" i="6"/>
  <c r="AI569" i="6" s="1"/>
  <c r="AF570" i="6"/>
  <c r="AG570" i="6"/>
  <c r="AH570" i="6"/>
  <c r="AI570" i="6" s="1"/>
  <c r="AF571" i="6"/>
  <c r="AG571" i="6"/>
  <c r="AH571" i="6"/>
  <c r="AI571" i="6" s="1"/>
  <c r="AF572" i="6"/>
  <c r="AG572" i="6" s="1"/>
  <c r="AH572" i="6"/>
  <c r="AI572" i="6"/>
  <c r="AF573" i="6"/>
  <c r="AG573" i="6" s="1"/>
  <c r="AH573" i="6"/>
  <c r="AI573" i="6" s="1"/>
  <c r="AF574" i="6"/>
  <c r="AG574" i="6"/>
  <c r="AH574" i="6"/>
  <c r="AI574" i="6" s="1"/>
  <c r="AF575" i="6"/>
  <c r="AG575" i="6" s="1"/>
  <c r="AH575" i="6"/>
  <c r="AI575" i="6" s="1"/>
  <c r="AF576" i="6"/>
  <c r="AG576" i="6" s="1"/>
  <c r="AH576" i="6"/>
  <c r="AI576" i="6" s="1"/>
  <c r="AF577" i="6"/>
  <c r="AG577" i="6"/>
  <c r="AH577" i="6"/>
  <c r="AI577" i="6" s="1"/>
  <c r="AF578" i="6"/>
  <c r="AG578" i="6"/>
  <c r="AH578" i="6"/>
  <c r="AI578" i="6" s="1"/>
  <c r="AF579" i="6"/>
  <c r="AG579" i="6"/>
  <c r="AH579" i="6"/>
  <c r="AI579" i="6" s="1"/>
  <c r="AF580" i="6"/>
  <c r="AG580" i="6" s="1"/>
  <c r="AH580" i="6"/>
  <c r="AI580" i="6" s="1"/>
  <c r="AF581" i="6"/>
  <c r="AG581" i="6" s="1"/>
  <c r="AH581" i="6"/>
  <c r="AI581" i="6" s="1"/>
  <c r="AF582" i="6"/>
  <c r="AG582" i="6" s="1"/>
  <c r="AH582" i="6"/>
  <c r="AI582" i="6"/>
  <c r="AF583" i="6"/>
  <c r="AG583" i="6" s="1"/>
  <c r="AH583" i="6"/>
  <c r="AI583" i="6" s="1"/>
  <c r="AF584" i="6"/>
  <c r="AG584" i="6" s="1"/>
  <c r="AH584" i="6"/>
  <c r="AI584" i="6"/>
  <c r="AF585" i="6"/>
  <c r="AG585" i="6" s="1"/>
  <c r="AH585" i="6"/>
  <c r="AI585" i="6" s="1"/>
  <c r="AF586" i="6"/>
  <c r="AG586" i="6"/>
  <c r="AH586" i="6"/>
  <c r="AI586" i="6" s="1"/>
  <c r="AF587" i="6"/>
  <c r="AG587" i="6" s="1"/>
  <c r="AH587" i="6"/>
  <c r="AI587" i="6" s="1"/>
  <c r="AF588" i="6"/>
  <c r="AG588" i="6" s="1"/>
  <c r="AH588" i="6"/>
  <c r="AI588" i="6" s="1"/>
  <c r="AF589" i="6"/>
  <c r="AG589" i="6"/>
  <c r="AH589" i="6"/>
  <c r="AI589" i="6" s="1"/>
  <c r="AF590" i="6"/>
  <c r="AG590" i="6"/>
  <c r="AH590" i="6"/>
  <c r="AI590" i="6"/>
  <c r="AF591" i="6"/>
  <c r="AG591" i="6" s="1"/>
  <c r="AH591" i="6"/>
  <c r="AI591" i="6" s="1"/>
  <c r="AF592" i="6"/>
  <c r="AG592" i="6" s="1"/>
  <c r="AH592" i="6"/>
  <c r="AI592" i="6" s="1"/>
  <c r="AF593" i="6"/>
  <c r="AG593" i="6"/>
  <c r="AH593" i="6"/>
  <c r="AI593" i="6" s="1"/>
  <c r="AF594" i="6"/>
  <c r="AG594" i="6" s="1"/>
  <c r="AH594" i="6"/>
  <c r="AI594" i="6" s="1"/>
  <c r="AF595" i="6"/>
  <c r="AG595" i="6" s="1"/>
  <c r="AH595" i="6"/>
  <c r="AI595" i="6" s="1"/>
  <c r="AF596" i="6"/>
  <c r="AG596" i="6" s="1"/>
  <c r="AH596" i="6"/>
  <c r="AI596" i="6" s="1"/>
  <c r="AF597" i="6"/>
  <c r="AG597" i="6" s="1"/>
  <c r="AH597" i="6"/>
  <c r="AI597" i="6" s="1"/>
  <c r="AF598" i="6"/>
  <c r="AG598" i="6" s="1"/>
  <c r="AH598" i="6"/>
  <c r="AI598" i="6"/>
  <c r="AF599" i="6"/>
  <c r="AG599" i="6" s="1"/>
  <c r="AH599" i="6"/>
  <c r="AI599" i="6" s="1"/>
  <c r="AF600" i="6"/>
  <c r="AG600" i="6" s="1"/>
  <c r="AH600" i="6"/>
  <c r="AI600" i="6" s="1"/>
  <c r="AF601" i="6"/>
  <c r="AG601" i="6" s="1"/>
  <c r="AH601" i="6"/>
  <c r="AI601" i="6" s="1"/>
  <c r="AF602" i="6"/>
  <c r="AG602" i="6" s="1"/>
  <c r="AH602" i="6"/>
  <c r="AI602" i="6" s="1"/>
  <c r="AF603" i="6"/>
  <c r="AG603" i="6" s="1"/>
  <c r="AH603" i="6"/>
  <c r="AI603" i="6" s="1"/>
  <c r="AF604" i="6"/>
  <c r="AG604" i="6" s="1"/>
  <c r="AH604" i="6"/>
  <c r="AI604" i="6"/>
  <c r="AF605" i="6"/>
  <c r="AG605" i="6"/>
  <c r="AH605" i="6"/>
  <c r="AI605" i="6" s="1"/>
  <c r="AF606" i="6"/>
  <c r="AG606" i="6" s="1"/>
  <c r="AH606" i="6"/>
  <c r="AI606" i="6"/>
  <c r="AF607" i="6"/>
  <c r="AG607" i="6" s="1"/>
  <c r="AH607" i="6"/>
  <c r="AI607" i="6" s="1"/>
  <c r="AF608" i="6"/>
  <c r="AG608" i="6" s="1"/>
  <c r="AH608" i="6"/>
  <c r="AI608" i="6" s="1"/>
  <c r="AF609" i="6"/>
  <c r="AG609" i="6" s="1"/>
  <c r="AH609" i="6"/>
  <c r="AI609" i="6" s="1"/>
  <c r="AF610" i="6"/>
  <c r="AG610" i="6" s="1"/>
  <c r="AH610" i="6"/>
  <c r="AI610" i="6"/>
  <c r="AF611" i="6"/>
  <c r="AG611" i="6" s="1"/>
  <c r="AH611" i="6"/>
  <c r="AI611" i="6" s="1"/>
  <c r="AF612" i="6"/>
  <c r="AG612" i="6"/>
  <c r="AH612" i="6"/>
  <c r="AI612" i="6" s="1"/>
  <c r="AF613" i="6"/>
  <c r="AG613" i="6" s="1"/>
  <c r="AH613" i="6"/>
  <c r="AI613" i="6" s="1"/>
  <c r="AF614" i="6"/>
  <c r="AG614" i="6" s="1"/>
  <c r="AH614" i="6"/>
  <c r="AI614" i="6" s="1"/>
  <c r="AF615" i="6"/>
  <c r="AG615" i="6"/>
  <c r="AH615" i="6"/>
  <c r="AI615" i="6" s="1"/>
  <c r="AF616" i="6"/>
  <c r="AG616" i="6"/>
  <c r="AH616" i="6"/>
  <c r="AI616" i="6" s="1"/>
  <c r="AF617" i="6"/>
  <c r="AG617" i="6" s="1"/>
  <c r="AH617" i="6"/>
  <c r="AI617" i="6" s="1"/>
  <c r="AF618" i="6"/>
  <c r="AG618" i="6" s="1"/>
  <c r="AH618" i="6"/>
  <c r="AI618" i="6" s="1"/>
  <c r="AF619" i="6"/>
  <c r="AG619" i="6" s="1"/>
  <c r="AF620" i="6"/>
  <c r="AG620" i="6" s="1"/>
  <c r="AF621" i="6"/>
  <c r="AG621" i="6" s="1"/>
  <c r="AF622" i="6"/>
  <c r="AG622" i="6" s="1"/>
  <c r="AH622" i="6"/>
  <c r="AI622" i="6"/>
  <c r="AF623" i="6"/>
  <c r="AG623" i="6" s="1"/>
  <c r="AF624" i="6"/>
  <c r="AG624" i="6" s="1"/>
  <c r="AF625" i="6"/>
  <c r="AG625" i="6" s="1"/>
  <c r="AF626" i="6"/>
  <c r="AG626" i="6"/>
  <c r="AF627" i="6"/>
  <c r="AG627" i="6" s="1"/>
  <c r="AF628" i="6"/>
  <c r="AG628" i="6"/>
  <c r="AF629" i="6"/>
  <c r="AG629" i="6" s="1"/>
  <c r="AH629" i="6"/>
  <c r="AI629" i="6" s="1"/>
  <c r="AF630" i="6"/>
  <c r="AG630" i="6" s="1"/>
  <c r="AH630" i="6"/>
  <c r="AI630" i="6" s="1"/>
  <c r="AF631" i="6"/>
  <c r="AG631" i="6"/>
  <c r="AH631" i="6"/>
  <c r="AI631" i="6" s="1"/>
  <c r="AF632" i="6"/>
  <c r="AG632" i="6" s="1"/>
  <c r="AH632" i="6"/>
  <c r="AI632" i="6"/>
  <c r="AF633" i="6"/>
  <c r="AG633" i="6" s="1"/>
  <c r="AH633" i="6"/>
  <c r="AI633" i="6" s="1"/>
  <c r="AF634" i="6"/>
  <c r="AG634" i="6"/>
  <c r="AH634" i="6"/>
  <c r="AI634" i="6" s="1"/>
  <c r="AF635" i="6"/>
  <c r="AG635" i="6"/>
  <c r="AH635" i="6"/>
  <c r="AI635" i="6" s="1"/>
  <c r="AF636" i="6"/>
  <c r="AG636" i="6"/>
  <c r="AH636" i="6"/>
  <c r="AI636" i="6" s="1"/>
  <c r="AF637" i="6"/>
  <c r="AG637" i="6" s="1"/>
  <c r="AH637" i="6"/>
  <c r="AI637" i="6" s="1"/>
  <c r="AF638" i="6"/>
  <c r="AG638" i="6" s="1"/>
  <c r="AH638" i="6"/>
  <c r="AI638" i="6" s="1"/>
  <c r="AF639" i="6"/>
  <c r="AG639" i="6" s="1"/>
  <c r="AH639" i="6"/>
  <c r="AI639" i="6"/>
  <c r="AF640" i="6"/>
  <c r="AG640" i="6" s="1"/>
  <c r="AH640" i="6"/>
  <c r="AI640" i="6" s="1"/>
  <c r="AF641" i="6"/>
  <c r="AG641" i="6"/>
  <c r="AH641" i="6"/>
  <c r="AI641" i="6" s="1"/>
  <c r="AF642" i="6"/>
  <c r="AG642" i="6" s="1"/>
  <c r="AH642" i="6"/>
  <c r="AI642" i="6" s="1"/>
  <c r="AF643" i="6"/>
  <c r="AG643" i="6"/>
  <c r="AH643" i="6"/>
  <c r="AI643" i="6"/>
  <c r="AF644" i="6"/>
  <c r="AG644" i="6"/>
  <c r="AH644" i="6"/>
  <c r="AI644" i="6" s="1"/>
  <c r="AF645" i="6"/>
  <c r="AG645" i="6" s="1"/>
  <c r="AH645" i="6"/>
  <c r="AI645" i="6"/>
  <c r="AF646" i="6"/>
  <c r="AG646" i="6" s="1"/>
  <c r="AH646" i="6"/>
  <c r="AI646" i="6" s="1"/>
  <c r="AF647" i="6"/>
  <c r="AG647" i="6" s="1"/>
  <c r="AH647" i="6"/>
  <c r="AI647" i="6"/>
  <c r="AF648" i="6"/>
  <c r="AG648" i="6"/>
  <c r="AH648" i="6"/>
  <c r="AI648" i="6" s="1"/>
  <c r="AF649" i="6"/>
  <c r="AG649" i="6"/>
  <c r="AH649" i="6"/>
  <c r="AI649" i="6" s="1"/>
  <c r="AF650" i="6"/>
  <c r="AG650" i="6"/>
  <c r="AH650" i="6"/>
  <c r="AI650" i="6" s="1"/>
  <c r="AF651" i="6"/>
  <c r="AG651" i="6"/>
  <c r="AH651" i="6"/>
  <c r="AI651" i="6" s="1"/>
  <c r="AF652" i="6"/>
  <c r="AG652" i="6"/>
  <c r="AH652" i="6"/>
  <c r="AI652" i="6" s="1"/>
  <c r="AF653" i="6"/>
  <c r="AG653" i="6" s="1"/>
  <c r="AH653" i="6"/>
  <c r="AI653" i="6"/>
  <c r="AF654" i="6"/>
  <c r="AG654" i="6" s="1"/>
  <c r="AH654" i="6"/>
  <c r="AI654" i="6" s="1"/>
  <c r="AF655" i="6"/>
  <c r="AG655" i="6"/>
  <c r="AH655" i="6"/>
  <c r="AI655" i="6"/>
  <c r="AF656" i="6"/>
  <c r="AG656" i="6" s="1"/>
  <c r="AH656" i="6"/>
  <c r="AI656" i="6" s="1"/>
  <c r="AF657" i="6"/>
  <c r="AG657" i="6"/>
  <c r="AH657" i="6"/>
  <c r="AI657" i="6" s="1"/>
  <c r="AF658" i="6"/>
  <c r="AG658" i="6" s="1"/>
  <c r="AH658" i="6"/>
  <c r="AI658" i="6" s="1"/>
  <c r="AF659" i="6"/>
  <c r="AG659" i="6"/>
  <c r="AH659" i="6"/>
  <c r="AI659" i="6" s="1"/>
  <c r="AF660" i="6"/>
  <c r="AG660" i="6"/>
  <c r="AH660" i="6"/>
  <c r="AI660" i="6" s="1"/>
  <c r="AF661" i="6"/>
  <c r="AG661" i="6" s="1"/>
  <c r="AH661" i="6"/>
  <c r="AI661" i="6"/>
  <c r="AF662" i="6"/>
  <c r="AG662" i="6" s="1"/>
  <c r="AH662" i="6"/>
  <c r="AI662" i="6" s="1"/>
  <c r="AF663" i="6"/>
  <c r="AG663" i="6" s="1"/>
  <c r="AH663" i="6"/>
  <c r="AI663" i="6"/>
  <c r="AF664" i="6"/>
  <c r="AG664" i="6" s="1"/>
  <c r="AH664" i="6"/>
  <c r="AI664" i="6" s="1"/>
  <c r="AF665" i="6"/>
  <c r="AG665" i="6" s="1"/>
  <c r="AH665" i="6"/>
  <c r="AI665" i="6" s="1"/>
  <c r="AF666" i="6"/>
  <c r="AG666" i="6"/>
  <c r="AH666" i="6"/>
  <c r="AI666" i="6" s="1"/>
  <c r="AF667" i="6"/>
  <c r="AG667" i="6"/>
  <c r="AH667" i="6"/>
  <c r="AI667" i="6" s="1"/>
  <c r="AF668" i="6"/>
  <c r="AG668" i="6"/>
  <c r="AH668" i="6"/>
  <c r="AI668" i="6" s="1"/>
  <c r="AF669" i="6"/>
  <c r="AG669" i="6" s="1"/>
  <c r="AH669" i="6"/>
  <c r="AI669" i="6" s="1"/>
  <c r="AF670" i="6"/>
  <c r="AG670" i="6" s="1"/>
  <c r="AH670" i="6"/>
  <c r="AI670" i="6" s="1"/>
  <c r="AF671" i="6"/>
  <c r="AG671" i="6"/>
  <c r="AH671" i="6"/>
  <c r="AI671" i="6"/>
  <c r="AF672" i="6"/>
  <c r="AG672" i="6" s="1"/>
  <c r="AH672" i="6"/>
  <c r="AI672" i="6" s="1"/>
  <c r="AF673" i="6"/>
  <c r="AG673" i="6"/>
  <c r="AH673" i="6"/>
  <c r="AI673" i="6" s="1"/>
  <c r="AF674" i="6"/>
  <c r="AG674" i="6"/>
  <c r="AH674" i="6"/>
  <c r="AI674" i="6" s="1"/>
  <c r="AF675" i="6"/>
  <c r="AG675" i="6"/>
  <c r="AH675" i="6"/>
  <c r="AI675" i="6"/>
  <c r="V294" i="6"/>
  <c r="V302" i="6"/>
  <c r="V306" i="6"/>
  <c r="W309" i="6"/>
  <c r="V318" i="6"/>
  <c r="W325" i="6"/>
  <c r="W341" i="6"/>
  <c r="W357" i="6"/>
  <c r="W361" i="6"/>
  <c r="W366" i="6"/>
  <c r="W368" i="6"/>
  <c r="W369" i="6"/>
  <c r="W372" i="6"/>
  <c r="V376" i="6"/>
  <c r="W381" i="6"/>
  <c r="V382" i="6"/>
  <c r="W385" i="6"/>
  <c r="V386" i="6"/>
  <c r="W386" i="6"/>
  <c r="V387" i="6"/>
  <c r="W387" i="6"/>
  <c r="V388" i="6"/>
  <c r="W388" i="6"/>
  <c r="V389" i="6"/>
  <c r="W389" i="6"/>
  <c r="V390" i="6"/>
  <c r="W390" i="6"/>
  <c r="V391" i="6"/>
  <c r="W391" i="6"/>
  <c r="V392" i="6"/>
  <c r="W392" i="6"/>
  <c r="V393" i="6"/>
  <c r="W393" i="6"/>
  <c r="V394" i="6"/>
  <c r="W394" i="6"/>
  <c r="V395" i="6"/>
  <c r="W395" i="6"/>
  <c r="V396" i="6"/>
  <c r="W396" i="6"/>
  <c r="V397" i="6"/>
  <c r="W397" i="6"/>
  <c r="V398" i="6"/>
  <c r="W398" i="6"/>
  <c r="V399" i="6"/>
  <c r="W399" i="6"/>
  <c r="V400" i="6"/>
  <c r="W400" i="6"/>
  <c r="V401" i="6"/>
  <c r="W401" i="6"/>
  <c r="V402" i="6"/>
  <c r="W402" i="6"/>
  <c r="V403" i="6"/>
  <c r="W403" i="6"/>
  <c r="V404" i="6"/>
  <c r="W404" i="6"/>
  <c r="V405" i="6"/>
  <c r="W405" i="6"/>
  <c r="V406" i="6"/>
  <c r="W406" i="6"/>
  <c r="V407" i="6"/>
  <c r="W407" i="6"/>
  <c r="V408" i="6"/>
  <c r="W408" i="6"/>
  <c r="V409" i="6"/>
  <c r="W409" i="6"/>
  <c r="V410" i="6"/>
  <c r="W410" i="6"/>
  <c r="V411" i="6"/>
  <c r="W411" i="6"/>
  <c r="V412" i="6"/>
  <c r="W412" i="6"/>
  <c r="V413" i="6"/>
  <c r="W413" i="6"/>
  <c r="V414" i="6"/>
  <c r="W414" i="6"/>
  <c r="V415" i="6"/>
  <c r="W415" i="6"/>
  <c r="V416" i="6"/>
  <c r="W416" i="6"/>
  <c r="V417" i="6"/>
  <c r="W417" i="6"/>
  <c r="V418" i="6"/>
  <c r="W418" i="6"/>
  <c r="V419" i="6"/>
  <c r="W419" i="6"/>
  <c r="V420" i="6"/>
  <c r="W420" i="6"/>
  <c r="V421" i="6"/>
  <c r="W421" i="6"/>
  <c r="V422" i="6"/>
  <c r="W422" i="6"/>
  <c r="V423" i="6"/>
  <c r="W423" i="6"/>
  <c r="V424" i="6"/>
  <c r="W424" i="6"/>
  <c r="V425" i="6"/>
  <c r="W425" i="6"/>
  <c r="V426" i="6"/>
  <c r="W426" i="6"/>
  <c r="V427" i="6"/>
  <c r="W427" i="6"/>
  <c r="V428" i="6"/>
  <c r="W428" i="6"/>
  <c r="V429" i="6"/>
  <c r="W429" i="6"/>
  <c r="V430" i="6"/>
  <c r="W430" i="6"/>
  <c r="V431" i="6"/>
  <c r="W431" i="6"/>
  <c r="V432" i="6"/>
  <c r="W432" i="6"/>
  <c r="V433" i="6"/>
  <c r="W433" i="6"/>
  <c r="V434" i="6"/>
  <c r="V435" i="6"/>
  <c r="V438" i="6"/>
  <c r="W438" i="6"/>
  <c r="V440" i="6"/>
  <c r="W440" i="6"/>
  <c r="V443" i="6"/>
  <c r="V444" i="6"/>
  <c r="W444" i="6"/>
  <c r="V447" i="6"/>
  <c r="W448" i="6"/>
  <c r="W449" i="6"/>
  <c r="V452" i="6"/>
  <c r="W453" i="6"/>
  <c r="V454" i="6"/>
  <c r="V456" i="6"/>
  <c r="W456" i="6"/>
  <c r="V457" i="6"/>
  <c r="W457" i="6"/>
  <c r="V458" i="6"/>
  <c r="V460" i="6"/>
  <c r="W460" i="6"/>
  <c r="V462" i="6"/>
  <c r="W464" i="6"/>
  <c r="V465" i="6"/>
  <c r="W465" i="6"/>
  <c r="V466" i="6"/>
  <c r="W466" i="6"/>
  <c r="V467" i="6"/>
  <c r="W467" i="6"/>
  <c r="V469" i="6"/>
  <c r="W469" i="6"/>
  <c r="V470" i="6"/>
  <c r="W470" i="6"/>
  <c r="V471" i="6"/>
  <c r="W471" i="6"/>
  <c r="V472" i="6"/>
  <c r="W472" i="6"/>
  <c r="W474" i="6"/>
  <c r="V478" i="6"/>
  <c r="V479" i="6"/>
  <c r="W482" i="6"/>
  <c r="W483" i="6"/>
  <c r="V484" i="6"/>
  <c r="V487" i="6"/>
  <c r="W487" i="6"/>
  <c r="V488" i="6"/>
  <c r="W488" i="6"/>
  <c r="V489" i="6"/>
  <c r="W489" i="6"/>
  <c r="V490" i="6"/>
  <c r="W490" i="6"/>
  <c r="V491" i="6"/>
  <c r="W491" i="6"/>
  <c r="V492" i="6"/>
  <c r="W492" i="6"/>
  <c r="V493" i="6"/>
  <c r="W493" i="6"/>
  <c r="V494" i="6"/>
  <c r="W494" i="6"/>
  <c r="V495" i="6"/>
  <c r="W495" i="6"/>
  <c r="V496" i="6"/>
  <c r="W496" i="6"/>
  <c r="V497" i="6"/>
  <c r="W497" i="6"/>
  <c r="V498" i="6"/>
  <c r="W498" i="6"/>
  <c r="V499" i="6"/>
  <c r="W499" i="6"/>
  <c r="V500" i="6"/>
  <c r="W500" i="6"/>
  <c r="V501" i="6"/>
  <c r="W501" i="6"/>
  <c r="V502" i="6"/>
  <c r="W502" i="6"/>
  <c r="V503" i="6"/>
  <c r="W503" i="6"/>
  <c r="V504" i="6"/>
  <c r="W504" i="6"/>
  <c r="V505" i="6"/>
  <c r="W505" i="6"/>
  <c r="V506" i="6"/>
  <c r="W506" i="6"/>
  <c r="V507" i="6"/>
  <c r="W507" i="6"/>
  <c r="V508" i="6"/>
  <c r="W508" i="6"/>
  <c r="V509" i="6"/>
  <c r="W509" i="6"/>
  <c r="V510" i="6"/>
  <c r="W510" i="6"/>
  <c r="V511" i="6"/>
  <c r="W511" i="6"/>
  <c r="V512" i="6"/>
  <c r="W512" i="6"/>
  <c r="V513" i="6"/>
  <c r="W513" i="6"/>
  <c r="V515" i="6"/>
  <c r="V516" i="6"/>
  <c r="V519" i="6"/>
  <c r="W520" i="6"/>
  <c r="W521" i="6"/>
  <c r="V524" i="6"/>
  <c r="W525" i="6"/>
  <c r="V526" i="6"/>
  <c r="V528" i="6"/>
  <c r="V530" i="6"/>
  <c r="W530" i="6"/>
  <c r="W533" i="6"/>
  <c r="W534" i="6"/>
  <c r="W537" i="6"/>
  <c r="V539" i="6"/>
  <c r="W539" i="6"/>
  <c r="V544" i="6"/>
  <c r="W546" i="6"/>
  <c r="V547" i="6"/>
  <c r="V548" i="6"/>
  <c r="W548" i="6"/>
  <c r="V551" i="6"/>
  <c r="W553" i="6"/>
  <c r="W555" i="6"/>
  <c r="V556" i="6"/>
  <c r="W557" i="6"/>
  <c r="V558" i="6"/>
  <c r="V562" i="6"/>
  <c r="W562" i="6"/>
  <c r="W563" i="6"/>
  <c r="W565" i="6"/>
  <c r="W566" i="6"/>
  <c r="V571" i="6"/>
  <c r="W571" i="6"/>
  <c r="V574" i="6"/>
  <c r="W574" i="6"/>
  <c r="W575" i="6"/>
  <c r="W577" i="6"/>
  <c r="W578" i="6"/>
  <c r="V579" i="6"/>
  <c r="V580" i="6"/>
  <c r="W580" i="6"/>
  <c r="W581" i="6"/>
  <c r="V583" i="6"/>
  <c r="W583" i="6"/>
  <c r="W585" i="6"/>
  <c r="V586" i="6"/>
  <c r="W587" i="6"/>
  <c r="V590" i="6"/>
  <c r="V592" i="6"/>
  <c r="W592" i="6"/>
  <c r="W594" i="6"/>
  <c r="W596" i="6"/>
  <c r="W598" i="6"/>
  <c r="V599" i="6"/>
  <c r="V600" i="6"/>
  <c r="W601" i="6"/>
  <c r="V602" i="6"/>
  <c r="V603" i="6"/>
  <c r="W603" i="6"/>
  <c r="V606" i="6"/>
  <c r="W607" i="6"/>
  <c r="V608" i="6"/>
  <c r="W609" i="6"/>
  <c r="W610" i="6"/>
  <c r="V611" i="6"/>
  <c r="V612" i="6"/>
  <c r="W612" i="6"/>
  <c r="W615" i="6"/>
  <c r="V618" i="6"/>
  <c r="W618" i="6"/>
  <c r="V620" i="6"/>
  <c r="V622" i="6"/>
  <c r="V624" i="6"/>
  <c r="V626" i="6"/>
  <c r="W629" i="6"/>
  <c r="V631" i="6"/>
  <c r="V634" i="6"/>
  <c r="W635" i="6"/>
  <c r="V638" i="6"/>
  <c r="W638" i="6"/>
  <c r="W639" i="6"/>
  <c r="W640" i="6"/>
  <c r="W641" i="6"/>
  <c r="V643" i="6"/>
  <c r="W644" i="6"/>
  <c r="V646" i="6"/>
  <c r="V647" i="6"/>
  <c r="W647" i="6"/>
  <c r="W648" i="6"/>
  <c r="V650" i="6"/>
  <c r="W651" i="6"/>
  <c r="W653" i="6"/>
  <c r="V654" i="6"/>
  <c r="V655" i="6"/>
  <c r="V656" i="6"/>
  <c r="W656" i="6"/>
  <c r="V658" i="6"/>
  <c r="W658" i="6"/>
  <c r="W660" i="6"/>
  <c r="W661" i="6"/>
  <c r="V663" i="6"/>
  <c r="V666" i="6"/>
  <c r="V667" i="6"/>
  <c r="W668" i="6"/>
  <c r="W669" i="6"/>
  <c r="V670" i="6"/>
  <c r="W670" i="6"/>
  <c r="W671" i="6"/>
  <c r="W673" i="6"/>
  <c r="V674" i="6"/>
  <c r="V675" i="6"/>
  <c r="R675" i="6"/>
  <c r="S675" i="6" s="1"/>
  <c r="P675" i="6"/>
  <c r="Q675" i="6" s="1"/>
  <c r="AZ675" i="6" s="1"/>
  <c r="R674" i="6"/>
  <c r="S674" i="6" s="1"/>
  <c r="BA674" i="6" s="1"/>
  <c r="P674" i="6"/>
  <c r="Q674" i="6" s="1"/>
  <c r="S673" i="6"/>
  <c r="R673" i="6"/>
  <c r="P673" i="6"/>
  <c r="V673" i="6" s="1"/>
  <c r="R672" i="6"/>
  <c r="S672" i="6" s="1"/>
  <c r="P672" i="6"/>
  <c r="Q672" i="6" s="1"/>
  <c r="R671" i="6"/>
  <c r="S671" i="6" s="1"/>
  <c r="BA671" i="6" s="1"/>
  <c r="P671" i="6"/>
  <c r="Q671" i="6" s="1"/>
  <c r="R670" i="6"/>
  <c r="S670" i="6" s="1"/>
  <c r="P670" i="6"/>
  <c r="R669" i="6"/>
  <c r="S669" i="6" s="1"/>
  <c r="P669" i="6"/>
  <c r="S668" i="6"/>
  <c r="BA668" i="6" s="1"/>
  <c r="R668" i="6"/>
  <c r="P668" i="6"/>
  <c r="R667" i="6"/>
  <c r="S667" i="6" s="1"/>
  <c r="P667" i="6"/>
  <c r="Q667" i="6" s="1"/>
  <c r="R666" i="6"/>
  <c r="S666" i="6" s="1"/>
  <c r="P666" i="6"/>
  <c r="Q666" i="6" s="1"/>
  <c r="R665" i="6"/>
  <c r="S665" i="6" s="1"/>
  <c r="Q665" i="6"/>
  <c r="P665" i="6"/>
  <c r="V665" i="6" s="1"/>
  <c r="R664" i="6"/>
  <c r="P664" i="6"/>
  <c r="R663" i="6"/>
  <c r="S663" i="6" s="1"/>
  <c r="P663" i="6"/>
  <c r="Q663" i="6" s="1"/>
  <c r="R662" i="6"/>
  <c r="S662" i="6" s="1"/>
  <c r="P662" i="6"/>
  <c r="R661" i="6"/>
  <c r="S661" i="6" s="1"/>
  <c r="P661" i="6"/>
  <c r="S660" i="6"/>
  <c r="R660" i="6"/>
  <c r="P660" i="6"/>
  <c r="Q660" i="6" s="1"/>
  <c r="R659" i="6"/>
  <c r="S659" i="6" s="1"/>
  <c r="P659" i="6"/>
  <c r="R658" i="6"/>
  <c r="S658" i="6" s="1"/>
  <c r="P658" i="6"/>
  <c r="Q658" i="6" s="1"/>
  <c r="R657" i="6"/>
  <c r="W657" i="6" s="1"/>
  <c r="P657" i="6"/>
  <c r="V657" i="6" s="1"/>
  <c r="R656" i="6"/>
  <c r="S656" i="6" s="1"/>
  <c r="P656" i="6"/>
  <c r="Q656" i="6" s="1"/>
  <c r="R655" i="6"/>
  <c r="P655" i="6"/>
  <c r="Q655" i="6" s="1"/>
  <c r="R654" i="6"/>
  <c r="P654" i="6"/>
  <c r="R653" i="6"/>
  <c r="S653" i="6" s="1"/>
  <c r="Q653" i="6"/>
  <c r="P653" i="6"/>
  <c r="V653" i="6" s="1"/>
  <c r="S652" i="6"/>
  <c r="BA652" i="6" s="1"/>
  <c r="R652" i="6"/>
  <c r="W652" i="6" s="1"/>
  <c r="P652" i="6"/>
  <c r="Q652" i="6" s="1"/>
  <c r="S651" i="6"/>
  <c r="R651" i="6"/>
  <c r="P651" i="6"/>
  <c r="Q651" i="6" s="1"/>
  <c r="R650" i="6"/>
  <c r="S650" i="6" s="1"/>
  <c r="P650" i="6"/>
  <c r="Q650" i="6" s="1"/>
  <c r="AZ650" i="6" s="1"/>
  <c r="R649" i="6"/>
  <c r="W649" i="6" s="1"/>
  <c r="P649" i="6"/>
  <c r="S648" i="6"/>
  <c r="R648" i="6"/>
  <c r="P648" i="6"/>
  <c r="Q648" i="6" s="1"/>
  <c r="R647" i="6"/>
  <c r="S647" i="6" s="1"/>
  <c r="P647" i="6"/>
  <c r="Q647" i="6" s="1"/>
  <c r="AZ647" i="6" s="1"/>
  <c r="R646" i="6"/>
  <c r="P646" i="6"/>
  <c r="Q646" i="6" s="1"/>
  <c r="S645" i="6"/>
  <c r="R645" i="6"/>
  <c r="W645" i="6" s="1"/>
  <c r="P645" i="6"/>
  <c r="S644" i="6"/>
  <c r="R644" i="6"/>
  <c r="P644" i="6"/>
  <c r="Q644" i="6" s="1"/>
  <c r="R643" i="6"/>
  <c r="P643" i="6"/>
  <c r="Q643" i="6" s="1"/>
  <c r="AZ643" i="6" s="1"/>
  <c r="S642" i="6"/>
  <c r="BA642" i="6" s="1"/>
  <c r="R642" i="6"/>
  <c r="W642" i="6" s="1"/>
  <c r="P642" i="6"/>
  <c r="Q642" i="6" s="1"/>
  <c r="S641" i="6"/>
  <c r="R641" i="6"/>
  <c r="Q641" i="6"/>
  <c r="P641" i="6"/>
  <c r="V641" i="6" s="1"/>
  <c r="R640" i="6"/>
  <c r="S640" i="6" s="1"/>
  <c r="P640" i="6"/>
  <c r="Q640" i="6" s="1"/>
  <c r="R639" i="6"/>
  <c r="S639" i="6" s="1"/>
  <c r="BA639" i="6" s="1"/>
  <c r="P639" i="6"/>
  <c r="Q639" i="6" s="1"/>
  <c r="R638" i="6"/>
  <c r="S638" i="6" s="1"/>
  <c r="P638" i="6"/>
  <c r="S637" i="6"/>
  <c r="R637" i="6"/>
  <c r="W637" i="6" s="1"/>
  <c r="P637" i="6"/>
  <c r="S636" i="6"/>
  <c r="BA636" i="6" s="1"/>
  <c r="R636" i="6"/>
  <c r="W636" i="6" s="1"/>
  <c r="P636" i="6"/>
  <c r="Q636" i="6" s="1"/>
  <c r="R635" i="6"/>
  <c r="S635" i="6" s="1"/>
  <c r="P635" i="6"/>
  <c r="Q635" i="6" s="1"/>
  <c r="AZ635" i="6" s="1"/>
  <c r="R634" i="6"/>
  <c r="P634" i="6"/>
  <c r="Q634" i="6" s="1"/>
  <c r="R633" i="6"/>
  <c r="S633" i="6" s="1"/>
  <c r="Q633" i="6"/>
  <c r="P633" i="6"/>
  <c r="V633" i="6" s="1"/>
  <c r="R632" i="6"/>
  <c r="S632" i="6" s="1"/>
  <c r="P632" i="6"/>
  <c r="Q632" i="6" s="1"/>
  <c r="R631" i="6"/>
  <c r="Q631" i="6"/>
  <c r="AZ631" i="6" s="1"/>
  <c r="P631" i="6"/>
  <c r="R630" i="6"/>
  <c r="S630" i="6" s="1"/>
  <c r="P630" i="6"/>
  <c r="R629" i="6"/>
  <c r="S629" i="6" s="1"/>
  <c r="P629" i="6"/>
  <c r="P628" i="6"/>
  <c r="P627" i="6"/>
  <c r="P626" i="6"/>
  <c r="Q626" i="6" s="1"/>
  <c r="Q625" i="6"/>
  <c r="P625" i="6"/>
  <c r="V625" i="6" s="1"/>
  <c r="P624" i="6"/>
  <c r="Q624" i="6" s="1"/>
  <c r="AZ624" i="6" s="1"/>
  <c r="P623" i="6"/>
  <c r="Q623" i="6" s="1"/>
  <c r="AZ623" i="6" s="1"/>
  <c r="R622" i="6"/>
  <c r="S622" i="6" s="1"/>
  <c r="P622" i="6"/>
  <c r="Q622" i="6" s="1"/>
  <c r="Q621" i="6"/>
  <c r="P621" i="6"/>
  <c r="V621" i="6" s="1"/>
  <c r="P620" i="6"/>
  <c r="Q620" i="6" s="1"/>
  <c r="P619" i="6"/>
  <c r="R618" i="6"/>
  <c r="S618" i="6" s="1"/>
  <c r="P618" i="6"/>
  <c r="Q618" i="6" s="1"/>
  <c r="R617" i="6"/>
  <c r="S617" i="6" s="1"/>
  <c r="Q617" i="6"/>
  <c r="AZ617" i="6" s="1"/>
  <c r="P617" i="6"/>
  <c r="V617" i="6" s="1"/>
  <c r="R616" i="6"/>
  <c r="S616" i="6" s="1"/>
  <c r="P616" i="6"/>
  <c r="R615" i="6"/>
  <c r="S615" i="6" s="1"/>
  <c r="P615" i="6"/>
  <c r="Q615" i="6" s="1"/>
  <c r="AZ615" i="6" s="1"/>
  <c r="R614" i="6"/>
  <c r="P614" i="6"/>
  <c r="Q614" i="6" s="1"/>
  <c r="AZ614" i="6" s="1"/>
  <c r="S613" i="6"/>
  <c r="R613" i="6"/>
  <c r="W613" i="6" s="1"/>
  <c r="P613" i="6"/>
  <c r="S612" i="6"/>
  <c r="R612" i="6"/>
  <c r="P612" i="6"/>
  <c r="Q612" i="6" s="1"/>
  <c r="R611" i="6"/>
  <c r="P611" i="6"/>
  <c r="Q611" i="6" s="1"/>
  <c r="S610" i="6"/>
  <c r="BA610" i="6" s="1"/>
  <c r="R610" i="6"/>
  <c r="P610" i="6"/>
  <c r="S609" i="6"/>
  <c r="R609" i="6"/>
  <c r="P609" i="6"/>
  <c r="V609" i="6" s="1"/>
  <c r="R608" i="6"/>
  <c r="S608" i="6" s="1"/>
  <c r="P608" i="6"/>
  <c r="Q608" i="6" s="1"/>
  <c r="R607" i="6"/>
  <c r="S607" i="6" s="1"/>
  <c r="BA607" i="6" s="1"/>
  <c r="P607" i="6"/>
  <c r="R606" i="6"/>
  <c r="S606" i="6" s="1"/>
  <c r="P606" i="6"/>
  <c r="Q606" i="6" s="1"/>
  <c r="R605" i="6"/>
  <c r="W605" i="6" s="1"/>
  <c r="Q605" i="6"/>
  <c r="P605" i="6"/>
  <c r="V605" i="6" s="1"/>
  <c r="R604" i="6"/>
  <c r="P604" i="6"/>
  <c r="R603" i="6"/>
  <c r="S603" i="6" s="1"/>
  <c r="P603" i="6"/>
  <c r="Q603" i="6" s="1"/>
  <c r="AZ603" i="6" s="1"/>
  <c r="R602" i="6"/>
  <c r="P602" i="6"/>
  <c r="Q602" i="6" s="1"/>
  <c r="R601" i="6"/>
  <c r="S601" i="6" s="1"/>
  <c r="P601" i="6"/>
  <c r="R600" i="6"/>
  <c r="P600" i="6"/>
  <c r="Q600" i="6" s="1"/>
  <c r="R599" i="6"/>
  <c r="Q599" i="6"/>
  <c r="AZ599" i="6" s="1"/>
  <c r="P599" i="6"/>
  <c r="R598" i="6"/>
  <c r="S598" i="6" s="1"/>
  <c r="P598" i="6"/>
  <c r="Q598" i="6" s="1"/>
  <c r="R597" i="6"/>
  <c r="S597" i="6" s="1"/>
  <c r="P597" i="6"/>
  <c r="R596" i="6"/>
  <c r="S596" i="6" s="1"/>
  <c r="P596" i="6"/>
  <c r="R595" i="6"/>
  <c r="S595" i="6" s="1"/>
  <c r="P595" i="6"/>
  <c r="Q595" i="6" s="1"/>
  <c r="AZ595" i="6" s="1"/>
  <c r="R594" i="6"/>
  <c r="S594" i="6" s="1"/>
  <c r="P594" i="6"/>
  <c r="Q594" i="6" s="1"/>
  <c r="AZ594" i="6" s="1"/>
  <c r="S593" i="6"/>
  <c r="R593" i="6"/>
  <c r="W593" i="6" s="1"/>
  <c r="P593" i="6"/>
  <c r="V593" i="6" s="1"/>
  <c r="R592" i="6"/>
  <c r="S592" i="6" s="1"/>
  <c r="BA592" i="6" s="1"/>
  <c r="P592" i="6"/>
  <c r="Q592" i="6" s="1"/>
  <c r="R591" i="6"/>
  <c r="S591" i="6" s="1"/>
  <c r="P591" i="6"/>
  <c r="R590" i="6"/>
  <c r="P590" i="6"/>
  <c r="Q590" i="6" s="1"/>
  <c r="R589" i="6"/>
  <c r="S589" i="6" s="1"/>
  <c r="Q589" i="6"/>
  <c r="AZ589" i="6" s="1"/>
  <c r="P589" i="6"/>
  <c r="V589" i="6" s="1"/>
  <c r="R588" i="6"/>
  <c r="P588" i="6"/>
  <c r="Q588" i="6" s="1"/>
  <c r="R587" i="6"/>
  <c r="S587" i="6" s="1"/>
  <c r="BA587" i="6" s="1"/>
  <c r="P587" i="6"/>
  <c r="R586" i="6"/>
  <c r="S586" i="6" s="1"/>
  <c r="P586" i="6"/>
  <c r="Q586" i="6" s="1"/>
  <c r="R585" i="6"/>
  <c r="S585" i="6" s="1"/>
  <c r="P585" i="6"/>
  <c r="V585" i="6" s="1"/>
  <c r="R584" i="6"/>
  <c r="S584" i="6" s="1"/>
  <c r="P584" i="6"/>
  <c r="R583" i="6"/>
  <c r="S583" i="6" s="1"/>
  <c r="P583" i="6"/>
  <c r="Q583" i="6" s="1"/>
  <c r="R582" i="6"/>
  <c r="S582" i="6" s="1"/>
  <c r="P582" i="6"/>
  <c r="S581" i="6"/>
  <c r="R581" i="6"/>
  <c r="P581" i="6"/>
  <c r="S580" i="6"/>
  <c r="R580" i="6"/>
  <c r="P580" i="6"/>
  <c r="Q580" i="6" s="1"/>
  <c r="R579" i="6"/>
  <c r="S579" i="6" s="1"/>
  <c r="P579" i="6"/>
  <c r="Q579" i="6" s="1"/>
  <c r="S578" i="6"/>
  <c r="R578" i="6"/>
  <c r="P578" i="6"/>
  <c r="S577" i="6"/>
  <c r="R577" i="6"/>
  <c r="Q577" i="6"/>
  <c r="P577" i="6"/>
  <c r="V577" i="6" s="1"/>
  <c r="R576" i="6"/>
  <c r="P576" i="6"/>
  <c r="Q576" i="6" s="1"/>
  <c r="R575" i="6"/>
  <c r="S575" i="6" s="1"/>
  <c r="P575" i="6"/>
  <c r="R574" i="6"/>
  <c r="S574" i="6" s="1"/>
  <c r="P574" i="6"/>
  <c r="Q574" i="6" s="1"/>
  <c r="R573" i="6"/>
  <c r="S573" i="6" s="1"/>
  <c r="Q573" i="6"/>
  <c r="P573" i="6"/>
  <c r="V573" i="6" s="1"/>
  <c r="R572" i="6"/>
  <c r="P572" i="6"/>
  <c r="R571" i="6"/>
  <c r="S571" i="6" s="1"/>
  <c r="P571" i="6"/>
  <c r="Q571" i="6" s="1"/>
  <c r="R570" i="6"/>
  <c r="S570" i="6" s="1"/>
  <c r="P570" i="6"/>
  <c r="Q570" i="6" s="1"/>
  <c r="AZ570" i="6" s="1"/>
  <c r="R569" i="6"/>
  <c r="S569" i="6" s="1"/>
  <c r="P569" i="6"/>
  <c r="S568" i="6"/>
  <c r="R568" i="6"/>
  <c r="W568" i="6" s="1"/>
  <c r="P568" i="6"/>
  <c r="Q568" i="6" s="1"/>
  <c r="R567" i="6"/>
  <c r="S567" i="6" s="1"/>
  <c r="P567" i="6"/>
  <c r="V567" i="6" s="1"/>
  <c r="R566" i="6"/>
  <c r="S566" i="6" s="1"/>
  <c r="P566" i="6"/>
  <c r="S565" i="6"/>
  <c r="R565" i="6"/>
  <c r="P565" i="6"/>
  <c r="R564" i="6"/>
  <c r="S564" i="6" s="1"/>
  <c r="P564" i="6"/>
  <c r="R563" i="6"/>
  <c r="S563" i="6" s="1"/>
  <c r="P563" i="6"/>
  <c r="S562" i="6"/>
  <c r="R562" i="6"/>
  <c r="P562" i="6"/>
  <c r="Q562" i="6" s="1"/>
  <c r="R561" i="6"/>
  <c r="Q561" i="6"/>
  <c r="P561" i="6"/>
  <c r="V561" i="6" s="1"/>
  <c r="R560" i="6"/>
  <c r="S560" i="6" s="1"/>
  <c r="P560" i="6"/>
  <c r="Q560" i="6" s="1"/>
  <c r="R559" i="6"/>
  <c r="S559" i="6" s="1"/>
  <c r="P559" i="6"/>
  <c r="Q559" i="6" s="1"/>
  <c r="R558" i="6"/>
  <c r="S558" i="6" s="1"/>
  <c r="P558" i="6"/>
  <c r="Q558" i="6" s="1"/>
  <c r="S557" i="6"/>
  <c r="R557" i="6"/>
  <c r="P557" i="6"/>
  <c r="V557" i="6" s="1"/>
  <c r="R556" i="6"/>
  <c r="S556" i="6" s="1"/>
  <c r="P556" i="6"/>
  <c r="Q556" i="6" s="1"/>
  <c r="S555" i="6"/>
  <c r="R555" i="6"/>
  <c r="P555" i="6"/>
  <c r="Q555" i="6" s="1"/>
  <c r="R554" i="6"/>
  <c r="P554" i="6"/>
  <c r="R553" i="6"/>
  <c r="S553" i="6" s="1"/>
  <c r="Q553" i="6"/>
  <c r="P553" i="6"/>
  <c r="V553" i="6" s="1"/>
  <c r="S552" i="6"/>
  <c r="R552" i="6"/>
  <c r="W552" i="6" s="1"/>
  <c r="P552" i="6"/>
  <c r="Q552" i="6" s="1"/>
  <c r="R551" i="6"/>
  <c r="S551" i="6" s="1"/>
  <c r="Q551" i="6"/>
  <c r="P551" i="6"/>
  <c r="R550" i="6"/>
  <c r="S550" i="6" s="1"/>
  <c r="P550" i="6"/>
  <c r="Q550" i="6" s="1"/>
  <c r="S549" i="6"/>
  <c r="R549" i="6"/>
  <c r="W549" i="6" s="1"/>
  <c r="P549" i="6"/>
  <c r="R548" i="6"/>
  <c r="S548" i="6" s="1"/>
  <c r="P548" i="6"/>
  <c r="Q548" i="6" s="1"/>
  <c r="R547" i="6"/>
  <c r="S547" i="6" s="1"/>
  <c r="P547" i="6"/>
  <c r="Q547" i="6" s="1"/>
  <c r="S546" i="6"/>
  <c r="R546" i="6"/>
  <c r="P546" i="6"/>
  <c r="Q546" i="6" s="1"/>
  <c r="R545" i="6"/>
  <c r="W545" i="6" s="1"/>
  <c r="P545" i="6"/>
  <c r="V545" i="6" s="1"/>
  <c r="R544" i="6"/>
  <c r="S544" i="6" s="1"/>
  <c r="P544" i="6"/>
  <c r="Q544" i="6" s="1"/>
  <c r="R543" i="6"/>
  <c r="S543" i="6" s="1"/>
  <c r="P543" i="6"/>
  <c r="Q543" i="6" s="1"/>
  <c r="R542" i="6"/>
  <c r="S542" i="6" s="1"/>
  <c r="P542" i="6"/>
  <c r="Q542" i="6" s="1"/>
  <c r="R541" i="6"/>
  <c r="S541" i="6" s="1"/>
  <c r="P541" i="6"/>
  <c r="S540" i="6"/>
  <c r="R540" i="6"/>
  <c r="W540" i="6" s="1"/>
  <c r="P540" i="6"/>
  <c r="S539" i="6"/>
  <c r="R539" i="6"/>
  <c r="P539" i="6"/>
  <c r="Q539" i="6" s="1"/>
  <c r="R538" i="6"/>
  <c r="S538" i="6" s="1"/>
  <c r="P538" i="6"/>
  <c r="Q538" i="6" s="1"/>
  <c r="AZ538" i="6" s="1"/>
  <c r="R537" i="6"/>
  <c r="S537" i="6" s="1"/>
  <c r="P537" i="6"/>
  <c r="S536" i="6"/>
  <c r="R536" i="6"/>
  <c r="W536" i="6" s="1"/>
  <c r="P536" i="6"/>
  <c r="Q536" i="6" s="1"/>
  <c r="R535" i="6"/>
  <c r="S535" i="6" s="1"/>
  <c r="P535" i="6"/>
  <c r="V535" i="6" s="1"/>
  <c r="R534" i="6"/>
  <c r="S534" i="6" s="1"/>
  <c r="P534" i="6"/>
  <c r="S533" i="6"/>
  <c r="R533" i="6"/>
  <c r="P533" i="6"/>
  <c r="R532" i="6"/>
  <c r="S532" i="6" s="1"/>
  <c r="P532" i="6"/>
  <c r="R531" i="6"/>
  <c r="S531" i="6" s="1"/>
  <c r="P531" i="6"/>
  <c r="S530" i="6"/>
  <c r="R530" i="6"/>
  <c r="P530" i="6"/>
  <c r="Q530" i="6" s="1"/>
  <c r="AZ530" i="6" s="1"/>
  <c r="R529" i="6"/>
  <c r="Q529" i="6"/>
  <c r="P529" i="6"/>
  <c r="V529" i="6" s="1"/>
  <c r="R528" i="6"/>
  <c r="S528" i="6" s="1"/>
  <c r="P528" i="6"/>
  <c r="Q528" i="6" s="1"/>
  <c r="R527" i="6"/>
  <c r="S527" i="6" s="1"/>
  <c r="P527" i="6"/>
  <c r="Q527" i="6" s="1"/>
  <c r="R526" i="6"/>
  <c r="S526" i="6" s="1"/>
  <c r="P526" i="6"/>
  <c r="Q526" i="6" s="1"/>
  <c r="AZ526" i="6" s="1"/>
  <c r="S525" i="6"/>
  <c r="R525" i="6"/>
  <c r="Q525" i="6"/>
  <c r="P525" i="6"/>
  <c r="V525" i="6" s="1"/>
  <c r="R524" i="6"/>
  <c r="S524" i="6" s="1"/>
  <c r="P524" i="6"/>
  <c r="Q524" i="6" s="1"/>
  <c r="S523" i="6"/>
  <c r="R523" i="6"/>
  <c r="W523" i="6" s="1"/>
  <c r="P523" i="6"/>
  <c r="Q523" i="6" s="1"/>
  <c r="R522" i="6"/>
  <c r="P522" i="6"/>
  <c r="R521" i="6"/>
  <c r="S521" i="6" s="1"/>
  <c r="Q521" i="6"/>
  <c r="P521" i="6"/>
  <c r="V521" i="6" s="1"/>
  <c r="S520" i="6"/>
  <c r="R520" i="6"/>
  <c r="P520" i="6"/>
  <c r="Q520" i="6" s="1"/>
  <c r="R519" i="6"/>
  <c r="S519" i="6" s="1"/>
  <c r="Q519" i="6"/>
  <c r="P519" i="6"/>
  <c r="R518" i="6"/>
  <c r="S518" i="6" s="1"/>
  <c r="P518" i="6"/>
  <c r="Q518" i="6" s="1"/>
  <c r="S517" i="6"/>
  <c r="R517" i="6"/>
  <c r="W517" i="6" s="1"/>
  <c r="P517" i="6"/>
  <c r="R516" i="6"/>
  <c r="W516" i="6" s="1"/>
  <c r="P516" i="6"/>
  <c r="Q516" i="6" s="1"/>
  <c r="R515" i="6"/>
  <c r="S515" i="6" s="1"/>
  <c r="P515" i="6"/>
  <c r="Q515" i="6" s="1"/>
  <c r="S514" i="6"/>
  <c r="R514" i="6"/>
  <c r="W514" i="6" s="1"/>
  <c r="P514" i="6"/>
  <c r="Q514" i="6" s="1"/>
  <c r="R513" i="6"/>
  <c r="S513" i="6" s="1"/>
  <c r="P513" i="6"/>
  <c r="Q513" i="6" s="1"/>
  <c r="R512" i="6"/>
  <c r="S512" i="6" s="1"/>
  <c r="P512" i="6"/>
  <c r="Q512" i="6" s="1"/>
  <c r="R511" i="6"/>
  <c r="S511" i="6" s="1"/>
  <c r="P511" i="6"/>
  <c r="Q511" i="6" s="1"/>
  <c r="AZ511" i="6" s="1"/>
  <c r="R510" i="6"/>
  <c r="S510" i="6" s="1"/>
  <c r="P510" i="6"/>
  <c r="Q510" i="6" s="1"/>
  <c r="AZ510" i="6" s="1"/>
  <c r="R509" i="6"/>
  <c r="S509" i="6" s="1"/>
  <c r="P509" i="6"/>
  <c r="Q509" i="6" s="1"/>
  <c r="S508" i="6"/>
  <c r="R508" i="6"/>
  <c r="P508" i="6"/>
  <c r="Q508" i="6" s="1"/>
  <c r="S507" i="6"/>
  <c r="R507" i="6"/>
  <c r="P507" i="6"/>
  <c r="Q507" i="6" s="1"/>
  <c r="R506" i="6"/>
  <c r="S506" i="6" s="1"/>
  <c r="P506" i="6"/>
  <c r="Q506" i="6" s="1"/>
  <c r="R505" i="6"/>
  <c r="S505" i="6" s="1"/>
  <c r="P505" i="6"/>
  <c r="Q505" i="6" s="1"/>
  <c r="S504" i="6"/>
  <c r="R504" i="6"/>
  <c r="P504" i="6"/>
  <c r="Q504" i="6" s="1"/>
  <c r="R503" i="6"/>
  <c r="S503" i="6" s="1"/>
  <c r="Q503" i="6"/>
  <c r="P503" i="6"/>
  <c r="S502" i="6"/>
  <c r="R502" i="6"/>
  <c r="P502" i="6"/>
  <c r="Q502" i="6" s="1"/>
  <c r="R501" i="6"/>
  <c r="S501" i="6" s="1"/>
  <c r="P501" i="6"/>
  <c r="Q501" i="6" s="1"/>
  <c r="AZ501" i="6" s="1"/>
  <c r="R500" i="6"/>
  <c r="S500" i="6" s="1"/>
  <c r="BA500" i="6" s="1"/>
  <c r="Q500" i="6"/>
  <c r="P500" i="6"/>
  <c r="R499" i="6"/>
  <c r="S499" i="6" s="1"/>
  <c r="P499" i="6"/>
  <c r="Q499" i="6" s="1"/>
  <c r="S498" i="6"/>
  <c r="R498" i="6"/>
  <c r="P498" i="6"/>
  <c r="Q498" i="6" s="1"/>
  <c r="AZ498" i="6" s="1"/>
  <c r="R497" i="6"/>
  <c r="S497" i="6" s="1"/>
  <c r="P497" i="6"/>
  <c r="Q497" i="6" s="1"/>
  <c r="AZ497" i="6" s="1"/>
  <c r="S496" i="6"/>
  <c r="R496" i="6"/>
  <c r="P496" i="6"/>
  <c r="Q496" i="6" s="1"/>
  <c r="R495" i="6"/>
  <c r="S495" i="6" s="1"/>
  <c r="P495" i="6"/>
  <c r="Q495" i="6" s="1"/>
  <c r="AZ495" i="6" s="1"/>
  <c r="R494" i="6"/>
  <c r="S494" i="6" s="1"/>
  <c r="Q494" i="6"/>
  <c r="P494" i="6"/>
  <c r="R493" i="6"/>
  <c r="S493" i="6" s="1"/>
  <c r="Q493" i="6"/>
  <c r="P493" i="6"/>
  <c r="R492" i="6"/>
  <c r="S492" i="6" s="1"/>
  <c r="P492" i="6"/>
  <c r="Q492" i="6" s="1"/>
  <c r="R491" i="6"/>
  <c r="S491" i="6" s="1"/>
  <c r="P491" i="6"/>
  <c r="Q491" i="6" s="1"/>
  <c r="AZ491" i="6" s="1"/>
  <c r="R490" i="6"/>
  <c r="S490" i="6" s="1"/>
  <c r="BA490" i="6" s="1"/>
  <c r="P490" i="6"/>
  <c r="Q490" i="6" s="1"/>
  <c r="R489" i="6"/>
  <c r="S489" i="6" s="1"/>
  <c r="P489" i="6"/>
  <c r="Q489" i="6" s="1"/>
  <c r="S488" i="6"/>
  <c r="R488" i="6"/>
  <c r="P488" i="6"/>
  <c r="Q488" i="6" s="1"/>
  <c r="R487" i="6"/>
  <c r="S487" i="6" s="1"/>
  <c r="BA487" i="6" s="1"/>
  <c r="Q487" i="6"/>
  <c r="P487" i="6"/>
  <c r="R486" i="6"/>
  <c r="W486" i="6" s="1"/>
  <c r="P486" i="6"/>
  <c r="Q486" i="6" s="1"/>
  <c r="R485" i="6"/>
  <c r="S485" i="6" s="1"/>
  <c r="P485" i="6"/>
  <c r="V485" i="6" s="1"/>
  <c r="R484" i="6"/>
  <c r="Q484" i="6"/>
  <c r="P484" i="6"/>
  <c r="R483" i="6"/>
  <c r="S483" i="6" s="1"/>
  <c r="P483" i="6"/>
  <c r="S482" i="6"/>
  <c r="R482" i="6"/>
  <c r="Q482" i="6"/>
  <c r="P482" i="6"/>
  <c r="V482" i="6" s="1"/>
  <c r="R481" i="6"/>
  <c r="S481" i="6" s="1"/>
  <c r="P481" i="6"/>
  <c r="V481" i="6" s="1"/>
  <c r="R480" i="6"/>
  <c r="W480" i="6" s="1"/>
  <c r="P480" i="6"/>
  <c r="R479" i="6"/>
  <c r="S479" i="6" s="1"/>
  <c r="P479" i="6"/>
  <c r="Q479" i="6" s="1"/>
  <c r="AZ479" i="6" s="1"/>
  <c r="R478" i="6"/>
  <c r="Q478" i="6"/>
  <c r="P478" i="6"/>
  <c r="R477" i="6"/>
  <c r="S477" i="6" s="1"/>
  <c r="Q477" i="6"/>
  <c r="AZ477" i="6" s="1"/>
  <c r="P477" i="6"/>
  <c r="V477" i="6" s="1"/>
  <c r="R476" i="6"/>
  <c r="S476" i="6" s="1"/>
  <c r="Q476" i="6"/>
  <c r="P476" i="6"/>
  <c r="V476" i="6" s="1"/>
  <c r="R475" i="6"/>
  <c r="S475" i="6" s="1"/>
  <c r="BA475" i="6" s="1"/>
  <c r="P475" i="6"/>
  <c r="V475" i="6" s="1"/>
  <c r="R474" i="6"/>
  <c r="S474" i="6" s="1"/>
  <c r="P474" i="6"/>
  <c r="R473" i="6"/>
  <c r="S473" i="6" s="1"/>
  <c r="P473" i="6"/>
  <c r="S472" i="6"/>
  <c r="BA472" i="6" s="1"/>
  <c r="R472" i="6"/>
  <c r="P472" i="6"/>
  <c r="Q472" i="6" s="1"/>
  <c r="R471" i="6"/>
  <c r="S471" i="6" s="1"/>
  <c r="BA471" i="6" s="1"/>
  <c r="Q471" i="6"/>
  <c r="AZ471" i="6" s="1"/>
  <c r="P471" i="6"/>
  <c r="R470" i="6"/>
  <c r="S470" i="6" s="1"/>
  <c r="P470" i="6"/>
  <c r="Q470" i="6" s="1"/>
  <c r="R469" i="6"/>
  <c r="S469" i="6" s="1"/>
  <c r="Q469" i="6"/>
  <c r="AZ469" i="6" s="1"/>
  <c r="P469" i="6"/>
  <c r="S468" i="6"/>
  <c r="BA468" i="6" s="1"/>
  <c r="R468" i="6"/>
  <c r="W468" i="6" s="1"/>
  <c r="P468" i="6"/>
  <c r="Q468" i="6" s="1"/>
  <c r="R467" i="6"/>
  <c r="S467" i="6" s="1"/>
  <c r="Q467" i="6"/>
  <c r="P467" i="6"/>
  <c r="R466" i="6"/>
  <c r="S466" i="6" s="1"/>
  <c r="P466" i="6"/>
  <c r="Q466" i="6" s="1"/>
  <c r="R465" i="6"/>
  <c r="S465" i="6" s="1"/>
  <c r="Q465" i="6"/>
  <c r="AZ465" i="6" s="1"/>
  <c r="P465" i="6"/>
  <c r="S464" i="6"/>
  <c r="R464" i="6"/>
  <c r="P464" i="6"/>
  <c r="Q464" i="6" s="1"/>
  <c r="R463" i="6"/>
  <c r="Q463" i="6"/>
  <c r="AZ463" i="6" s="1"/>
  <c r="P463" i="6"/>
  <c r="V463" i="6" s="1"/>
  <c r="R462" i="6"/>
  <c r="S462" i="6" s="1"/>
  <c r="P462" i="6"/>
  <c r="Q462" i="6" s="1"/>
  <c r="R461" i="6"/>
  <c r="Q461" i="6"/>
  <c r="P461" i="6"/>
  <c r="V461" i="6" s="1"/>
  <c r="S460" i="6"/>
  <c r="R460" i="6"/>
  <c r="P460" i="6"/>
  <c r="Q460" i="6" s="1"/>
  <c r="R459" i="6"/>
  <c r="Q459" i="6"/>
  <c r="AZ459" i="6" s="1"/>
  <c r="P459" i="6"/>
  <c r="V459" i="6" s="1"/>
  <c r="R458" i="6"/>
  <c r="W458" i="6" s="1"/>
  <c r="P458" i="6"/>
  <c r="Q458" i="6" s="1"/>
  <c r="R457" i="6"/>
  <c r="S457" i="6" s="1"/>
  <c r="BA457" i="6" s="1"/>
  <c r="Q457" i="6"/>
  <c r="P457" i="6"/>
  <c r="S456" i="6"/>
  <c r="BA456" i="6" s="1"/>
  <c r="R456" i="6"/>
  <c r="P456" i="6"/>
  <c r="Q456" i="6" s="1"/>
  <c r="R455" i="6"/>
  <c r="Q455" i="6"/>
  <c r="P455" i="6"/>
  <c r="V455" i="6" s="1"/>
  <c r="R454" i="6"/>
  <c r="W454" i="6" s="1"/>
  <c r="P454" i="6"/>
  <c r="Q454" i="6" s="1"/>
  <c r="AZ454" i="6" s="1"/>
  <c r="R453" i="6"/>
  <c r="S453" i="6" s="1"/>
  <c r="Q453" i="6"/>
  <c r="P453" i="6"/>
  <c r="V453" i="6" s="1"/>
  <c r="S452" i="6"/>
  <c r="R452" i="6"/>
  <c r="W452" i="6" s="1"/>
  <c r="P452" i="6"/>
  <c r="Q452" i="6" s="1"/>
  <c r="R451" i="6"/>
  <c r="S451" i="6" s="1"/>
  <c r="BA451" i="6" s="1"/>
  <c r="Q451" i="6"/>
  <c r="P451" i="6"/>
  <c r="V451" i="6" s="1"/>
  <c r="R450" i="6"/>
  <c r="W450" i="6" s="1"/>
  <c r="P450" i="6"/>
  <c r="V450" i="6" s="1"/>
  <c r="R449" i="6"/>
  <c r="S449" i="6" s="1"/>
  <c r="Q449" i="6"/>
  <c r="P449" i="6"/>
  <c r="V449" i="6" s="1"/>
  <c r="S448" i="6"/>
  <c r="R448" i="6"/>
  <c r="P448" i="6"/>
  <c r="Q448" i="6" s="1"/>
  <c r="R447" i="6"/>
  <c r="S447" i="6" s="1"/>
  <c r="Q447" i="6"/>
  <c r="AZ447" i="6" s="1"/>
  <c r="P447" i="6"/>
  <c r="R446" i="6"/>
  <c r="W446" i="6" s="1"/>
  <c r="P446" i="6"/>
  <c r="Q446" i="6" s="1"/>
  <c r="R445" i="6"/>
  <c r="Q445" i="6"/>
  <c r="P445" i="6"/>
  <c r="V445" i="6" s="1"/>
  <c r="S444" i="6"/>
  <c r="R444" i="6"/>
  <c r="P444" i="6"/>
  <c r="Q444" i="6" s="1"/>
  <c r="R443" i="6"/>
  <c r="Q443" i="6"/>
  <c r="P443" i="6"/>
  <c r="R442" i="6"/>
  <c r="W442" i="6" s="1"/>
  <c r="P442" i="6"/>
  <c r="Q442" i="6" s="1"/>
  <c r="R441" i="6"/>
  <c r="Q441" i="6"/>
  <c r="AZ441" i="6" s="1"/>
  <c r="P441" i="6"/>
  <c r="V441" i="6" s="1"/>
  <c r="S440" i="6"/>
  <c r="R440" i="6"/>
  <c r="P440" i="6"/>
  <c r="Q440" i="6" s="1"/>
  <c r="R439" i="6"/>
  <c r="S439" i="6" s="1"/>
  <c r="BA439" i="6" s="1"/>
  <c r="Q439" i="6"/>
  <c r="P439" i="6"/>
  <c r="V439" i="6" s="1"/>
  <c r="R438" i="6"/>
  <c r="S438" i="6" s="1"/>
  <c r="P438" i="6"/>
  <c r="Q438" i="6" s="1"/>
  <c r="AZ438" i="6" s="1"/>
  <c r="R437" i="6"/>
  <c r="Q437" i="6"/>
  <c r="AZ437" i="6" s="1"/>
  <c r="P437" i="6"/>
  <c r="V437" i="6" s="1"/>
  <c r="S436" i="6"/>
  <c r="BA436" i="6" s="1"/>
  <c r="R436" i="6"/>
  <c r="W436" i="6" s="1"/>
  <c r="P436" i="6"/>
  <c r="V436" i="6" s="1"/>
  <c r="R435" i="6"/>
  <c r="S435" i="6" s="1"/>
  <c r="BA435" i="6" s="1"/>
  <c r="Q435" i="6"/>
  <c r="AZ435" i="6" s="1"/>
  <c r="P435" i="6"/>
  <c r="R434" i="6"/>
  <c r="W434" i="6" s="1"/>
  <c r="P434" i="6"/>
  <c r="Q434" i="6" s="1"/>
  <c r="R433" i="6"/>
  <c r="S433" i="6" s="1"/>
  <c r="Q433" i="6"/>
  <c r="AZ433" i="6" s="1"/>
  <c r="P433" i="6"/>
  <c r="S432" i="6"/>
  <c r="R432" i="6"/>
  <c r="P432" i="6"/>
  <c r="Q432" i="6" s="1"/>
  <c r="R431" i="6"/>
  <c r="S431" i="6" s="1"/>
  <c r="BA431" i="6" s="1"/>
  <c r="Q431" i="6"/>
  <c r="P431" i="6"/>
  <c r="R430" i="6"/>
  <c r="S430" i="6" s="1"/>
  <c r="P430" i="6"/>
  <c r="Q430" i="6" s="1"/>
  <c r="AZ430" i="6" s="1"/>
  <c r="R429" i="6"/>
  <c r="S429" i="6" s="1"/>
  <c r="Q429" i="6"/>
  <c r="P429" i="6"/>
  <c r="S428" i="6"/>
  <c r="BA428" i="6" s="1"/>
  <c r="R428" i="6"/>
  <c r="P428" i="6"/>
  <c r="Q428" i="6" s="1"/>
  <c r="R427" i="6"/>
  <c r="S427" i="6" s="1"/>
  <c r="BA427" i="6" s="1"/>
  <c r="Q427" i="6"/>
  <c r="P427" i="6"/>
  <c r="R426" i="6"/>
  <c r="S426" i="6" s="1"/>
  <c r="P426" i="6"/>
  <c r="Q426" i="6" s="1"/>
  <c r="AZ426" i="6" s="1"/>
  <c r="R425" i="6"/>
  <c r="S425" i="6" s="1"/>
  <c r="Q425" i="6"/>
  <c r="AZ425" i="6" s="1"/>
  <c r="P425" i="6"/>
  <c r="S424" i="6"/>
  <c r="R424" i="6"/>
  <c r="P424" i="6"/>
  <c r="Q424" i="6" s="1"/>
  <c r="R423" i="6"/>
  <c r="S423" i="6" s="1"/>
  <c r="BA423" i="6" s="1"/>
  <c r="Q423" i="6"/>
  <c r="P423" i="6"/>
  <c r="R422" i="6"/>
  <c r="S422" i="6" s="1"/>
  <c r="P422" i="6"/>
  <c r="Q422" i="6" s="1"/>
  <c r="AZ422" i="6" s="1"/>
  <c r="R421" i="6"/>
  <c r="S421" i="6" s="1"/>
  <c r="Q421" i="6"/>
  <c r="AZ421" i="6" s="1"/>
  <c r="P421" i="6"/>
  <c r="S420" i="6"/>
  <c r="BA420" i="6" s="1"/>
  <c r="R420" i="6"/>
  <c r="P420" i="6"/>
  <c r="Q420" i="6" s="1"/>
  <c r="R419" i="6"/>
  <c r="S419" i="6" s="1"/>
  <c r="Q419" i="6"/>
  <c r="AZ419" i="6" s="1"/>
  <c r="P419" i="6"/>
  <c r="R418" i="6"/>
  <c r="S418" i="6" s="1"/>
  <c r="BA418" i="6" s="1"/>
  <c r="P418" i="6"/>
  <c r="Q418" i="6" s="1"/>
  <c r="R417" i="6"/>
  <c r="S417" i="6" s="1"/>
  <c r="Q417" i="6"/>
  <c r="P417" i="6"/>
  <c r="S416" i="6"/>
  <c r="R416" i="6"/>
  <c r="P416" i="6"/>
  <c r="Q416" i="6" s="1"/>
  <c r="R415" i="6"/>
  <c r="S415" i="6" s="1"/>
  <c r="Q415" i="6"/>
  <c r="P415" i="6"/>
  <c r="R414" i="6"/>
  <c r="S414" i="6" s="1"/>
  <c r="P414" i="6"/>
  <c r="Q414" i="6" s="1"/>
  <c r="R413" i="6"/>
  <c r="S413" i="6" s="1"/>
  <c r="Q413" i="6"/>
  <c r="P413" i="6"/>
  <c r="S412" i="6"/>
  <c r="R412" i="6"/>
  <c r="P412" i="6"/>
  <c r="Q412" i="6" s="1"/>
  <c r="R411" i="6"/>
  <c r="S411" i="6" s="1"/>
  <c r="Q411" i="6"/>
  <c r="P411" i="6"/>
  <c r="R410" i="6"/>
  <c r="S410" i="6" s="1"/>
  <c r="P410" i="6"/>
  <c r="Q410" i="6" s="1"/>
  <c r="R409" i="6"/>
  <c r="S409" i="6" s="1"/>
  <c r="Q409" i="6"/>
  <c r="AZ409" i="6" s="1"/>
  <c r="P409" i="6"/>
  <c r="S408" i="6"/>
  <c r="R408" i="6"/>
  <c r="P408" i="6"/>
  <c r="Q408" i="6" s="1"/>
  <c r="R407" i="6"/>
  <c r="S407" i="6" s="1"/>
  <c r="Q407" i="6"/>
  <c r="AZ407" i="6" s="1"/>
  <c r="P407" i="6"/>
  <c r="R406" i="6"/>
  <c r="S406" i="6" s="1"/>
  <c r="P406" i="6"/>
  <c r="Q406" i="6" s="1"/>
  <c r="AZ406" i="6" s="1"/>
  <c r="R405" i="6"/>
  <c r="S405" i="6" s="1"/>
  <c r="Q405" i="6"/>
  <c r="P405" i="6"/>
  <c r="S404" i="6"/>
  <c r="R404" i="6"/>
  <c r="P404" i="6"/>
  <c r="Q404" i="6" s="1"/>
  <c r="R403" i="6"/>
  <c r="S403" i="6" s="1"/>
  <c r="Q403" i="6"/>
  <c r="P403" i="6"/>
  <c r="R402" i="6"/>
  <c r="S402" i="6" s="1"/>
  <c r="BA402" i="6" s="1"/>
  <c r="P402" i="6"/>
  <c r="Q402" i="6" s="1"/>
  <c r="R401" i="6"/>
  <c r="S401" i="6" s="1"/>
  <c r="Q401" i="6"/>
  <c r="P401" i="6"/>
  <c r="S400" i="6"/>
  <c r="BA400" i="6" s="1"/>
  <c r="R400" i="6"/>
  <c r="P400" i="6"/>
  <c r="Q400" i="6" s="1"/>
  <c r="R399" i="6"/>
  <c r="S399" i="6" s="1"/>
  <c r="Q399" i="6"/>
  <c r="P399" i="6"/>
  <c r="R398" i="6"/>
  <c r="S398" i="6" s="1"/>
  <c r="BA398" i="6" s="1"/>
  <c r="P398" i="6"/>
  <c r="Q398" i="6" s="1"/>
  <c r="R397" i="6"/>
  <c r="S397" i="6" s="1"/>
  <c r="Q397" i="6"/>
  <c r="P397" i="6"/>
  <c r="S396" i="6"/>
  <c r="R396" i="6"/>
  <c r="P396" i="6"/>
  <c r="Q396" i="6" s="1"/>
  <c r="R395" i="6"/>
  <c r="S395" i="6" s="1"/>
  <c r="Q395" i="6"/>
  <c r="P395" i="6"/>
  <c r="R394" i="6"/>
  <c r="S394" i="6" s="1"/>
  <c r="P394" i="6"/>
  <c r="Q394" i="6" s="1"/>
  <c r="AZ394" i="6" s="1"/>
  <c r="R393" i="6"/>
  <c r="S393" i="6" s="1"/>
  <c r="Q393" i="6"/>
  <c r="AZ393" i="6" s="1"/>
  <c r="P393" i="6"/>
  <c r="S392" i="6"/>
  <c r="R392" i="6"/>
  <c r="P392" i="6"/>
  <c r="Q392" i="6" s="1"/>
  <c r="R391" i="6"/>
  <c r="S391" i="6" s="1"/>
  <c r="Q391" i="6"/>
  <c r="AZ391" i="6" s="1"/>
  <c r="P391" i="6"/>
  <c r="R390" i="6"/>
  <c r="S390" i="6" s="1"/>
  <c r="BA390" i="6" s="1"/>
  <c r="P390" i="6"/>
  <c r="Q390" i="6" s="1"/>
  <c r="AZ390" i="6" s="1"/>
  <c r="R389" i="6"/>
  <c r="S389" i="6" s="1"/>
  <c r="Q389" i="6"/>
  <c r="AZ389" i="6" s="1"/>
  <c r="P389" i="6"/>
  <c r="S388" i="6"/>
  <c r="BA388" i="6" s="1"/>
  <c r="R388" i="6"/>
  <c r="P388" i="6"/>
  <c r="Q388" i="6" s="1"/>
  <c r="R387" i="6"/>
  <c r="S387" i="6" s="1"/>
  <c r="Q387" i="6"/>
  <c r="AZ387" i="6" s="1"/>
  <c r="P387" i="6"/>
  <c r="R386" i="6"/>
  <c r="S386" i="6" s="1"/>
  <c r="BA386" i="6" s="1"/>
  <c r="P386" i="6"/>
  <c r="Q386" i="6" s="1"/>
  <c r="R385" i="6"/>
  <c r="S385" i="6" s="1"/>
  <c r="Q385" i="6"/>
  <c r="P385" i="6"/>
  <c r="V385" i="6" s="1"/>
  <c r="S384" i="6"/>
  <c r="R384" i="6"/>
  <c r="W384" i="6" s="1"/>
  <c r="P384" i="6"/>
  <c r="R383" i="6"/>
  <c r="Q383" i="6"/>
  <c r="AZ383" i="6" s="1"/>
  <c r="P383" i="6"/>
  <c r="V383" i="6" s="1"/>
  <c r="R382" i="6"/>
  <c r="W382" i="6" s="1"/>
  <c r="P382" i="6"/>
  <c r="Q382" i="6" s="1"/>
  <c r="R381" i="6"/>
  <c r="S381" i="6" s="1"/>
  <c r="Q381" i="6"/>
  <c r="P381" i="6"/>
  <c r="V381" i="6" s="1"/>
  <c r="S380" i="6"/>
  <c r="R380" i="6"/>
  <c r="W380" i="6" s="1"/>
  <c r="P380" i="6"/>
  <c r="Q380" i="6" s="1"/>
  <c r="R379" i="6"/>
  <c r="S379" i="6" s="1"/>
  <c r="Q379" i="6"/>
  <c r="AZ379" i="6" s="1"/>
  <c r="P379" i="6"/>
  <c r="V379" i="6" s="1"/>
  <c r="R378" i="6"/>
  <c r="W378" i="6" s="1"/>
  <c r="P378" i="6"/>
  <c r="R377" i="6"/>
  <c r="Q377" i="6"/>
  <c r="AZ377" i="6" s="1"/>
  <c r="P377" i="6"/>
  <c r="V377" i="6" s="1"/>
  <c r="S376" i="6"/>
  <c r="R376" i="6"/>
  <c r="W376" i="6" s="1"/>
  <c r="P376" i="6"/>
  <c r="Q376" i="6" s="1"/>
  <c r="R375" i="6"/>
  <c r="S375" i="6" s="1"/>
  <c r="Q375" i="6"/>
  <c r="AZ375" i="6" s="1"/>
  <c r="P375" i="6"/>
  <c r="V375" i="6" s="1"/>
  <c r="R374" i="6"/>
  <c r="W374" i="6" s="1"/>
  <c r="P374" i="6"/>
  <c r="R373" i="6"/>
  <c r="S373" i="6" s="1"/>
  <c r="Q373" i="6"/>
  <c r="P373" i="6"/>
  <c r="V373" i="6" s="1"/>
  <c r="S372" i="6"/>
  <c r="R372" i="6"/>
  <c r="P372" i="6"/>
  <c r="R371" i="6"/>
  <c r="Q371" i="6"/>
  <c r="AZ371" i="6" s="1"/>
  <c r="P371" i="6"/>
  <c r="V371" i="6" s="1"/>
  <c r="R370" i="6"/>
  <c r="W370" i="6" s="1"/>
  <c r="P370" i="6"/>
  <c r="R369" i="6"/>
  <c r="S369" i="6" s="1"/>
  <c r="Q369" i="6"/>
  <c r="P369" i="6"/>
  <c r="V369" i="6" s="1"/>
  <c r="S368" i="6"/>
  <c r="R368" i="6"/>
  <c r="P368" i="6"/>
  <c r="R367" i="6"/>
  <c r="S367" i="6" s="1"/>
  <c r="Q367" i="6"/>
  <c r="P367" i="6"/>
  <c r="V367" i="6" s="1"/>
  <c r="R366" i="6"/>
  <c r="S366" i="6" s="1"/>
  <c r="P366" i="6"/>
  <c r="R365" i="6"/>
  <c r="Q365" i="6"/>
  <c r="P365" i="6"/>
  <c r="V365" i="6" s="1"/>
  <c r="S364" i="6"/>
  <c r="R364" i="6"/>
  <c r="W364" i="6" s="1"/>
  <c r="P364" i="6"/>
  <c r="Q364" i="6" s="1"/>
  <c r="R363" i="6"/>
  <c r="S363" i="6" s="1"/>
  <c r="Q363" i="6"/>
  <c r="AZ363" i="6" s="1"/>
  <c r="P363" i="6"/>
  <c r="V363" i="6" s="1"/>
  <c r="R362" i="6"/>
  <c r="W362" i="6" s="1"/>
  <c r="P362" i="6"/>
  <c r="R361" i="6"/>
  <c r="S361" i="6" s="1"/>
  <c r="Q361" i="6"/>
  <c r="P361" i="6"/>
  <c r="V361" i="6" s="1"/>
  <c r="S360" i="6"/>
  <c r="R360" i="6"/>
  <c r="W360" i="6" s="1"/>
  <c r="P360" i="6"/>
  <c r="R359" i="6"/>
  <c r="Q359" i="6"/>
  <c r="AZ359" i="6" s="1"/>
  <c r="P359" i="6"/>
  <c r="V359" i="6" s="1"/>
  <c r="R358" i="6"/>
  <c r="W358" i="6" s="1"/>
  <c r="P358" i="6"/>
  <c r="R357" i="6"/>
  <c r="S357" i="6" s="1"/>
  <c r="Q357" i="6"/>
  <c r="P357" i="6"/>
  <c r="V357" i="6" s="1"/>
  <c r="R356" i="6"/>
  <c r="S356" i="6" s="1"/>
  <c r="P356" i="6"/>
  <c r="S355" i="6"/>
  <c r="R355" i="6"/>
  <c r="W355" i="6" s="1"/>
  <c r="Q355" i="6"/>
  <c r="AZ355" i="6" s="1"/>
  <c r="P355" i="6"/>
  <c r="V355" i="6" s="1"/>
  <c r="S354" i="6"/>
  <c r="R354" i="6"/>
  <c r="W354" i="6" s="1"/>
  <c r="P354" i="6"/>
  <c r="Q354" i="6" s="1"/>
  <c r="AZ354" i="6" s="1"/>
  <c r="S353" i="6"/>
  <c r="R353" i="6"/>
  <c r="W353" i="6" s="1"/>
  <c r="Q353" i="6"/>
  <c r="P353" i="6"/>
  <c r="V353" i="6" s="1"/>
  <c r="S352" i="6"/>
  <c r="R352" i="6"/>
  <c r="W352" i="6" s="1"/>
  <c r="P352" i="6"/>
  <c r="V352" i="6" s="1"/>
  <c r="S351" i="6"/>
  <c r="R351" i="6"/>
  <c r="W351" i="6" s="1"/>
  <c r="Q351" i="6"/>
  <c r="AZ351" i="6" s="1"/>
  <c r="P351" i="6"/>
  <c r="V351" i="6" s="1"/>
  <c r="S350" i="6"/>
  <c r="R350" i="6"/>
  <c r="W350" i="6" s="1"/>
  <c r="P350" i="6"/>
  <c r="Q350" i="6" s="1"/>
  <c r="AZ350" i="6" s="1"/>
  <c r="S349" i="6"/>
  <c r="R349" i="6"/>
  <c r="W349" i="6" s="1"/>
  <c r="Q349" i="6"/>
  <c r="P349" i="6"/>
  <c r="V349" i="6" s="1"/>
  <c r="S348" i="6"/>
  <c r="R348" i="6"/>
  <c r="W348" i="6" s="1"/>
  <c r="P348" i="6"/>
  <c r="V348" i="6" s="1"/>
  <c r="S347" i="6"/>
  <c r="R347" i="6"/>
  <c r="W347" i="6" s="1"/>
  <c r="Q347" i="6"/>
  <c r="P347" i="6"/>
  <c r="V347" i="6" s="1"/>
  <c r="S346" i="6"/>
  <c r="R346" i="6"/>
  <c r="W346" i="6" s="1"/>
  <c r="P346" i="6"/>
  <c r="V346" i="6" s="1"/>
  <c r="S345" i="6"/>
  <c r="R345" i="6"/>
  <c r="W345" i="6" s="1"/>
  <c r="Q345" i="6"/>
  <c r="P345" i="6"/>
  <c r="V345" i="6" s="1"/>
  <c r="S344" i="6"/>
  <c r="R344" i="6"/>
  <c r="W344" i="6" s="1"/>
  <c r="P344" i="6"/>
  <c r="V344" i="6" s="1"/>
  <c r="S343" i="6"/>
  <c r="R343" i="6"/>
  <c r="W343" i="6" s="1"/>
  <c r="Q343" i="6"/>
  <c r="AZ343" i="6" s="1"/>
  <c r="P343" i="6"/>
  <c r="V343" i="6" s="1"/>
  <c r="S342" i="6"/>
  <c r="R342" i="6"/>
  <c r="W342" i="6" s="1"/>
  <c r="P342" i="6"/>
  <c r="Q342" i="6" s="1"/>
  <c r="S341" i="6"/>
  <c r="R341" i="6"/>
  <c r="Q341" i="6"/>
  <c r="P341" i="6"/>
  <c r="V341" i="6" s="1"/>
  <c r="S340" i="6"/>
  <c r="BA340" i="6" s="1"/>
  <c r="R340" i="6"/>
  <c r="W340" i="6" s="1"/>
  <c r="P340" i="6"/>
  <c r="Q340" i="6" s="1"/>
  <c r="AZ340" i="6" s="1"/>
  <c r="S339" i="6"/>
  <c r="R339" i="6"/>
  <c r="W339" i="6" s="1"/>
  <c r="Q339" i="6"/>
  <c r="P339" i="6"/>
  <c r="V339" i="6" s="1"/>
  <c r="S338" i="6"/>
  <c r="R338" i="6"/>
  <c r="W338" i="6" s="1"/>
  <c r="P338" i="6"/>
  <c r="Q338" i="6" s="1"/>
  <c r="S337" i="6"/>
  <c r="R337" i="6"/>
  <c r="W337" i="6" s="1"/>
  <c r="Q337" i="6"/>
  <c r="P337" i="6"/>
  <c r="V337" i="6" s="1"/>
  <c r="S336" i="6"/>
  <c r="BA336" i="6" s="1"/>
  <c r="R336" i="6"/>
  <c r="W336" i="6" s="1"/>
  <c r="P336" i="6"/>
  <c r="V336" i="6" s="1"/>
  <c r="S335" i="6"/>
  <c r="R335" i="6"/>
  <c r="W335" i="6" s="1"/>
  <c r="Q335" i="6"/>
  <c r="P335" i="6"/>
  <c r="V335" i="6" s="1"/>
  <c r="S334" i="6"/>
  <c r="BA334" i="6" s="1"/>
  <c r="R334" i="6"/>
  <c r="W334" i="6" s="1"/>
  <c r="P334" i="6"/>
  <c r="V334" i="6" s="1"/>
  <c r="S333" i="6"/>
  <c r="R333" i="6"/>
  <c r="W333" i="6" s="1"/>
  <c r="Q333" i="6"/>
  <c r="P333" i="6"/>
  <c r="V333" i="6" s="1"/>
  <c r="S332" i="6"/>
  <c r="R332" i="6"/>
  <c r="W332" i="6" s="1"/>
  <c r="P332" i="6"/>
  <c r="Q332" i="6" s="1"/>
  <c r="S331" i="6"/>
  <c r="R331" i="6"/>
  <c r="W331" i="6" s="1"/>
  <c r="Q331" i="6"/>
  <c r="P331" i="6"/>
  <c r="V331" i="6" s="1"/>
  <c r="S330" i="6"/>
  <c r="R330" i="6"/>
  <c r="W330" i="6" s="1"/>
  <c r="P330" i="6"/>
  <c r="V330" i="6" s="1"/>
  <c r="S329" i="6"/>
  <c r="R329" i="6"/>
  <c r="W329" i="6" s="1"/>
  <c r="Q329" i="6"/>
  <c r="P329" i="6"/>
  <c r="V329" i="6" s="1"/>
  <c r="S328" i="6"/>
  <c r="R328" i="6"/>
  <c r="W328" i="6" s="1"/>
  <c r="P328" i="6"/>
  <c r="V328" i="6" s="1"/>
  <c r="S327" i="6"/>
  <c r="R327" i="6"/>
  <c r="W327" i="6" s="1"/>
  <c r="Q327" i="6"/>
  <c r="P327" i="6"/>
  <c r="V327" i="6" s="1"/>
  <c r="S326" i="6"/>
  <c r="R326" i="6"/>
  <c r="W326" i="6" s="1"/>
  <c r="P326" i="6"/>
  <c r="Q326" i="6" s="1"/>
  <c r="S325" i="6"/>
  <c r="R325" i="6"/>
  <c r="Q325" i="6"/>
  <c r="AZ325" i="6" s="1"/>
  <c r="P325" i="6"/>
  <c r="V325" i="6" s="1"/>
  <c r="S324" i="6"/>
  <c r="BA324" i="6" s="1"/>
  <c r="R324" i="6"/>
  <c r="W324" i="6" s="1"/>
  <c r="P324" i="6"/>
  <c r="Q324" i="6" s="1"/>
  <c r="AZ324" i="6" s="1"/>
  <c r="S323" i="6"/>
  <c r="R323" i="6"/>
  <c r="W323" i="6" s="1"/>
  <c r="P323" i="6"/>
  <c r="R322" i="6"/>
  <c r="W322" i="6" s="1"/>
  <c r="P322" i="6"/>
  <c r="V322" i="6" s="1"/>
  <c r="S321" i="6"/>
  <c r="R321" i="6"/>
  <c r="W321" i="6" s="1"/>
  <c r="Q321" i="6"/>
  <c r="P321" i="6"/>
  <c r="V321" i="6" s="1"/>
  <c r="R320" i="6"/>
  <c r="W320" i="6" s="1"/>
  <c r="P320" i="6"/>
  <c r="V320" i="6" s="1"/>
  <c r="S319" i="6"/>
  <c r="R319" i="6"/>
  <c r="W319" i="6" s="1"/>
  <c r="P319" i="6"/>
  <c r="R318" i="6"/>
  <c r="W318" i="6" s="1"/>
  <c r="Q318" i="6"/>
  <c r="P318" i="6"/>
  <c r="R317" i="6"/>
  <c r="S317" i="6" s="1"/>
  <c r="P317" i="6"/>
  <c r="S316" i="6"/>
  <c r="R316" i="6"/>
  <c r="W316" i="6" s="1"/>
  <c r="P316" i="6"/>
  <c r="Q316" i="6" s="1"/>
  <c r="R315" i="6"/>
  <c r="P315" i="6"/>
  <c r="S314" i="6"/>
  <c r="R314" i="6"/>
  <c r="W314" i="6" s="1"/>
  <c r="Q314" i="6"/>
  <c r="P314" i="6"/>
  <c r="V314" i="6" s="1"/>
  <c r="R313" i="6"/>
  <c r="P313" i="6"/>
  <c r="R312" i="6"/>
  <c r="W312" i="6" s="1"/>
  <c r="Q312" i="6"/>
  <c r="P312" i="6"/>
  <c r="V312" i="6" s="1"/>
  <c r="S311" i="6"/>
  <c r="R311" i="6"/>
  <c r="W311" i="6" s="1"/>
  <c r="P311" i="6"/>
  <c r="S310" i="6"/>
  <c r="R310" i="6"/>
  <c r="W310" i="6" s="1"/>
  <c r="P310" i="6"/>
  <c r="V310" i="6" s="1"/>
  <c r="R309" i="6"/>
  <c r="S309" i="6" s="1"/>
  <c r="P309" i="6"/>
  <c r="R308" i="6"/>
  <c r="W308" i="6" s="1"/>
  <c r="Q308" i="6"/>
  <c r="AZ308" i="6" s="1"/>
  <c r="P308" i="6"/>
  <c r="V308" i="6" s="1"/>
  <c r="R307" i="6"/>
  <c r="P307" i="6"/>
  <c r="S306" i="6"/>
  <c r="BA306" i="6" s="1"/>
  <c r="R306" i="6"/>
  <c r="W306" i="6" s="1"/>
  <c r="P306" i="6"/>
  <c r="Q306" i="6" s="1"/>
  <c r="S305" i="6"/>
  <c r="R305" i="6"/>
  <c r="W305" i="6" s="1"/>
  <c r="P305" i="6"/>
  <c r="S304" i="6"/>
  <c r="BA304" i="6" s="1"/>
  <c r="R304" i="6"/>
  <c r="W304" i="6" s="1"/>
  <c r="Q304" i="6"/>
  <c r="P304" i="6"/>
  <c r="V304" i="6" s="1"/>
  <c r="R303" i="6"/>
  <c r="W303" i="6" s="1"/>
  <c r="P303" i="6"/>
  <c r="R302" i="6"/>
  <c r="W302" i="6" s="1"/>
  <c r="Q302" i="6"/>
  <c r="P302" i="6"/>
  <c r="R301" i="6"/>
  <c r="W301" i="6" s="1"/>
  <c r="P301" i="6"/>
  <c r="R300" i="6"/>
  <c r="W300" i="6" s="1"/>
  <c r="Q300" i="6"/>
  <c r="P300" i="6"/>
  <c r="V300" i="6" s="1"/>
  <c r="R299" i="6"/>
  <c r="P299" i="6"/>
  <c r="R298" i="6"/>
  <c r="W298" i="6" s="1"/>
  <c r="P298" i="6"/>
  <c r="V298" i="6" s="1"/>
  <c r="R297" i="6"/>
  <c r="P297" i="6"/>
  <c r="S296" i="6"/>
  <c r="BA296" i="6" s="1"/>
  <c r="R296" i="6"/>
  <c r="W296" i="6" s="1"/>
  <c r="P296" i="6"/>
  <c r="V296" i="6" s="1"/>
  <c r="R295" i="6"/>
  <c r="W295" i="6" s="1"/>
  <c r="P295" i="6"/>
  <c r="S294" i="6"/>
  <c r="R294" i="6"/>
  <c r="W294" i="6" s="1"/>
  <c r="P294" i="6"/>
  <c r="Q294" i="6" s="1"/>
  <c r="R293" i="6"/>
  <c r="S293" i="6" s="1"/>
  <c r="P293" i="6"/>
  <c r="R292" i="6"/>
  <c r="W292" i="6" s="1"/>
  <c r="Q292" i="6"/>
  <c r="AZ292" i="6" s="1"/>
  <c r="P292" i="6"/>
  <c r="V292" i="6" s="1"/>
  <c r="R291" i="6"/>
  <c r="P291" i="6"/>
  <c r="S290" i="6"/>
  <c r="BA290" i="6" s="1"/>
  <c r="R290" i="6"/>
  <c r="W290" i="6" s="1"/>
  <c r="P290" i="6"/>
  <c r="Q290" i="6" s="1"/>
  <c r="S289" i="6"/>
  <c r="R289" i="6"/>
  <c r="W289" i="6" s="1"/>
  <c r="P289" i="6"/>
  <c r="R288" i="6"/>
  <c r="W288" i="6" s="1"/>
  <c r="P288" i="6"/>
  <c r="V288" i="6" s="1"/>
  <c r="AF170" i="9"/>
  <c r="AF171" i="9"/>
  <c r="Q534" i="6" l="1"/>
  <c r="AZ534" i="6" s="1"/>
  <c r="V534" i="6"/>
  <c r="V537" i="6"/>
  <c r="Q537" i="6"/>
  <c r="W572" i="6"/>
  <c r="S572" i="6"/>
  <c r="Q585" i="6"/>
  <c r="AZ585" i="6" s="1"/>
  <c r="S602" i="6"/>
  <c r="BA602" i="6" s="1"/>
  <c r="W602" i="6"/>
  <c r="S605" i="6"/>
  <c r="Q609" i="6"/>
  <c r="V637" i="6"/>
  <c r="Q637" i="6"/>
  <c r="AZ637" i="6" s="1"/>
  <c r="AZ663" i="6"/>
  <c r="W630" i="6"/>
  <c r="V615" i="6"/>
  <c r="W606" i="6"/>
  <c r="W589" i="6"/>
  <c r="W473" i="6"/>
  <c r="W447" i="6"/>
  <c r="W439" i="6"/>
  <c r="W356" i="6"/>
  <c r="W293" i="6"/>
  <c r="BA635" i="6"/>
  <c r="BA406" i="6"/>
  <c r="BA373" i="6"/>
  <c r="BA367" i="6"/>
  <c r="Q288" i="6"/>
  <c r="Q293" i="6"/>
  <c r="AZ293" i="6" s="1"/>
  <c r="V293" i="6"/>
  <c r="S295" i="6"/>
  <c r="Q298" i="6"/>
  <c r="S300" i="6"/>
  <c r="BA300" i="6" s="1"/>
  <c r="Q303" i="6"/>
  <c r="AZ303" i="6" s="1"/>
  <c r="V303" i="6"/>
  <c r="S312" i="6"/>
  <c r="BA312" i="6" s="1"/>
  <c r="S315" i="6"/>
  <c r="BA315" i="6" s="1"/>
  <c r="W315" i="6"/>
  <c r="Q320" i="6"/>
  <c r="Q322" i="6"/>
  <c r="W377" i="6"/>
  <c r="S377" i="6"/>
  <c r="BA377" i="6" s="1"/>
  <c r="W441" i="6"/>
  <c r="S441" i="6"/>
  <c r="BA441" i="6" s="1"/>
  <c r="BA449" i="6"/>
  <c r="Q474" i="6"/>
  <c r="AZ474" i="6" s="1"/>
  <c r="V474" i="6"/>
  <c r="V480" i="6"/>
  <c r="Q480" i="6"/>
  <c r="AZ480" i="6" s="1"/>
  <c r="Q531" i="6"/>
  <c r="AZ531" i="6" s="1"/>
  <c r="V531" i="6"/>
  <c r="Q566" i="6"/>
  <c r="AZ566" i="6" s="1"/>
  <c r="V566" i="6"/>
  <c r="V569" i="6"/>
  <c r="Q569" i="6"/>
  <c r="S576" i="6"/>
  <c r="W576" i="6"/>
  <c r="Q582" i="6"/>
  <c r="AZ582" i="6" s="1"/>
  <c r="V582" i="6"/>
  <c r="Q619" i="6"/>
  <c r="V619" i="6"/>
  <c r="S643" i="6"/>
  <c r="BA643" i="6" s="1"/>
  <c r="W643" i="6"/>
  <c r="S646" i="6"/>
  <c r="W646" i="6"/>
  <c r="W674" i="6"/>
  <c r="V652" i="6"/>
  <c r="W597" i="6"/>
  <c r="V588" i="6"/>
  <c r="W564" i="6"/>
  <c r="V538" i="6"/>
  <c r="W528" i="6"/>
  <c r="W519" i="6"/>
  <c r="W462" i="6"/>
  <c r="V380" i="6"/>
  <c r="W367" i="6"/>
  <c r="V340" i="6"/>
  <c r="V324" i="6"/>
  <c r="AZ672" i="6"/>
  <c r="AZ662" i="6"/>
  <c r="BA409" i="6"/>
  <c r="S297" i="6"/>
  <c r="BA297" i="6" s="1"/>
  <c r="W297" i="6"/>
  <c r="W371" i="6"/>
  <c r="S371" i="6"/>
  <c r="S443" i="6"/>
  <c r="BA443" i="6" s="1"/>
  <c r="W443" i="6"/>
  <c r="S614" i="6"/>
  <c r="BA614" i="6" s="1"/>
  <c r="W614" i="6"/>
  <c r="V640" i="6"/>
  <c r="S302" i="6"/>
  <c r="BA302" i="6" s="1"/>
  <c r="Q310" i="6"/>
  <c r="AZ310" i="6" s="1"/>
  <c r="Q334" i="6"/>
  <c r="Q346" i="6"/>
  <c r="AZ346" i="6" s="1"/>
  <c r="Q372" i="6"/>
  <c r="AZ372" i="6" s="1"/>
  <c r="V372" i="6"/>
  <c r="S382" i="6"/>
  <c r="Q485" i="6"/>
  <c r="Q362" i="6"/>
  <c r="AZ362" i="6" s="1"/>
  <c r="V362" i="6"/>
  <c r="Q596" i="6"/>
  <c r="V596" i="6"/>
  <c r="Q627" i="6"/>
  <c r="AZ627" i="6" s="1"/>
  <c r="V627" i="6"/>
  <c r="S634" i="6"/>
  <c r="W634" i="6"/>
  <c r="Q664" i="6"/>
  <c r="AZ664" i="6" s="1"/>
  <c r="V664" i="6"/>
  <c r="W667" i="6"/>
  <c r="V644" i="6"/>
  <c r="W379" i="6"/>
  <c r="V354" i="6"/>
  <c r="V338" i="6"/>
  <c r="V290" i="6"/>
  <c r="BA549" i="6"/>
  <c r="Q295" i="6"/>
  <c r="V295" i="6"/>
  <c r="Q307" i="6"/>
  <c r="AZ307" i="6" s="1"/>
  <c r="V307" i="6"/>
  <c r="W459" i="6"/>
  <c r="S459" i="6"/>
  <c r="V473" i="6"/>
  <c r="Q473" i="6"/>
  <c r="Q572" i="6"/>
  <c r="V572" i="6"/>
  <c r="V649" i="6"/>
  <c r="Q649" i="6"/>
  <c r="AZ649" i="6" s="1"/>
  <c r="Q659" i="6"/>
  <c r="AZ659" i="6" s="1"/>
  <c r="V659" i="6"/>
  <c r="V326" i="6"/>
  <c r="S292" i="6"/>
  <c r="BA292" i="6" s="1"/>
  <c r="Q305" i="6"/>
  <c r="AZ305" i="6" s="1"/>
  <c r="V305" i="6"/>
  <c r="Q328" i="6"/>
  <c r="AZ328" i="6" s="1"/>
  <c r="Q336" i="6"/>
  <c r="Q344" i="6"/>
  <c r="S446" i="6"/>
  <c r="BA446" i="6" s="1"/>
  <c r="V370" i="6"/>
  <c r="Q370" i="6"/>
  <c r="AZ370" i="6" s="1"/>
  <c r="Q483" i="6"/>
  <c r="AZ483" i="6" s="1"/>
  <c r="V483" i="6"/>
  <c r="Q522" i="6"/>
  <c r="AZ522" i="6" s="1"/>
  <c r="V522" i="6"/>
  <c r="Q616" i="6"/>
  <c r="AZ616" i="6" s="1"/>
  <c r="V616" i="6"/>
  <c r="S298" i="6"/>
  <c r="S313" i="6"/>
  <c r="W313" i="6"/>
  <c r="S320" i="6"/>
  <c r="BA320" i="6" s="1"/>
  <c r="W383" i="6"/>
  <c r="S383" i="6"/>
  <c r="BA383" i="6" s="1"/>
  <c r="W455" i="6"/>
  <c r="S455" i="6"/>
  <c r="BA455" i="6" s="1"/>
  <c r="W463" i="6"/>
  <c r="S463" i="6"/>
  <c r="Q554" i="6"/>
  <c r="AZ554" i="6" s="1"/>
  <c r="V554" i="6"/>
  <c r="Q604" i="6"/>
  <c r="V604" i="6"/>
  <c r="Q628" i="6"/>
  <c r="AZ628" i="6" s="1"/>
  <c r="V628" i="6"/>
  <c r="Q668" i="6"/>
  <c r="V668" i="6"/>
  <c r="W435" i="6"/>
  <c r="V350" i="6"/>
  <c r="AZ600" i="6"/>
  <c r="BA419" i="6"/>
  <c r="AZ344" i="6"/>
  <c r="Q289" i="6"/>
  <c r="V289" i="6"/>
  <c r="S291" i="6"/>
  <c r="W291" i="6"/>
  <c r="Q299" i="6"/>
  <c r="V299" i="6"/>
  <c r="S301" i="6"/>
  <c r="S308" i="6"/>
  <c r="S318" i="6"/>
  <c r="BA318" i="6" s="1"/>
  <c r="Q323" i="6"/>
  <c r="V323" i="6"/>
  <c r="AZ327" i="6"/>
  <c r="AZ337" i="6"/>
  <c r="AZ347" i="6"/>
  <c r="Q360" i="6"/>
  <c r="V360" i="6"/>
  <c r="S362" i="6"/>
  <c r="Q368" i="6"/>
  <c r="V368" i="6"/>
  <c r="S370" i="6"/>
  <c r="BA370" i="6" s="1"/>
  <c r="S378" i="6"/>
  <c r="AZ381" i="6"/>
  <c r="Q384" i="6"/>
  <c r="V384" i="6"/>
  <c r="AZ405" i="6"/>
  <c r="AZ413" i="6"/>
  <c r="S434" i="6"/>
  <c r="S442" i="6"/>
  <c r="BA442" i="6" s="1"/>
  <c r="S450" i="6"/>
  <c r="S458" i="6"/>
  <c r="AZ472" i="6"/>
  <c r="Q475" i="6"/>
  <c r="AZ475" i="6" s="1"/>
  <c r="S486" i="6"/>
  <c r="BA486" i="6" s="1"/>
  <c r="AZ542" i="6"/>
  <c r="S545" i="6"/>
  <c r="BA545" i="6" s="1"/>
  <c r="S554" i="6"/>
  <c r="BA554" i="6" s="1"/>
  <c r="W554" i="6"/>
  <c r="Q564" i="6"/>
  <c r="V564" i="6"/>
  <c r="Q567" i="6"/>
  <c r="AZ567" i="6" s="1"/>
  <c r="Q587" i="6"/>
  <c r="AZ587" i="6" s="1"/>
  <c r="V587" i="6"/>
  <c r="Q597" i="6"/>
  <c r="AZ597" i="6" s="1"/>
  <c r="V597" i="6"/>
  <c r="S600" i="6"/>
  <c r="W600" i="6"/>
  <c r="W604" i="6"/>
  <c r="S604" i="6"/>
  <c r="BA604" i="6" s="1"/>
  <c r="S657" i="6"/>
  <c r="BA657" i="6" s="1"/>
  <c r="Q661" i="6"/>
  <c r="AZ661" i="6" s="1"/>
  <c r="V661" i="6"/>
  <c r="V672" i="6"/>
  <c r="V635" i="6"/>
  <c r="V594" i="6"/>
  <c r="V570" i="6"/>
  <c r="W543" i="6"/>
  <c r="W375" i="6"/>
  <c r="W363" i="6"/>
  <c r="W317" i="6"/>
  <c r="BA440" i="6"/>
  <c r="S588" i="6"/>
  <c r="BA588" i="6" s="1"/>
  <c r="W588" i="6"/>
  <c r="S655" i="6"/>
  <c r="BA655" i="6" s="1"/>
  <c r="W655" i="6"/>
  <c r="V342" i="6"/>
  <c r="S307" i="6"/>
  <c r="BA307" i="6" s="1"/>
  <c r="W307" i="6"/>
  <c r="Q315" i="6"/>
  <c r="AZ315" i="6" s="1"/>
  <c r="V315" i="6"/>
  <c r="Q330" i="6"/>
  <c r="Q348" i="6"/>
  <c r="AZ348" i="6" s="1"/>
  <c r="Q352" i="6"/>
  <c r="S358" i="6"/>
  <c r="BA358" i="6" s="1"/>
  <c r="S374" i="6"/>
  <c r="BA374" i="6" s="1"/>
  <c r="Q301" i="6"/>
  <c r="AZ301" i="6" s="1"/>
  <c r="V301" i="6"/>
  <c r="Q313" i="6"/>
  <c r="AZ313" i="6" s="1"/>
  <c r="V313" i="6"/>
  <c r="Q563" i="6"/>
  <c r="AZ563" i="6" s="1"/>
  <c r="V563" i="6"/>
  <c r="W479" i="6"/>
  <c r="S288" i="6"/>
  <c r="Q296" i="6"/>
  <c r="S322" i="6"/>
  <c r="BA322" i="6" s="1"/>
  <c r="S516" i="6"/>
  <c r="BA516" i="6" s="1"/>
  <c r="Q532" i="6"/>
  <c r="V532" i="6"/>
  <c r="Q610" i="6"/>
  <c r="V610" i="6"/>
  <c r="AZ581" i="6"/>
  <c r="BA558" i="6"/>
  <c r="AZ434" i="6"/>
  <c r="BA319" i="6"/>
  <c r="S299" i="6"/>
  <c r="BA299" i="6" s="1"/>
  <c r="W299" i="6"/>
  <c r="Q309" i="6"/>
  <c r="AZ309" i="6" s="1"/>
  <c r="V309" i="6"/>
  <c r="Q319" i="6"/>
  <c r="V319" i="6"/>
  <c r="W365" i="6"/>
  <c r="S365" i="6"/>
  <c r="W437" i="6"/>
  <c r="S437" i="6"/>
  <c r="BA437" i="6" s="1"/>
  <c r="W445" i="6"/>
  <c r="S445" i="6"/>
  <c r="S461" i="6"/>
  <c r="W461" i="6"/>
  <c r="S529" i="6"/>
  <c r="BA529" i="6" s="1"/>
  <c r="W529" i="6"/>
  <c r="Q584" i="6"/>
  <c r="V584" i="6"/>
  <c r="S590" i="6"/>
  <c r="W590" i="6"/>
  <c r="V601" i="6"/>
  <c r="Q601" i="6"/>
  <c r="S654" i="6"/>
  <c r="BA654" i="6" s="1"/>
  <c r="W654" i="6"/>
  <c r="W665" i="6"/>
  <c r="W617" i="6"/>
  <c r="W584" i="6"/>
  <c r="W569" i="6"/>
  <c r="W560" i="6"/>
  <c r="W551" i="6"/>
  <c r="W542" i="6"/>
  <c r="W477" i="6"/>
  <c r="W451" i="6"/>
  <c r="W373" i="6"/>
  <c r="V332" i="6"/>
  <c r="V316" i="6"/>
  <c r="BA583" i="6"/>
  <c r="AZ521" i="6"/>
  <c r="BA517" i="6"/>
  <c r="Q356" i="6"/>
  <c r="V356" i="6"/>
  <c r="Q540" i="6"/>
  <c r="V540" i="6"/>
  <c r="S611" i="6"/>
  <c r="W611" i="6"/>
  <c r="Q630" i="6"/>
  <c r="AZ630" i="6" s="1"/>
  <c r="V630" i="6"/>
  <c r="W662" i="6"/>
  <c r="S454" i="6"/>
  <c r="BA454" i="6" s="1"/>
  <c r="Q378" i="6"/>
  <c r="AZ378" i="6" s="1"/>
  <c r="V378" i="6"/>
  <c r="V541" i="6"/>
  <c r="Q541" i="6"/>
  <c r="S599" i="6"/>
  <c r="BA599" i="6" s="1"/>
  <c r="W599" i="6"/>
  <c r="Q291" i="6"/>
  <c r="V291" i="6"/>
  <c r="S303" i="6"/>
  <c r="Q311" i="6"/>
  <c r="AZ311" i="6" s="1"/>
  <c r="V311" i="6"/>
  <c r="W359" i="6"/>
  <c r="S359" i="6"/>
  <c r="BA359" i="6" s="1"/>
  <c r="S480" i="6"/>
  <c r="BA480" i="6" s="1"/>
  <c r="S522" i="6"/>
  <c r="BA522" i="6" s="1"/>
  <c r="W522" i="6"/>
  <c r="Q535" i="6"/>
  <c r="Q557" i="6"/>
  <c r="AZ557" i="6" s="1"/>
  <c r="Q593" i="6"/>
  <c r="AZ593" i="6" s="1"/>
  <c r="Q607" i="6"/>
  <c r="V607" i="6"/>
  <c r="Q613" i="6"/>
  <c r="AZ613" i="6" s="1"/>
  <c r="V613" i="6"/>
  <c r="S631" i="6"/>
  <c r="W631" i="6"/>
  <c r="S664" i="6"/>
  <c r="W664" i="6"/>
  <c r="V364" i="6"/>
  <c r="AZ610" i="6"/>
  <c r="BA567" i="6"/>
  <c r="BA430" i="6"/>
  <c r="AZ402" i="6"/>
  <c r="BA301" i="6"/>
  <c r="Q297" i="6"/>
  <c r="AZ297" i="6" s="1"/>
  <c r="V297" i="6"/>
  <c r="Q317" i="6"/>
  <c r="AZ317" i="6" s="1"/>
  <c r="V317" i="6"/>
  <c r="V358" i="6"/>
  <c r="Q358" i="6"/>
  <c r="AZ358" i="6" s="1"/>
  <c r="Q366" i="6"/>
  <c r="AZ366" i="6" s="1"/>
  <c r="V366" i="6"/>
  <c r="Q374" i="6"/>
  <c r="AZ374" i="6" s="1"/>
  <c r="V374" i="6"/>
  <c r="AZ403" i="6"/>
  <c r="AZ411" i="6"/>
  <c r="S478" i="6"/>
  <c r="BA478" i="6" s="1"/>
  <c r="W478" i="6"/>
  <c r="W484" i="6"/>
  <c r="S484" i="6"/>
  <c r="BA484" i="6" s="1"/>
  <c r="BA504" i="6"/>
  <c r="S561" i="6"/>
  <c r="BA561" i="6" s="1"/>
  <c r="W561" i="6"/>
  <c r="Q575" i="6"/>
  <c r="V575" i="6"/>
  <c r="Q578" i="6"/>
  <c r="AZ578" i="6" s="1"/>
  <c r="V578" i="6"/>
  <c r="Q581" i="6"/>
  <c r="V581" i="6"/>
  <c r="Q591" i="6"/>
  <c r="AZ591" i="6" s="1"/>
  <c r="V591" i="6"/>
  <c r="Q662" i="6"/>
  <c r="V662" i="6"/>
  <c r="V669" i="6"/>
  <c r="Q669" i="6"/>
  <c r="W633" i="6"/>
  <c r="W616" i="6"/>
  <c r="V576" i="6"/>
  <c r="V560" i="6"/>
  <c r="V542" i="6"/>
  <c r="W532" i="6"/>
  <c r="BA673" i="6"/>
  <c r="BA669" i="6"/>
  <c r="BA550" i="6"/>
  <c r="Q517" i="6"/>
  <c r="AZ517" i="6" s="1"/>
  <c r="V517" i="6"/>
  <c r="AZ546" i="6"/>
  <c r="Q549" i="6"/>
  <c r="V549" i="6"/>
  <c r="AZ621" i="6"/>
  <c r="AZ646" i="6"/>
  <c r="AZ655" i="6"/>
  <c r="AZ658" i="6"/>
  <c r="W675" i="6"/>
  <c r="V671" i="6"/>
  <c r="W666" i="6"/>
  <c r="V648" i="6"/>
  <c r="V639" i="6"/>
  <c r="V598" i="6"/>
  <c r="W579" i="6"/>
  <c r="W570" i="6"/>
  <c r="W556" i="6"/>
  <c r="V552" i="6"/>
  <c r="W547" i="6"/>
  <c r="V543" i="6"/>
  <c r="W538" i="6"/>
  <c r="W524" i="6"/>
  <c r="V520" i="6"/>
  <c r="W515" i="6"/>
  <c r="V448" i="6"/>
  <c r="BA659" i="6"/>
  <c r="BA622" i="6"/>
  <c r="AZ577" i="6"/>
  <c r="BA573" i="6"/>
  <c r="BA570" i="6"/>
  <c r="AZ416" i="6"/>
  <c r="AZ550" i="6"/>
  <c r="AZ653" i="6"/>
  <c r="BA656" i="6"/>
  <c r="V660" i="6"/>
  <c r="V651" i="6"/>
  <c r="V642" i="6"/>
  <c r="W632" i="6"/>
  <c r="W591" i="6"/>
  <c r="W582" i="6"/>
  <c r="W573" i="6"/>
  <c r="W559" i="6"/>
  <c r="V555" i="6"/>
  <c r="W550" i="6"/>
  <c r="V546" i="6"/>
  <c r="W541" i="6"/>
  <c r="W527" i="6"/>
  <c r="V523" i="6"/>
  <c r="W518" i="6"/>
  <c r="V514" i="6"/>
  <c r="V486" i="6"/>
  <c r="W481" i="6"/>
  <c r="W476" i="6"/>
  <c r="V468" i="6"/>
  <c r="V464" i="6"/>
  <c r="V442" i="6"/>
  <c r="BA648" i="6"/>
  <c r="AZ642" i="6"/>
  <c r="BA634" i="6"/>
  <c r="BA611" i="6"/>
  <c r="AZ608" i="6"/>
  <c r="BA582" i="6"/>
  <c r="BA575" i="6"/>
  <c r="BA489" i="6"/>
  <c r="BA368" i="6"/>
  <c r="BA365" i="6"/>
  <c r="BA347" i="6"/>
  <c r="BA333" i="6"/>
  <c r="AZ319" i="6"/>
  <c r="BA311" i="6"/>
  <c r="Q481" i="6"/>
  <c r="AZ481" i="6" s="1"/>
  <c r="AZ507" i="6"/>
  <c r="Q533" i="6"/>
  <c r="AZ533" i="6" s="1"/>
  <c r="V533" i="6"/>
  <c r="AZ562" i="6"/>
  <c r="Q565" i="6"/>
  <c r="AZ565" i="6" s="1"/>
  <c r="V565" i="6"/>
  <c r="Q629" i="6"/>
  <c r="AZ629" i="6" s="1"/>
  <c r="V629" i="6"/>
  <c r="W659" i="6"/>
  <c r="W650" i="6"/>
  <c r="V632" i="6"/>
  <c r="V623" i="6"/>
  <c r="V614" i="6"/>
  <c r="W595" i="6"/>
  <c r="W586" i="6"/>
  <c r="V568" i="6"/>
  <c r="V559" i="6"/>
  <c r="V550" i="6"/>
  <c r="V536" i="6"/>
  <c r="W531" i="6"/>
  <c r="V527" i="6"/>
  <c r="V518" i="6"/>
  <c r="W485" i="6"/>
  <c r="V446" i="6"/>
  <c r="BA637" i="6"/>
  <c r="AZ503" i="6"/>
  <c r="BA496" i="6"/>
  <c r="AZ453" i="6"/>
  <c r="AZ443" i="6"/>
  <c r="AZ418" i="6"/>
  <c r="BA371" i="6"/>
  <c r="AZ368" i="6"/>
  <c r="BA361" i="6"/>
  <c r="Q436" i="6"/>
  <c r="Q450" i="6"/>
  <c r="AZ450" i="6" s="1"/>
  <c r="Q545" i="6"/>
  <c r="AZ545" i="6" s="1"/>
  <c r="AZ611" i="6"/>
  <c r="AZ626" i="6"/>
  <c r="Q645" i="6"/>
  <c r="AZ645" i="6" s="1"/>
  <c r="V645" i="6"/>
  <c r="Q657" i="6"/>
  <c r="AZ667" i="6"/>
  <c r="Q673" i="6"/>
  <c r="AZ673" i="6" s="1"/>
  <c r="W672" i="6"/>
  <c r="W663" i="6"/>
  <c r="V636" i="6"/>
  <c r="W622" i="6"/>
  <c r="W608" i="6"/>
  <c r="V595" i="6"/>
  <c r="W567" i="6"/>
  <c r="W558" i="6"/>
  <c r="W544" i="6"/>
  <c r="W535" i="6"/>
  <c r="W526" i="6"/>
  <c r="W475" i="6"/>
  <c r="AZ657" i="6"/>
  <c r="BA650" i="6"/>
  <c r="BA617" i="6"/>
  <c r="BA590" i="6"/>
  <c r="BA543" i="6"/>
  <c r="AZ506" i="6"/>
  <c r="BA469" i="6"/>
  <c r="BA403" i="6"/>
  <c r="AZ396" i="6"/>
  <c r="AZ296" i="6"/>
  <c r="AZ574" i="6"/>
  <c r="AZ586" i="6"/>
  <c r="AZ592" i="6"/>
  <c r="AZ618" i="6"/>
  <c r="AZ656" i="6"/>
  <c r="BA672" i="6"/>
  <c r="AZ648" i="6"/>
  <c r="AZ588" i="6"/>
  <c r="BA585" i="6"/>
  <c r="AZ580" i="6"/>
  <c r="BA530" i="6"/>
  <c r="BA524" i="6"/>
  <c r="BA521" i="6"/>
  <c r="BA515" i="6"/>
  <c r="AZ512" i="6"/>
  <c r="BA453" i="6"/>
  <c r="BA357" i="6"/>
  <c r="BA350" i="6"/>
  <c r="BA667" i="6"/>
  <c r="BA664" i="6"/>
  <c r="BA661" i="6"/>
  <c r="BA644" i="6"/>
  <c r="BA578" i="6"/>
  <c r="AZ575" i="6"/>
  <c r="AZ572" i="6"/>
  <c r="AZ569" i="6"/>
  <c r="BA559" i="6"/>
  <c r="BA556" i="6"/>
  <c r="AZ553" i="6"/>
  <c r="BA535" i="6"/>
  <c r="AZ529" i="6"/>
  <c r="BA526" i="6"/>
  <c r="BA523" i="6"/>
  <c r="BA514" i="6"/>
  <c r="BA483" i="6"/>
  <c r="BA461" i="6"/>
  <c r="BA448" i="6"/>
  <c r="AZ446" i="6"/>
  <c r="AZ442" i="6"/>
  <c r="BA421" i="6"/>
  <c r="BA387" i="6"/>
  <c r="BA379" i="6"/>
  <c r="AZ376" i="6"/>
  <c r="AZ373" i="6"/>
  <c r="BA345" i="6"/>
  <c r="BA338" i="6"/>
  <c r="BA313" i="6"/>
  <c r="BA670" i="6"/>
  <c r="BA658" i="6"/>
  <c r="BA649" i="6"/>
  <c r="AZ644" i="6"/>
  <c r="BA640" i="6"/>
  <c r="AZ619" i="6"/>
  <c r="BA615" i="6"/>
  <c r="BA605" i="6"/>
  <c r="AZ596" i="6"/>
  <c r="BA574" i="6"/>
  <c r="BA571" i="6"/>
  <c r="BA565" i="6"/>
  <c r="BA562" i="6"/>
  <c r="AZ556" i="6"/>
  <c r="BA541" i="6"/>
  <c r="AZ535" i="6"/>
  <c r="BA464" i="6"/>
  <c r="AZ461" i="6"/>
  <c r="AZ458" i="6"/>
  <c r="BA445" i="6"/>
  <c r="AZ345" i="6"/>
  <c r="BA341" i="6"/>
  <c r="AZ331" i="6"/>
  <c r="BA309" i="6"/>
  <c r="AZ299" i="6"/>
  <c r="AZ674" i="6"/>
  <c r="BA646" i="6"/>
  <c r="BA618" i="6"/>
  <c r="BA595" i="6"/>
  <c r="BA586" i="6"/>
  <c r="BA546" i="6"/>
  <c r="AZ541" i="6"/>
  <c r="AZ490" i="6"/>
  <c r="AZ464" i="6"/>
  <c r="BA413" i="6"/>
  <c r="BA355" i="6"/>
  <c r="AZ352" i="6"/>
  <c r="AZ291" i="6"/>
  <c r="BA675" i="6"/>
  <c r="BA653" i="6"/>
  <c r="BA641" i="6"/>
  <c r="BA638" i="6"/>
  <c r="BA632" i="6"/>
  <c r="AZ605" i="6"/>
  <c r="AZ583" i="6"/>
  <c r="BA580" i="6"/>
  <c r="AZ568" i="6"/>
  <c r="AZ559" i="6"/>
  <c r="BA555" i="6"/>
  <c r="BA538" i="6"/>
  <c r="AZ527" i="6"/>
  <c r="AZ524" i="6"/>
  <c r="AZ518" i="6"/>
  <c r="AZ496" i="6"/>
  <c r="BA492" i="6"/>
  <c r="AZ462" i="6"/>
  <c r="AZ449" i="6"/>
  <c r="AZ440" i="6"/>
  <c r="BA429" i="6"/>
  <c r="AZ423" i="6"/>
  <c r="AZ401" i="6"/>
  <c r="BA393" i="6"/>
  <c r="AZ384" i="6"/>
  <c r="AZ380" i="6"/>
  <c r="AZ334" i="6"/>
  <c r="AZ316" i="6"/>
  <c r="AZ669" i="6"/>
  <c r="BA663" i="6"/>
  <c r="BA645" i="6"/>
  <c r="AZ640" i="6"/>
  <c r="AZ576" i="6"/>
  <c r="AZ573" i="6"/>
  <c r="AZ564" i="6"/>
  <c r="AZ561" i="6"/>
  <c r="AZ549" i="6"/>
  <c r="AZ543" i="6"/>
  <c r="BA534" i="6"/>
  <c r="AZ532" i="6"/>
  <c r="BA399" i="6"/>
  <c r="BA395" i="6"/>
  <c r="BA389" i="6"/>
  <c r="BA363" i="6"/>
  <c r="BA325" i="6"/>
  <c r="BA647" i="6"/>
  <c r="BA631" i="6"/>
  <c r="BA612" i="6"/>
  <c r="BA609" i="6"/>
  <c r="BA606" i="6"/>
  <c r="BA603" i="6"/>
  <c r="BA566" i="6"/>
  <c r="BA563" i="6"/>
  <c r="BA557" i="6"/>
  <c r="AZ551" i="6"/>
  <c r="BA548" i="6"/>
  <c r="BA540" i="6"/>
  <c r="AZ537" i="6"/>
  <c r="BA531" i="6"/>
  <c r="BA494" i="6"/>
  <c r="AZ487" i="6"/>
  <c r="AZ484" i="6"/>
  <c r="AZ467" i="6"/>
  <c r="BA415" i="6"/>
  <c r="AZ412" i="6"/>
  <c r="AZ399" i="6"/>
  <c r="AZ353" i="6"/>
  <c r="AZ322" i="6"/>
  <c r="BA293" i="6"/>
  <c r="AZ660" i="6"/>
  <c r="AZ652" i="6"/>
  <c r="AZ609" i="6"/>
  <c r="BA597" i="6"/>
  <c r="BA594" i="6"/>
  <c r="BA589" i="6"/>
  <c r="BA581" i="6"/>
  <c r="AZ560" i="6"/>
  <c r="BA553" i="6"/>
  <c r="AZ548" i="6"/>
  <c r="BA542" i="6"/>
  <c r="AZ540" i="6"/>
  <c r="AZ494" i="6"/>
  <c r="BA477" i="6"/>
  <c r="BA470" i="6"/>
  <c r="BA466" i="6"/>
  <c r="AZ427" i="6"/>
  <c r="BA411" i="6"/>
  <c r="BA352" i="6"/>
  <c r="AZ339" i="6"/>
  <c r="BA328" i="6"/>
  <c r="BA321" i="6"/>
  <c r="AZ300" i="6"/>
  <c r="AZ341" i="6"/>
  <c r="BA337" i="6"/>
  <c r="BA331" i="6"/>
  <c r="AZ318" i="6"/>
  <c r="BA305" i="6"/>
  <c r="AZ671" i="6"/>
  <c r="AZ666" i="6"/>
  <c r="BA660" i="6"/>
  <c r="AZ639" i="6"/>
  <c r="AZ634" i="6"/>
  <c r="BA616" i="6"/>
  <c r="AZ612" i="6"/>
  <c r="AZ602" i="6"/>
  <c r="BA596" i="6"/>
  <c r="BA579" i="6"/>
  <c r="BA539" i="6"/>
  <c r="BA510" i="6"/>
  <c r="BA507" i="6"/>
  <c r="AZ492" i="6"/>
  <c r="AZ473" i="6"/>
  <c r="AZ470" i="6"/>
  <c r="BA463" i="6"/>
  <c r="BA460" i="6"/>
  <c r="AZ457" i="6"/>
  <c r="AZ445" i="6"/>
  <c r="AZ439" i="6"/>
  <c r="AZ432" i="6"/>
  <c r="BA425" i="6"/>
  <c r="AZ392" i="6"/>
  <c r="AZ382" i="6"/>
  <c r="BA375" i="6"/>
  <c r="AZ364" i="6"/>
  <c r="AZ361" i="6"/>
  <c r="BA349" i="6"/>
  <c r="BA343" i="6"/>
  <c r="BA330" i="6"/>
  <c r="BA298" i="6"/>
  <c r="BA295" i="6"/>
  <c r="AZ668" i="6"/>
  <c r="BA665" i="6"/>
  <c r="BA651" i="6"/>
  <c r="AZ636" i="6"/>
  <c r="BA633" i="6"/>
  <c r="AZ607" i="6"/>
  <c r="BA601" i="6"/>
  <c r="BA593" i="6"/>
  <c r="BA584" i="6"/>
  <c r="AZ579" i="6"/>
  <c r="BA552" i="6"/>
  <c r="BA544" i="6"/>
  <c r="AZ539" i="6"/>
  <c r="BA525" i="6"/>
  <c r="BA519" i="6"/>
  <c r="BA513" i="6"/>
  <c r="AZ504" i="6"/>
  <c r="BA491" i="6"/>
  <c r="AZ451" i="6"/>
  <c r="BA447" i="6"/>
  <c r="AZ414" i="6"/>
  <c r="BA410" i="6"/>
  <c r="BA407" i="6"/>
  <c r="BA404" i="6"/>
  <c r="BA391" i="6"/>
  <c r="BA385" i="6"/>
  <c r="AZ330" i="6"/>
  <c r="BA316" i="6"/>
  <c r="BA310" i="6"/>
  <c r="AZ298" i="6"/>
  <c r="AZ665" i="6"/>
  <c r="BA662" i="6"/>
  <c r="AZ651" i="6"/>
  <c r="AZ641" i="6"/>
  <c r="AZ633" i="6"/>
  <c r="BA630" i="6"/>
  <c r="AZ625" i="6"/>
  <c r="AZ604" i="6"/>
  <c r="AZ601" i="6"/>
  <c r="BA598" i="6"/>
  <c r="AZ584" i="6"/>
  <c r="BA576" i="6"/>
  <c r="AZ571" i="6"/>
  <c r="BA568" i="6"/>
  <c r="BA560" i="6"/>
  <c r="AZ555" i="6"/>
  <c r="AZ536" i="6"/>
  <c r="BA527" i="6"/>
  <c r="AZ516" i="6"/>
  <c r="AZ513" i="6"/>
  <c r="BA509" i="6"/>
  <c r="BA506" i="6"/>
  <c r="BA503" i="6"/>
  <c r="BA497" i="6"/>
  <c r="AZ478" i="6"/>
  <c r="AZ466" i="6"/>
  <c r="BA459" i="6"/>
  <c r="AZ456" i="6"/>
  <c r="BA450" i="6"/>
  <c r="BA438" i="6"/>
  <c r="BA434" i="6"/>
  <c r="AZ428" i="6"/>
  <c r="AZ410" i="6"/>
  <c r="AZ404" i="6"/>
  <c r="BA401" i="6"/>
  <c r="AZ398" i="6"/>
  <c r="BA394" i="6"/>
  <c r="AZ388" i="6"/>
  <c r="AZ385" i="6"/>
  <c r="AZ360" i="6"/>
  <c r="BA354" i="6"/>
  <c r="BA342" i="6"/>
  <c r="BA339" i="6"/>
  <c r="AZ336" i="6"/>
  <c r="BA323" i="6"/>
  <c r="AZ320" i="6"/>
  <c r="AZ304" i="6"/>
  <c r="BA608" i="6"/>
  <c r="AZ606" i="6"/>
  <c r="BA600" i="6"/>
  <c r="AZ598" i="6"/>
  <c r="BA591" i="6"/>
  <c r="BA577" i="6"/>
  <c r="BA572" i="6"/>
  <c r="AZ544" i="6"/>
  <c r="BA536" i="6"/>
  <c r="BA528" i="6"/>
  <c r="BA520" i="6"/>
  <c r="AZ500" i="6"/>
  <c r="AZ489" i="6"/>
  <c r="AZ486" i="6"/>
  <c r="BA482" i="6"/>
  <c r="AZ460" i="6"/>
  <c r="BA444" i="6"/>
  <c r="BA433" i="6"/>
  <c r="BA422" i="6"/>
  <c r="AZ397" i="6"/>
  <c r="BA372" i="6"/>
  <c r="AZ357" i="6"/>
  <c r="BA351" i="6"/>
  <c r="BA329" i="6"/>
  <c r="BA326" i="6"/>
  <c r="AZ321" i="6"/>
  <c r="AZ312" i="6"/>
  <c r="BA533" i="6"/>
  <c r="AZ528" i="6"/>
  <c r="AZ520" i="6"/>
  <c r="BA508" i="6"/>
  <c r="AZ502" i="6"/>
  <c r="BA499" i="6"/>
  <c r="BA488" i="6"/>
  <c r="BA485" i="6"/>
  <c r="BA473" i="6"/>
  <c r="BA465" i="6"/>
  <c r="BA462" i="6"/>
  <c r="AZ455" i="6"/>
  <c r="AZ452" i="6"/>
  <c r="AZ444" i="6"/>
  <c r="AZ417" i="6"/>
  <c r="BA408" i="6"/>
  <c r="BA396" i="6"/>
  <c r="BA382" i="6"/>
  <c r="BA369" i="6"/>
  <c r="BA356" i="6"/>
  <c r="AZ329" i="6"/>
  <c r="AZ326" i="6"/>
  <c r="BA317" i="6"/>
  <c r="AZ306" i="6"/>
  <c r="BA303" i="6"/>
  <c r="BA511" i="6"/>
  <c r="AZ508" i="6"/>
  <c r="AZ505" i="6"/>
  <c r="AZ499" i="6"/>
  <c r="AZ488" i="6"/>
  <c r="AZ476" i="6"/>
  <c r="AZ468" i="6"/>
  <c r="AZ436" i="6"/>
  <c r="BA432" i="6"/>
  <c r="BA416" i="6"/>
  <c r="AZ408" i="6"/>
  <c r="AZ386" i="6"/>
  <c r="AZ369" i="6"/>
  <c r="BA366" i="6"/>
  <c r="AZ356" i="6"/>
  <c r="BA353" i="6"/>
  <c r="AZ338" i="6"/>
  <c r="AZ332" i="6"/>
  <c r="BA308" i="6"/>
  <c r="BA291" i="6"/>
  <c r="BA569" i="6"/>
  <c r="BA564" i="6"/>
  <c r="AZ552" i="6"/>
  <c r="AZ547" i="6"/>
  <c r="BA537" i="6"/>
  <c r="BA532" i="6"/>
  <c r="AZ525" i="6"/>
  <c r="AZ519" i="6"/>
  <c r="AZ514" i="6"/>
  <c r="BA505" i="6"/>
  <c r="BA502" i="6"/>
  <c r="BA493" i="6"/>
  <c r="AZ485" i="6"/>
  <c r="AZ482" i="6"/>
  <c r="BA479" i="6"/>
  <c r="BA452" i="6"/>
  <c r="AZ429" i="6"/>
  <c r="BA424" i="6"/>
  <c r="BA412" i="6"/>
  <c r="BA381" i="6"/>
  <c r="BA376" i="6"/>
  <c r="BA360" i="6"/>
  <c r="BA344" i="6"/>
  <c r="BA335" i="6"/>
  <c r="AZ333" i="6"/>
  <c r="AZ323" i="6"/>
  <c r="AZ295" i="6"/>
  <c r="AZ290" i="6"/>
  <c r="AZ493" i="6"/>
  <c r="BA481" i="6"/>
  <c r="BA476" i="6"/>
  <c r="BA474" i="6"/>
  <c r="BA458" i="6"/>
  <c r="AZ448" i="6"/>
  <c r="AZ431" i="6"/>
  <c r="BA426" i="6"/>
  <c r="AZ424" i="6"/>
  <c r="AZ420" i="6"/>
  <c r="AZ415" i="6"/>
  <c r="AZ395" i="6"/>
  <c r="BA378" i="6"/>
  <c r="AZ365" i="6"/>
  <c r="AZ349" i="6"/>
  <c r="AZ342" i="6"/>
  <c r="AZ335" i="6"/>
  <c r="BA332" i="6"/>
  <c r="BA327" i="6"/>
  <c r="BA314" i="6"/>
  <c r="BA294" i="6"/>
  <c r="BA467" i="6"/>
  <c r="BA417" i="6"/>
  <c r="BA414" i="6"/>
  <c r="BA405" i="6"/>
  <c r="AZ400" i="6"/>
  <c r="BA397" i="6"/>
  <c r="BA392" i="6"/>
  <c r="BA380" i="6"/>
  <c r="BA364" i="6"/>
  <c r="BA362" i="6"/>
  <c r="BA348" i="6"/>
  <c r="BA346" i="6"/>
  <c r="AZ314" i="6"/>
  <c r="AZ302" i="6"/>
  <c r="AZ294" i="6"/>
  <c r="S649" i="6"/>
  <c r="Q638" i="6"/>
  <c r="AZ638" i="6" s="1"/>
  <c r="Q670" i="6"/>
  <c r="AZ670" i="6" s="1"/>
  <c r="Q654" i="6"/>
  <c r="AZ654" i="6" s="1"/>
  <c r="AV8" i="6"/>
  <c r="AW8" i="6" s="1"/>
  <c r="AX8" i="6"/>
  <c r="AY8" i="6" s="1"/>
  <c r="AV9" i="6"/>
  <c r="AW9" i="6"/>
  <c r="AX9" i="6"/>
  <c r="AY9" i="6" s="1"/>
  <c r="AV10" i="6"/>
  <c r="AW10" i="6" s="1"/>
  <c r="AX10" i="6"/>
  <c r="AY10" i="6" s="1"/>
  <c r="AV11" i="6"/>
  <c r="AW11" i="6"/>
  <c r="AX11" i="6"/>
  <c r="AY11" i="6" s="1"/>
  <c r="AV12" i="6"/>
  <c r="AW12" i="6" s="1"/>
  <c r="AX12" i="6"/>
  <c r="AY12" i="6" s="1"/>
  <c r="AV13" i="6"/>
  <c r="AW13" i="6" s="1"/>
  <c r="AX13" i="6"/>
  <c r="AY13" i="6" s="1"/>
  <c r="AV14" i="6"/>
  <c r="AW14" i="6"/>
  <c r="AX14" i="6"/>
  <c r="AY14" i="6" s="1"/>
  <c r="AV15" i="6"/>
  <c r="AW15" i="6" s="1"/>
  <c r="AX15" i="6"/>
  <c r="AY15" i="6" s="1"/>
  <c r="AV16" i="6"/>
  <c r="AW16" i="6" s="1"/>
  <c r="AX16" i="6"/>
  <c r="AY16" i="6" s="1"/>
  <c r="AV17" i="6"/>
  <c r="AW17" i="6"/>
  <c r="AX17" i="6"/>
  <c r="AY17" i="6" s="1"/>
  <c r="AV18" i="6"/>
  <c r="AW18" i="6" s="1"/>
  <c r="AX18" i="6"/>
  <c r="AY18" i="6"/>
  <c r="AV19" i="6"/>
  <c r="AW19" i="6" s="1"/>
  <c r="AX19" i="6"/>
  <c r="AY19" i="6"/>
  <c r="AV20" i="6"/>
  <c r="AW20" i="6" s="1"/>
  <c r="AX20" i="6"/>
  <c r="AY20" i="6" s="1"/>
  <c r="AV21" i="6"/>
  <c r="AW21" i="6"/>
  <c r="AX21" i="6"/>
  <c r="AY21" i="6" s="1"/>
  <c r="AV22" i="6"/>
  <c r="AW22" i="6" s="1"/>
  <c r="AX22" i="6"/>
  <c r="AY22" i="6" s="1"/>
  <c r="AV23" i="6"/>
  <c r="AW23" i="6" s="1"/>
  <c r="AX23" i="6"/>
  <c r="AY23" i="6" s="1"/>
  <c r="AV24" i="6"/>
  <c r="AW24" i="6" s="1"/>
  <c r="AX24" i="6"/>
  <c r="AY24" i="6" s="1"/>
  <c r="AV25" i="6"/>
  <c r="AW25" i="6" s="1"/>
  <c r="AX25" i="6"/>
  <c r="AY25" i="6" s="1"/>
  <c r="AV26" i="6"/>
  <c r="AW26" i="6" s="1"/>
  <c r="AZ26" i="6" s="1"/>
  <c r="AX26" i="6"/>
  <c r="AY26" i="6" s="1"/>
  <c r="AV27" i="6"/>
  <c r="AW27" i="6"/>
  <c r="AX27" i="6"/>
  <c r="AY27" i="6" s="1"/>
  <c r="AV28" i="6"/>
  <c r="AW28" i="6" s="1"/>
  <c r="AX28" i="6"/>
  <c r="AY28" i="6" s="1"/>
  <c r="AV29" i="6"/>
  <c r="AW29" i="6" s="1"/>
  <c r="AX29" i="6"/>
  <c r="AY29" i="6" s="1"/>
  <c r="AV30" i="6"/>
  <c r="AW30" i="6" s="1"/>
  <c r="AX30" i="6"/>
  <c r="AY30" i="6" s="1"/>
  <c r="AV31" i="6"/>
  <c r="AW31" i="6" s="1"/>
  <c r="AX31" i="6"/>
  <c r="AY31" i="6" s="1"/>
  <c r="AV32" i="6"/>
  <c r="AW32" i="6" s="1"/>
  <c r="AX32" i="6"/>
  <c r="AY32" i="6" s="1"/>
  <c r="AV33" i="6"/>
  <c r="AW33" i="6" s="1"/>
  <c r="AX33" i="6"/>
  <c r="AY33" i="6" s="1"/>
  <c r="AV34" i="6"/>
  <c r="AW34" i="6" s="1"/>
  <c r="AX34" i="6"/>
  <c r="AY34" i="6" s="1"/>
  <c r="AV35" i="6"/>
  <c r="AW35" i="6" s="1"/>
  <c r="AX35" i="6"/>
  <c r="AY35" i="6"/>
  <c r="AV36" i="6"/>
  <c r="AW36" i="6" s="1"/>
  <c r="AX36" i="6"/>
  <c r="AY36" i="6" s="1"/>
  <c r="AV37" i="6"/>
  <c r="AW37" i="6"/>
  <c r="AX37" i="6"/>
  <c r="AY37" i="6" s="1"/>
  <c r="AV38" i="6"/>
  <c r="AW38" i="6" s="1"/>
  <c r="AX38" i="6"/>
  <c r="AY38" i="6" s="1"/>
  <c r="AV39" i="6"/>
  <c r="AW39" i="6"/>
  <c r="AX39" i="6"/>
  <c r="AY39" i="6" s="1"/>
  <c r="AV40" i="6"/>
  <c r="AW40" i="6" s="1"/>
  <c r="AX40" i="6"/>
  <c r="AY40" i="6" s="1"/>
  <c r="AV41" i="6"/>
  <c r="AW41" i="6"/>
  <c r="AX41" i="6"/>
  <c r="AY41" i="6" s="1"/>
  <c r="AV42" i="6"/>
  <c r="AW42" i="6" s="1"/>
  <c r="AX42" i="6"/>
  <c r="AY42" i="6" s="1"/>
  <c r="AV43" i="6"/>
  <c r="AW43" i="6" s="1"/>
  <c r="AX43" i="6"/>
  <c r="AY43" i="6" s="1"/>
  <c r="AV44" i="6"/>
  <c r="AW44" i="6" s="1"/>
  <c r="AX44" i="6"/>
  <c r="AY44" i="6" s="1"/>
  <c r="AV45" i="6"/>
  <c r="AW45" i="6"/>
  <c r="AX45" i="6"/>
  <c r="AY45" i="6" s="1"/>
  <c r="AV46" i="6"/>
  <c r="AW46" i="6" s="1"/>
  <c r="AZ46" i="6" s="1"/>
  <c r="AX46" i="6"/>
  <c r="AY46" i="6" s="1"/>
  <c r="AV47" i="6"/>
  <c r="AW47" i="6" s="1"/>
  <c r="AX47" i="6"/>
  <c r="AY47" i="6" s="1"/>
  <c r="AV48" i="6"/>
  <c r="AW48" i="6" s="1"/>
  <c r="AX48" i="6"/>
  <c r="AY48" i="6" s="1"/>
  <c r="AV49" i="6"/>
  <c r="AW49" i="6" s="1"/>
  <c r="AX49" i="6"/>
  <c r="AY49" i="6" s="1"/>
  <c r="AV50" i="6"/>
  <c r="AW50" i="6" s="1"/>
  <c r="AX50" i="6"/>
  <c r="AY50" i="6" s="1"/>
  <c r="AV51" i="6"/>
  <c r="AW51" i="6"/>
  <c r="AX51" i="6"/>
  <c r="AY51" i="6" s="1"/>
  <c r="AV52" i="6"/>
  <c r="AW52" i="6" s="1"/>
  <c r="AX52" i="6"/>
  <c r="AY52" i="6" s="1"/>
  <c r="AV53" i="6"/>
  <c r="AW53" i="6" s="1"/>
  <c r="AX53" i="6"/>
  <c r="AY53" i="6" s="1"/>
  <c r="AV54" i="6"/>
  <c r="AW54" i="6" s="1"/>
  <c r="AX54" i="6"/>
  <c r="AY54" i="6"/>
  <c r="AV55" i="6"/>
  <c r="AW55" i="6" s="1"/>
  <c r="AX55" i="6"/>
  <c r="AY55" i="6" s="1"/>
  <c r="AV56" i="6"/>
  <c r="AW56" i="6" s="1"/>
  <c r="AX56" i="6"/>
  <c r="AY56" i="6" s="1"/>
  <c r="AV57" i="6"/>
  <c r="AW57" i="6"/>
  <c r="AX57" i="6"/>
  <c r="AY57" i="6" s="1"/>
  <c r="AV58" i="6"/>
  <c r="AW58" i="6" s="1"/>
  <c r="AX58" i="6"/>
  <c r="AY58" i="6"/>
  <c r="AV59" i="6"/>
  <c r="AW59" i="6" s="1"/>
  <c r="AX59" i="6"/>
  <c r="AY59" i="6" s="1"/>
  <c r="AV60" i="6"/>
  <c r="AW60" i="6" s="1"/>
  <c r="AX60" i="6"/>
  <c r="AY60" i="6" s="1"/>
  <c r="AV61" i="6"/>
  <c r="AW61" i="6" s="1"/>
  <c r="AX61" i="6"/>
  <c r="AY61" i="6" s="1"/>
  <c r="AV62" i="6"/>
  <c r="AW62" i="6" s="1"/>
  <c r="AZ62" i="6" s="1"/>
  <c r="AX62" i="6"/>
  <c r="AY62" i="6" s="1"/>
  <c r="AV63" i="6"/>
  <c r="AW63" i="6" s="1"/>
  <c r="AX63" i="6"/>
  <c r="AY63" i="6"/>
  <c r="AV64" i="6"/>
  <c r="AW64" i="6" s="1"/>
  <c r="AX64" i="6"/>
  <c r="AY64" i="6" s="1"/>
  <c r="AV65" i="6"/>
  <c r="AW65" i="6" s="1"/>
  <c r="AX65" i="6"/>
  <c r="AY65" i="6" s="1"/>
  <c r="AV66" i="6"/>
  <c r="AW66" i="6" s="1"/>
  <c r="AX66" i="6"/>
  <c r="AY66" i="6" s="1"/>
  <c r="AV67" i="6"/>
  <c r="AW67" i="6" s="1"/>
  <c r="AX67" i="6"/>
  <c r="AY67" i="6"/>
  <c r="AV68" i="6"/>
  <c r="AW68" i="6" s="1"/>
  <c r="AX68" i="6"/>
  <c r="AY68" i="6" s="1"/>
  <c r="AV69" i="6"/>
  <c r="AW69" i="6"/>
  <c r="AX69" i="6"/>
  <c r="AY69" i="6" s="1"/>
  <c r="AV70" i="6"/>
  <c r="AW70" i="6" s="1"/>
  <c r="AX70" i="6"/>
  <c r="AY70" i="6" s="1"/>
  <c r="AV71" i="6"/>
  <c r="AW71" i="6"/>
  <c r="AX71" i="6"/>
  <c r="AY71" i="6" s="1"/>
  <c r="AV72" i="6"/>
  <c r="AW72" i="6" s="1"/>
  <c r="AX72" i="6"/>
  <c r="AY72" i="6" s="1"/>
  <c r="AV73" i="6"/>
  <c r="AW73" i="6" s="1"/>
  <c r="AX73" i="6"/>
  <c r="AY73" i="6" s="1"/>
  <c r="AV74" i="6"/>
  <c r="AW74" i="6" s="1"/>
  <c r="AX74" i="6"/>
  <c r="AY74" i="6"/>
  <c r="AV75" i="6"/>
  <c r="AW75" i="6"/>
  <c r="AX75" i="6"/>
  <c r="AY75" i="6" s="1"/>
  <c r="AV76" i="6"/>
  <c r="AW76" i="6" s="1"/>
  <c r="AX76" i="6"/>
  <c r="AY76" i="6" s="1"/>
  <c r="AV77" i="6"/>
  <c r="AW77" i="6" s="1"/>
  <c r="AX77" i="6"/>
  <c r="AY77" i="6" s="1"/>
  <c r="AV78" i="6"/>
  <c r="AW78" i="6" s="1"/>
  <c r="AZ78" i="6" s="1"/>
  <c r="AX78" i="6"/>
  <c r="AY78" i="6" s="1"/>
  <c r="AV79" i="6"/>
  <c r="AW79" i="6" s="1"/>
  <c r="AX79" i="6"/>
  <c r="AY79" i="6" s="1"/>
  <c r="AV80" i="6"/>
  <c r="AW80" i="6" s="1"/>
  <c r="AX80" i="6"/>
  <c r="AY80" i="6" s="1"/>
  <c r="AV81" i="6"/>
  <c r="AW81" i="6" s="1"/>
  <c r="AX81" i="6"/>
  <c r="AY81" i="6" s="1"/>
  <c r="AV82" i="6"/>
  <c r="AW82" i="6" s="1"/>
  <c r="AX82" i="6"/>
  <c r="AY82" i="6" s="1"/>
  <c r="AV83" i="6"/>
  <c r="AW83" i="6" s="1"/>
  <c r="AX83" i="6"/>
  <c r="AY83" i="6" s="1"/>
  <c r="AV84" i="6"/>
  <c r="AW84" i="6" s="1"/>
  <c r="AX84" i="6"/>
  <c r="AY84" i="6" s="1"/>
  <c r="AV85" i="6"/>
  <c r="AW85" i="6" s="1"/>
  <c r="AX85" i="6"/>
  <c r="AY85" i="6" s="1"/>
  <c r="AV86" i="6"/>
  <c r="AW86" i="6" s="1"/>
  <c r="AX86" i="6"/>
  <c r="AY86" i="6"/>
  <c r="AV87" i="6"/>
  <c r="AW87" i="6"/>
  <c r="AX87" i="6"/>
  <c r="AY87" i="6" s="1"/>
  <c r="AV88" i="6"/>
  <c r="AW88" i="6" s="1"/>
  <c r="AX88" i="6"/>
  <c r="AY88" i="6" s="1"/>
  <c r="AV89" i="6"/>
  <c r="AW89" i="6" s="1"/>
  <c r="AX89" i="6"/>
  <c r="AY89" i="6" s="1"/>
  <c r="AV90" i="6"/>
  <c r="AW90" i="6" s="1"/>
  <c r="AX90" i="6"/>
  <c r="AY90" i="6" s="1"/>
  <c r="AV91" i="6"/>
  <c r="AW91" i="6" s="1"/>
  <c r="AX91" i="6"/>
  <c r="AY91" i="6"/>
  <c r="AV92" i="6"/>
  <c r="AW92" i="6" s="1"/>
  <c r="AX92" i="6"/>
  <c r="AY92" i="6" s="1"/>
  <c r="AV93" i="6"/>
  <c r="AW93" i="6" s="1"/>
  <c r="AX93" i="6"/>
  <c r="AY93" i="6" s="1"/>
  <c r="AV94" i="6"/>
  <c r="AW94" i="6" s="1"/>
  <c r="AX94" i="6"/>
  <c r="AY94" i="6"/>
  <c r="AV95" i="6"/>
  <c r="AW95" i="6" s="1"/>
  <c r="AX95" i="6"/>
  <c r="AY95" i="6" s="1"/>
  <c r="AV96" i="6"/>
  <c r="AW96" i="6" s="1"/>
  <c r="AX96" i="6"/>
  <c r="AY96" i="6" s="1"/>
  <c r="AV97" i="6"/>
  <c r="AW97" i="6"/>
  <c r="AX97" i="6"/>
  <c r="AY97" i="6" s="1"/>
  <c r="AV98" i="6"/>
  <c r="AW98" i="6" s="1"/>
  <c r="AX98" i="6"/>
  <c r="AY98" i="6" s="1"/>
  <c r="AV99" i="6"/>
  <c r="AW99" i="6" s="1"/>
  <c r="AX99" i="6"/>
  <c r="AY99" i="6"/>
  <c r="AV100" i="6"/>
  <c r="AW100" i="6" s="1"/>
  <c r="AX100" i="6"/>
  <c r="AY100" i="6" s="1"/>
  <c r="AV101" i="6"/>
  <c r="AW101" i="6" s="1"/>
  <c r="AX101" i="6"/>
  <c r="AY101" i="6" s="1"/>
  <c r="AV102" i="6"/>
  <c r="AW102" i="6"/>
  <c r="AX102" i="6"/>
  <c r="AY102" i="6" s="1"/>
  <c r="AV103" i="6"/>
  <c r="AW103" i="6" s="1"/>
  <c r="AX103" i="6"/>
  <c r="AY103" i="6" s="1"/>
  <c r="AV104" i="6"/>
  <c r="AW104" i="6" s="1"/>
  <c r="AX104" i="6"/>
  <c r="AY104" i="6" s="1"/>
  <c r="AV105" i="6"/>
  <c r="AW105" i="6"/>
  <c r="AX105" i="6"/>
  <c r="AY105" i="6" s="1"/>
  <c r="AV106" i="6"/>
  <c r="AW106" i="6" s="1"/>
  <c r="AX106" i="6"/>
  <c r="AY106" i="6" s="1"/>
  <c r="AV107" i="6"/>
  <c r="AW107" i="6"/>
  <c r="AX107" i="6"/>
  <c r="AY107" i="6"/>
  <c r="AV108" i="6"/>
  <c r="AW108" i="6" s="1"/>
  <c r="AX108" i="6"/>
  <c r="AY108" i="6" s="1"/>
  <c r="AV109" i="6"/>
  <c r="AW109" i="6" s="1"/>
  <c r="AX109" i="6"/>
  <c r="AY109" i="6" s="1"/>
  <c r="AV110" i="6"/>
  <c r="AW110" i="6"/>
  <c r="AX110" i="6"/>
  <c r="AY110" i="6" s="1"/>
  <c r="AV111" i="6"/>
  <c r="AW111" i="6" s="1"/>
  <c r="AX111" i="6"/>
  <c r="AY111" i="6" s="1"/>
  <c r="AV112" i="6"/>
  <c r="AW112" i="6" s="1"/>
  <c r="AX112" i="6"/>
  <c r="AY112" i="6" s="1"/>
  <c r="AV113" i="6"/>
  <c r="AW113" i="6"/>
  <c r="AX113" i="6"/>
  <c r="AY113" i="6" s="1"/>
  <c r="AV114" i="6"/>
  <c r="AW114" i="6" s="1"/>
  <c r="AX114" i="6"/>
  <c r="AY114" i="6"/>
  <c r="AV115" i="6"/>
  <c r="AW115" i="6" s="1"/>
  <c r="AX115" i="6"/>
  <c r="AY115" i="6" s="1"/>
  <c r="AV116" i="6"/>
  <c r="AW116" i="6" s="1"/>
  <c r="AX116" i="6"/>
  <c r="AY116" i="6" s="1"/>
  <c r="AV117" i="6"/>
  <c r="AW117" i="6" s="1"/>
  <c r="AX117" i="6"/>
  <c r="AY117" i="6" s="1"/>
  <c r="AV118" i="6"/>
  <c r="AW118" i="6" s="1"/>
  <c r="AX118" i="6"/>
  <c r="AY118" i="6" s="1"/>
  <c r="AV119" i="6"/>
  <c r="AW119" i="6" s="1"/>
  <c r="AX119" i="6"/>
  <c r="AY119" i="6" s="1"/>
  <c r="AV120" i="6"/>
  <c r="AW120" i="6" s="1"/>
  <c r="AX120" i="6"/>
  <c r="AY120" i="6"/>
  <c r="AV121" i="6"/>
  <c r="AW121" i="6"/>
  <c r="AX121" i="6"/>
  <c r="AY121" i="6" s="1"/>
  <c r="AV122" i="6"/>
  <c r="AW122" i="6" s="1"/>
  <c r="AX122" i="6"/>
  <c r="AY122" i="6"/>
  <c r="AV123" i="6"/>
  <c r="AW123" i="6" s="1"/>
  <c r="AX123" i="6"/>
  <c r="AY123" i="6" s="1"/>
  <c r="AV124" i="6"/>
  <c r="AW124" i="6" s="1"/>
  <c r="AX124" i="6"/>
  <c r="AY124" i="6" s="1"/>
  <c r="AL8" i="6"/>
  <c r="AM8" i="6"/>
  <c r="AL9" i="6"/>
  <c r="AM9" i="6"/>
  <c r="AL10" i="6"/>
  <c r="AM10" i="6"/>
  <c r="AL11" i="6"/>
  <c r="AM11" i="6"/>
  <c r="AL12" i="6"/>
  <c r="AM12" i="6"/>
  <c r="AL13" i="6"/>
  <c r="AM13" i="6"/>
  <c r="AL14" i="6"/>
  <c r="AM14" i="6"/>
  <c r="AL15" i="6"/>
  <c r="AM15" i="6"/>
  <c r="AL16" i="6"/>
  <c r="AM16" i="6"/>
  <c r="AL17" i="6"/>
  <c r="AM17" i="6"/>
  <c r="AL18" i="6"/>
  <c r="AM18" i="6"/>
  <c r="AL19" i="6"/>
  <c r="AM19" i="6"/>
  <c r="AL20" i="6"/>
  <c r="AM20" i="6"/>
  <c r="AL21" i="6"/>
  <c r="AM21" i="6"/>
  <c r="AL22" i="6"/>
  <c r="AM22" i="6"/>
  <c r="AL23" i="6"/>
  <c r="AM23" i="6"/>
  <c r="AL24" i="6"/>
  <c r="AM24" i="6"/>
  <c r="AL25" i="6"/>
  <c r="AM25" i="6"/>
  <c r="AL26" i="6"/>
  <c r="AM26" i="6"/>
  <c r="AL27" i="6"/>
  <c r="AM27" i="6"/>
  <c r="AL28" i="6"/>
  <c r="AM28" i="6"/>
  <c r="AL29" i="6"/>
  <c r="AM29" i="6"/>
  <c r="AL30" i="6"/>
  <c r="AM30" i="6"/>
  <c r="AL31" i="6"/>
  <c r="AM31" i="6"/>
  <c r="AL32" i="6"/>
  <c r="AM32" i="6"/>
  <c r="AL33" i="6"/>
  <c r="AM33" i="6"/>
  <c r="AL34" i="6"/>
  <c r="AM34" i="6"/>
  <c r="AL35" i="6"/>
  <c r="AM35" i="6"/>
  <c r="AL36" i="6"/>
  <c r="AM36" i="6"/>
  <c r="AL37" i="6"/>
  <c r="AM37" i="6"/>
  <c r="AL38" i="6"/>
  <c r="AM38" i="6"/>
  <c r="AL39" i="6"/>
  <c r="AM39" i="6"/>
  <c r="AL40" i="6"/>
  <c r="AM40" i="6"/>
  <c r="AL41" i="6"/>
  <c r="AM41" i="6"/>
  <c r="AL42" i="6"/>
  <c r="AM42" i="6"/>
  <c r="AL43" i="6"/>
  <c r="AM43" i="6"/>
  <c r="AL44" i="6"/>
  <c r="AM44" i="6"/>
  <c r="AL45" i="6"/>
  <c r="AM45" i="6"/>
  <c r="AL46" i="6"/>
  <c r="AM46" i="6"/>
  <c r="AL47" i="6"/>
  <c r="AM47" i="6"/>
  <c r="AL48" i="6"/>
  <c r="AM48" i="6"/>
  <c r="AL49" i="6"/>
  <c r="AM49" i="6"/>
  <c r="AL50" i="6"/>
  <c r="AM50" i="6"/>
  <c r="AL51" i="6"/>
  <c r="AM51" i="6"/>
  <c r="AL52" i="6"/>
  <c r="AM52" i="6"/>
  <c r="AL53" i="6"/>
  <c r="AM53" i="6"/>
  <c r="AL54" i="6"/>
  <c r="AM54" i="6"/>
  <c r="AL55" i="6"/>
  <c r="AM55" i="6"/>
  <c r="AL56" i="6"/>
  <c r="AM56" i="6"/>
  <c r="AL57" i="6"/>
  <c r="AM57" i="6"/>
  <c r="AL58" i="6"/>
  <c r="AM58" i="6"/>
  <c r="AL59" i="6"/>
  <c r="AM59" i="6"/>
  <c r="AL60" i="6"/>
  <c r="AM60" i="6"/>
  <c r="AL61" i="6"/>
  <c r="AM61" i="6"/>
  <c r="AL62" i="6"/>
  <c r="AM62" i="6"/>
  <c r="AL63" i="6"/>
  <c r="AM63" i="6"/>
  <c r="AL64" i="6"/>
  <c r="AM64" i="6"/>
  <c r="AL65" i="6"/>
  <c r="AM65" i="6"/>
  <c r="AL66" i="6"/>
  <c r="AM66" i="6"/>
  <c r="AL67" i="6"/>
  <c r="AM67" i="6"/>
  <c r="AL68" i="6"/>
  <c r="AM68" i="6"/>
  <c r="AL69" i="6"/>
  <c r="AM69" i="6"/>
  <c r="AL70" i="6"/>
  <c r="AM70" i="6"/>
  <c r="AL71" i="6"/>
  <c r="AM71" i="6"/>
  <c r="AL72" i="6"/>
  <c r="AM72" i="6"/>
  <c r="AL73" i="6"/>
  <c r="AM73" i="6"/>
  <c r="AL74" i="6"/>
  <c r="AM74" i="6"/>
  <c r="AL75" i="6"/>
  <c r="AM75" i="6"/>
  <c r="AL76" i="6"/>
  <c r="AM76" i="6"/>
  <c r="AL77" i="6"/>
  <c r="AM77" i="6"/>
  <c r="AL78" i="6"/>
  <c r="AM78" i="6"/>
  <c r="AL79" i="6"/>
  <c r="AM79" i="6"/>
  <c r="AL80" i="6"/>
  <c r="AM80" i="6"/>
  <c r="AL81" i="6"/>
  <c r="AM81" i="6"/>
  <c r="AL82" i="6"/>
  <c r="AM82" i="6"/>
  <c r="AL83" i="6"/>
  <c r="AM83" i="6"/>
  <c r="AL84" i="6"/>
  <c r="AM84" i="6"/>
  <c r="AL85" i="6"/>
  <c r="AM85" i="6"/>
  <c r="AL86" i="6"/>
  <c r="AM86" i="6"/>
  <c r="AL87" i="6"/>
  <c r="AM87" i="6"/>
  <c r="AL88" i="6"/>
  <c r="AM88" i="6"/>
  <c r="AL89" i="6"/>
  <c r="AM89" i="6"/>
  <c r="AL90" i="6"/>
  <c r="AM90" i="6"/>
  <c r="AL91" i="6"/>
  <c r="AM91" i="6"/>
  <c r="AL92" i="6"/>
  <c r="AM92" i="6"/>
  <c r="AL93" i="6"/>
  <c r="AM93" i="6"/>
  <c r="AL95" i="6"/>
  <c r="AM96" i="6"/>
  <c r="AM98" i="6"/>
  <c r="AM102" i="6"/>
  <c r="AL104" i="6"/>
  <c r="AM106" i="6"/>
  <c r="AL107" i="6"/>
  <c r="AM110" i="6"/>
  <c r="AM112" i="6"/>
  <c r="AM116" i="6"/>
  <c r="AL122" i="6"/>
  <c r="AM122" i="6"/>
  <c r="AL123" i="6"/>
  <c r="AM123" i="6"/>
  <c r="AL124" i="6"/>
  <c r="AM124" i="6"/>
  <c r="AF8" i="6"/>
  <c r="AG8" i="6" s="1"/>
  <c r="AH8" i="6"/>
  <c r="AI8" i="6" s="1"/>
  <c r="AF9" i="6"/>
  <c r="AG9" i="6"/>
  <c r="AH9" i="6"/>
  <c r="AI9" i="6"/>
  <c r="AF10" i="6"/>
  <c r="AG10" i="6" s="1"/>
  <c r="AH10" i="6"/>
  <c r="AI10" i="6" s="1"/>
  <c r="AF11" i="6"/>
  <c r="AG11" i="6"/>
  <c r="AH11" i="6"/>
  <c r="AI11" i="6" s="1"/>
  <c r="AF12" i="6"/>
  <c r="AG12" i="6" s="1"/>
  <c r="AH12" i="6"/>
  <c r="AI12" i="6" s="1"/>
  <c r="AF13" i="6"/>
  <c r="AG13" i="6" s="1"/>
  <c r="AH13" i="6"/>
  <c r="AI13" i="6" s="1"/>
  <c r="AF14" i="6"/>
  <c r="AG14" i="6" s="1"/>
  <c r="AH14" i="6"/>
  <c r="AI14" i="6"/>
  <c r="AF15" i="6"/>
  <c r="AG15" i="6" s="1"/>
  <c r="AH15" i="6"/>
  <c r="AI15" i="6"/>
  <c r="AF16" i="6"/>
  <c r="AG16" i="6" s="1"/>
  <c r="AH16" i="6"/>
  <c r="AI16" i="6"/>
  <c r="AF17" i="6"/>
  <c r="AG17" i="6" s="1"/>
  <c r="AH17" i="6"/>
  <c r="AI17" i="6" s="1"/>
  <c r="AF18" i="6"/>
  <c r="AG18" i="6" s="1"/>
  <c r="AH18" i="6"/>
  <c r="AI18" i="6" s="1"/>
  <c r="AF19" i="6"/>
  <c r="AG19" i="6" s="1"/>
  <c r="AH19" i="6"/>
  <c r="AI19" i="6" s="1"/>
  <c r="AF20" i="6"/>
  <c r="AG20" i="6" s="1"/>
  <c r="AH20" i="6"/>
  <c r="AI20" i="6" s="1"/>
  <c r="AF21" i="6"/>
  <c r="AG21" i="6" s="1"/>
  <c r="AH21" i="6"/>
  <c r="AI21" i="6" s="1"/>
  <c r="AF22" i="6"/>
  <c r="AG22" i="6" s="1"/>
  <c r="AH22" i="6"/>
  <c r="AI22" i="6" s="1"/>
  <c r="AF23" i="6"/>
  <c r="AG23" i="6" s="1"/>
  <c r="AH23" i="6"/>
  <c r="AI23" i="6" s="1"/>
  <c r="AF24" i="6"/>
  <c r="AG24" i="6" s="1"/>
  <c r="AH24" i="6"/>
  <c r="AI24" i="6" s="1"/>
  <c r="AF25" i="6"/>
  <c r="AG25" i="6" s="1"/>
  <c r="AH25" i="6"/>
  <c r="AI25" i="6" s="1"/>
  <c r="AF26" i="6"/>
  <c r="AG26" i="6" s="1"/>
  <c r="AH26" i="6"/>
  <c r="AI26" i="6"/>
  <c r="AF27" i="6"/>
  <c r="AG27" i="6" s="1"/>
  <c r="AH27" i="6"/>
  <c r="AI27" i="6" s="1"/>
  <c r="AF28" i="6"/>
  <c r="AG28" i="6" s="1"/>
  <c r="AH28" i="6"/>
  <c r="AI28" i="6" s="1"/>
  <c r="AF29" i="6"/>
  <c r="AG29" i="6" s="1"/>
  <c r="AH29" i="6"/>
  <c r="AI29" i="6"/>
  <c r="AF30" i="6"/>
  <c r="AG30" i="6" s="1"/>
  <c r="AH30" i="6"/>
  <c r="AI30" i="6" s="1"/>
  <c r="AF31" i="6"/>
  <c r="AG31" i="6"/>
  <c r="AH31" i="6"/>
  <c r="AI31" i="6" s="1"/>
  <c r="AF32" i="6"/>
  <c r="AG32" i="6" s="1"/>
  <c r="AH32" i="6"/>
  <c r="AI32" i="6"/>
  <c r="AF33" i="6"/>
  <c r="AG33" i="6" s="1"/>
  <c r="AH33" i="6"/>
  <c r="AI33" i="6" s="1"/>
  <c r="AF34" i="6"/>
  <c r="AG34" i="6" s="1"/>
  <c r="AH34" i="6"/>
  <c r="AI34" i="6" s="1"/>
  <c r="AF35" i="6"/>
  <c r="AG35" i="6"/>
  <c r="AH35" i="6"/>
  <c r="AI35" i="6"/>
  <c r="AF36" i="6"/>
  <c r="AG36" i="6" s="1"/>
  <c r="AH36" i="6"/>
  <c r="AI36" i="6" s="1"/>
  <c r="AF37" i="6"/>
  <c r="AG37" i="6" s="1"/>
  <c r="AH37" i="6"/>
  <c r="AI37" i="6" s="1"/>
  <c r="AF38" i="6"/>
  <c r="AG38" i="6" s="1"/>
  <c r="AH38" i="6"/>
  <c r="AI38" i="6"/>
  <c r="AF39" i="6"/>
  <c r="AG39" i="6" s="1"/>
  <c r="AH39" i="6"/>
  <c r="AI39" i="6" s="1"/>
  <c r="AF40" i="6"/>
  <c r="AG40" i="6" s="1"/>
  <c r="AH40" i="6"/>
  <c r="AI40" i="6" s="1"/>
  <c r="AF41" i="6"/>
  <c r="AG41" i="6"/>
  <c r="AH41" i="6"/>
  <c r="AI41" i="6"/>
  <c r="AF42" i="6"/>
  <c r="AG42" i="6" s="1"/>
  <c r="AH42" i="6"/>
  <c r="AI42" i="6"/>
  <c r="AF43" i="6"/>
  <c r="AG43" i="6" s="1"/>
  <c r="AH43" i="6"/>
  <c r="AI43" i="6" s="1"/>
  <c r="AF44" i="6"/>
  <c r="AG44" i="6" s="1"/>
  <c r="AH44" i="6"/>
  <c r="AI44" i="6" s="1"/>
  <c r="AF45" i="6"/>
  <c r="AG45" i="6" s="1"/>
  <c r="AH45" i="6"/>
  <c r="AI45" i="6" s="1"/>
  <c r="AF46" i="6"/>
  <c r="AG46" i="6" s="1"/>
  <c r="AH46" i="6"/>
  <c r="AI46" i="6" s="1"/>
  <c r="AF47" i="6"/>
  <c r="AG47" i="6"/>
  <c r="AH47" i="6"/>
  <c r="AI47" i="6" s="1"/>
  <c r="AF48" i="6"/>
  <c r="AG48" i="6" s="1"/>
  <c r="AH48" i="6"/>
  <c r="AI48" i="6" s="1"/>
  <c r="AF49" i="6"/>
  <c r="AG49" i="6" s="1"/>
  <c r="AH49" i="6"/>
  <c r="AI49" i="6" s="1"/>
  <c r="AF50" i="6"/>
  <c r="AG50" i="6" s="1"/>
  <c r="AH50" i="6"/>
  <c r="AI50" i="6" s="1"/>
  <c r="AF51" i="6"/>
  <c r="AG51" i="6" s="1"/>
  <c r="AH51" i="6"/>
  <c r="AI51" i="6"/>
  <c r="AF52" i="6"/>
  <c r="AG52" i="6" s="1"/>
  <c r="AH52" i="6"/>
  <c r="AI52" i="6"/>
  <c r="AF53" i="6"/>
  <c r="AG53" i="6"/>
  <c r="AH53" i="6"/>
  <c r="AI53" i="6" s="1"/>
  <c r="AF54" i="6"/>
  <c r="AG54" i="6" s="1"/>
  <c r="AH54" i="6"/>
  <c r="AI54" i="6" s="1"/>
  <c r="AF55" i="6"/>
  <c r="AG55" i="6" s="1"/>
  <c r="AH55" i="6"/>
  <c r="AI55" i="6" s="1"/>
  <c r="AF56" i="6"/>
  <c r="AG56" i="6" s="1"/>
  <c r="AH56" i="6"/>
  <c r="AI56" i="6" s="1"/>
  <c r="AF57" i="6"/>
  <c r="AG57" i="6" s="1"/>
  <c r="AH57" i="6"/>
  <c r="AI57" i="6"/>
  <c r="AF58" i="6"/>
  <c r="AG58" i="6" s="1"/>
  <c r="AH58" i="6"/>
  <c r="AI58" i="6"/>
  <c r="AF59" i="6"/>
  <c r="AG59" i="6"/>
  <c r="AH59" i="6"/>
  <c r="AI59" i="6" s="1"/>
  <c r="AF60" i="6"/>
  <c r="AG60" i="6" s="1"/>
  <c r="AH60" i="6"/>
  <c r="AI60" i="6" s="1"/>
  <c r="AF61" i="6"/>
  <c r="AG61" i="6" s="1"/>
  <c r="AH61" i="6"/>
  <c r="AI61" i="6" s="1"/>
  <c r="AF62" i="6"/>
  <c r="AG62" i="6" s="1"/>
  <c r="AH62" i="6"/>
  <c r="AI62" i="6" s="1"/>
  <c r="AF63" i="6"/>
  <c r="AG63" i="6" s="1"/>
  <c r="AH63" i="6"/>
  <c r="AI63" i="6"/>
  <c r="AF64" i="6"/>
  <c r="AG64" i="6" s="1"/>
  <c r="AH64" i="6"/>
  <c r="AI64" i="6"/>
  <c r="AF65" i="6"/>
  <c r="AG65" i="6" s="1"/>
  <c r="AH65" i="6"/>
  <c r="AI65" i="6" s="1"/>
  <c r="AF66" i="6"/>
  <c r="AG66" i="6" s="1"/>
  <c r="AH66" i="6"/>
  <c r="AI66" i="6" s="1"/>
  <c r="AF67" i="6"/>
  <c r="AG67" i="6" s="1"/>
  <c r="AH67" i="6"/>
  <c r="AI67" i="6" s="1"/>
  <c r="AF68" i="6"/>
  <c r="AG68" i="6" s="1"/>
  <c r="AH68" i="6"/>
  <c r="AI68" i="6" s="1"/>
  <c r="AF69" i="6"/>
  <c r="AG69" i="6" s="1"/>
  <c r="AH69" i="6"/>
  <c r="AI69" i="6" s="1"/>
  <c r="AF70" i="6"/>
  <c r="AG70" i="6" s="1"/>
  <c r="AH70" i="6"/>
  <c r="AI70" i="6" s="1"/>
  <c r="AF71" i="6"/>
  <c r="AG71" i="6" s="1"/>
  <c r="AH71" i="6"/>
  <c r="AI71" i="6"/>
  <c r="AF72" i="6"/>
  <c r="AG72" i="6" s="1"/>
  <c r="AH72" i="6"/>
  <c r="AI72" i="6" s="1"/>
  <c r="AF73" i="6"/>
  <c r="AG73" i="6" s="1"/>
  <c r="AH73" i="6"/>
  <c r="AI73" i="6"/>
  <c r="AF74" i="6"/>
  <c r="AG74" i="6" s="1"/>
  <c r="AH74" i="6"/>
  <c r="AI74" i="6" s="1"/>
  <c r="AF75" i="6"/>
  <c r="AG75" i="6"/>
  <c r="AH75" i="6"/>
  <c r="AI75" i="6" s="1"/>
  <c r="AF76" i="6"/>
  <c r="AG76" i="6" s="1"/>
  <c r="AH76" i="6"/>
  <c r="AI76" i="6" s="1"/>
  <c r="AF77" i="6"/>
  <c r="AG77" i="6" s="1"/>
  <c r="AH77" i="6"/>
  <c r="AI77" i="6" s="1"/>
  <c r="AF78" i="6"/>
  <c r="AG78" i="6" s="1"/>
  <c r="AH78" i="6"/>
  <c r="AI78" i="6"/>
  <c r="AF79" i="6"/>
  <c r="AG79" i="6" s="1"/>
  <c r="AH79" i="6"/>
  <c r="AI79" i="6"/>
  <c r="AF80" i="6"/>
  <c r="AG80" i="6" s="1"/>
  <c r="AH80" i="6"/>
  <c r="AI80" i="6"/>
  <c r="AF81" i="6"/>
  <c r="AG81" i="6" s="1"/>
  <c r="AH81" i="6"/>
  <c r="AI81" i="6" s="1"/>
  <c r="AF82" i="6"/>
  <c r="AG82" i="6" s="1"/>
  <c r="AH82" i="6"/>
  <c r="AI82" i="6" s="1"/>
  <c r="AF83" i="6"/>
  <c r="AG83" i="6" s="1"/>
  <c r="AH83" i="6"/>
  <c r="AI83" i="6" s="1"/>
  <c r="AF84" i="6"/>
  <c r="AG84" i="6" s="1"/>
  <c r="AH84" i="6"/>
  <c r="AI84" i="6" s="1"/>
  <c r="AF85" i="6"/>
  <c r="AG85" i="6"/>
  <c r="AH85" i="6"/>
  <c r="AI85" i="6" s="1"/>
  <c r="AF86" i="6"/>
  <c r="AG86" i="6" s="1"/>
  <c r="AH86" i="6"/>
  <c r="AI86" i="6"/>
  <c r="AF87" i="6"/>
  <c r="AG87" i="6" s="1"/>
  <c r="AH87" i="6"/>
  <c r="AI87" i="6" s="1"/>
  <c r="AF88" i="6"/>
  <c r="AG88" i="6" s="1"/>
  <c r="AH88" i="6"/>
  <c r="AI88" i="6" s="1"/>
  <c r="AF89" i="6"/>
  <c r="AG89" i="6" s="1"/>
  <c r="AH89" i="6"/>
  <c r="AI89" i="6" s="1"/>
  <c r="AF90" i="6"/>
  <c r="AG90" i="6" s="1"/>
  <c r="AH90" i="6"/>
  <c r="AI90" i="6" s="1"/>
  <c r="AF91" i="6"/>
  <c r="AG91" i="6"/>
  <c r="AH91" i="6"/>
  <c r="AI91" i="6" s="1"/>
  <c r="AF92" i="6"/>
  <c r="AG92" i="6" s="1"/>
  <c r="AH92" i="6"/>
  <c r="AI92" i="6" s="1"/>
  <c r="AF93" i="6"/>
  <c r="AG93" i="6" s="1"/>
  <c r="AH93" i="6"/>
  <c r="AI93" i="6" s="1"/>
  <c r="AF94" i="6"/>
  <c r="AG94" i="6" s="1"/>
  <c r="AH94" i="6"/>
  <c r="AI94" i="6" s="1"/>
  <c r="AF95" i="6"/>
  <c r="AG95" i="6"/>
  <c r="AH95" i="6"/>
  <c r="AM95" i="6" s="1"/>
  <c r="AI95" i="6"/>
  <c r="AF96" i="6"/>
  <c r="AG96" i="6" s="1"/>
  <c r="AH96" i="6"/>
  <c r="AI96" i="6" s="1"/>
  <c r="AF97" i="6"/>
  <c r="AH97" i="6"/>
  <c r="AI97" i="6" s="1"/>
  <c r="AF98" i="6"/>
  <c r="AH98" i="6"/>
  <c r="AI98" i="6" s="1"/>
  <c r="AF99" i="6"/>
  <c r="AL99" i="6" s="1"/>
  <c r="AG99" i="6"/>
  <c r="AH99" i="6"/>
  <c r="AM99" i="6" s="1"/>
  <c r="AF100" i="6"/>
  <c r="AG100" i="6" s="1"/>
  <c r="AH100" i="6"/>
  <c r="AI100" i="6" s="1"/>
  <c r="AF101" i="6"/>
  <c r="AL101" i="6" s="1"/>
  <c r="AH101" i="6"/>
  <c r="AF102" i="6"/>
  <c r="AH102" i="6"/>
  <c r="AI102" i="6" s="1"/>
  <c r="AF103" i="6"/>
  <c r="AG103" i="6" s="1"/>
  <c r="AH103" i="6"/>
  <c r="AM103" i="6" s="1"/>
  <c r="AI103" i="6"/>
  <c r="AF104" i="6"/>
  <c r="AG104" i="6" s="1"/>
  <c r="AH104" i="6"/>
  <c r="AI104" i="6" s="1"/>
  <c r="AF105" i="6"/>
  <c r="AH105" i="6"/>
  <c r="AI105" i="6" s="1"/>
  <c r="AF106" i="6"/>
  <c r="AH106" i="6"/>
  <c r="AI106" i="6"/>
  <c r="AF107" i="6"/>
  <c r="AG107" i="6"/>
  <c r="AH107" i="6"/>
  <c r="AF108" i="6"/>
  <c r="AG108" i="6" s="1"/>
  <c r="AH108" i="6"/>
  <c r="AI108" i="6" s="1"/>
  <c r="AF109" i="6"/>
  <c r="AH109" i="6"/>
  <c r="AF110" i="6"/>
  <c r="AG110" i="6" s="1"/>
  <c r="AH110" i="6"/>
  <c r="AI110" i="6" s="1"/>
  <c r="AF111" i="6"/>
  <c r="AL111" i="6" s="1"/>
  <c r="AG111" i="6"/>
  <c r="AH111" i="6"/>
  <c r="AM111" i="6" s="1"/>
  <c r="AF112" i="6"/>
  <c r="AG112" i="6" s="1"/>
  <c r="AH112" i="6"/>
  <c r="AI112" i="6"/>
  <c r="AF113" i="6"/>
  <c r="AL113" i="6" s="1"/>
  <c r="AH113" i="6"/>
  <c r="AI113" i="6" s="1"/>
  <c r="AF114" i="6"/>
  <c r="AH114" i="6"/>
  <c r="AF115" i="6"/>
  <c r="AL115" i="6" s="1"/>
  <c r="AG115" i="6"/>
  <c r="AH115" i="6"/>
  <c r="AF116" i="6"/>
  <c r="AG116" i="6" s="1"/>
  <c r="AH116" i="6"/>
  <c r="AI116" i="6" s="1"/>
  <c r="AF117" i="6"/>
  <c r="AL117" i="6" s="1"/>
  <c r="AG117" i="6"/>
  <c r="AH117" i="6"/>
  <c r="AI117" i="6" s="1"/>
  <c r="AF118" i="6"/>
  <c r="AH118" i="6"/>
  <c r="AM118" i="6" s="1"/>
  <c r="AI118" i="6"/>
  <c r="AF119" i="6"/>
  <c r="AG119" i="6" s="1"/>
  <c r="AH119" i="6"/>
  <c r="AF120" i="6"/>
  <c r="AH120" i="6"/>
  <c r="AF121" i="6"/>
  <c r="AL121" i="6" s="1"/>
  <c r="AH121" i="6"/>
  <c r="AM121" i="6" s="1"/>
  <c r="AI121" i="6"/>
  <c r="AF122" i="6"/>
  <c r="AG122" i="6" s="1"/>
  <c r="AH122" i="6"/>
  <c r="AI122" i="6" s="1"/>
  <c r="W8" i="6"/>
  <c r="W11" i="6"/>
  <c r="V17" i="6"/>
  <c r="W18" i="6"/>
  <c r="W24" i="6"/>
  <c r="W28" i="6"/>
  <c r="W31" i="6"/>
  <c r="W32" i="6"/>
  <c r="V33" i="6"/>
  <c r="W37" i="6"/>
  <c r="W40" i="6"/>
  <c r="W41" i="6"/>
  <c r="W45" i="6"/>
  <c r="V46" i="6"/>
  <c r="V49" i="6"/>
  <c r="W49" i="6"/>
  <c r="W53" i="6"/>
  <c r="W55" i="6"/>
  <c r="V58" i="6"/>
  <c r="V59" i="6"/>
  <c r="V65" i="6"/>
  <c r="V70" i="6"/>
  <c r="V77" i="6"/>
  <c r="V78" i="6"/>
  <c r="W78" i="6"/>
  <c r="V79" i="6"/>
  <c r="W79" i="6"/>
  <c r="V80" i="6"/>
  <c r="W80" i="6"/>
  <c r="V81" i="6"/>
  <c r="W81" i="6"/>
  <c r="V82" i="6"/>
  <c r="W82" i="6"/>
  <c r="W89" i="6"/>
  <c r="W92" i="6"/>
  <c r="V93" i="6"/>
  <c r="V94" i="6"/>
  <c r="W98" i="6"/>
  <c r="V112" i="6"/>
  <c r="W120" i="6"/>
  <c r="P8" i="6"/>
  <c r="R8" i="6"/>
  <c r="S8" i="6"/>
  <c r="P9" i="6"/>
  <c r="R9" i="6"/>
  <c r="W9" i="6" s="1"/>
  <c r="P10" i="6"/>
  <c r="Q10" i="6" s="1"/>
  <c r="R10" i="6"/>
  <c r="P11" i="6"/>
  <c r="V11" i="6" s="1"/>
  <c r="R11" i="6"/>
  <c r="S11" i="6" s="1"/>
  <c r="P12" i="6"/>
  <c r="R12" i="6"/>
  <c r="W12" i="6" s="1"/>
  <c r="P13" i="6"/>
  <c r="V13" i="6" s="1"/>
  <c r="Q13" i="6"/>
  <c r="R13" i="6"/>
  <c r="P14" i="6"/>
  <c r="Q14" i="6" s="1"/>
  <c r="R14" i="6"/>
  <c r="S14" i="6" s="1"/>
  <c r="P15" i="6"/>
  <c r="R15" i="6"/>
  <c r="W15" i="6" s="1"/>
  <c r="P16" i="6"/>
  <c r="R16" i="6"/>
  <c r="S16" i="6" s="1"/>
  <c r="BA16" i="6" s="1"/>
  <c r="P17" i="6"/>
  <c r="Q17" i="6"/>
  <c r="R17" i="6"/>
  <c r="W17" i="6" s="1"/>
  <c r="S17" i="6"/>
  <c r="P18" i="6"/>
  <c r="R18" i="6"/>
  <c r="S18" i="6" s="1"/>
  <c r="P19" i="6"/>
  <c r="Q19" i="6" s="1"/>
  <c r="R19" i="6"/>
  <c r="P20" i="6"/>
  <c r="R20" i="6"/>
  <c r="P21" i="6"/>
  <c r="V21" i="6" s="1"/>
  <c r="Q21" i="6"/>
  <c r="R21" i="6"/>
  <c r="W21" i="6" s="1"/>
  <c r="S21" i="6"/>
  <c r="P22" i="6"/>
  <c r="Q22" i="6" s="1"/>
  <c r="R22" i="6"/>
  <c r="W22" i="6" s="1"/>
  <c r="P23" i="6"/>
  <c r="V23" i="6" s="1"/>
  <c r="R23" i="6"/>
  <c r="S23" i="6" s="1"/>
  <c r="P24" i="6"/>
  <c r="R24" i="6"/>
  <c r="S24" i="6"/>
  <c r="BA24" i="6" s="1"/>
  <c r="P25" i="6"/>
  <c r="R25" i="6"/>
  <c r="W25" i="6" s="1"/>
  <c r="P26" i="6"/>
  <c r="Q26" i="6" s="1"/>
  <c r="R26" i="6"/>
  <c r="P27" i="6"/>
  <c r="V27" i="6" s="1"/>
  <c r="R27" i="6"/>
  <c r="W27" i="6" s="1"/>
  <c r="P28" i="6"/>
  <c r="R28" i="6"/>
  <c r="S28" i="6" s="1"/>
  <c r="P29" i="6"/>
  <c r="V29" i="6" s="1"/>
  <c r="Q29" i="6"/>
  <c r="R29" i="6"/>
  <c r="P30" i="6"/>
  <c r="Q30" i="6" s="1"/>
  <c r="R30" i="6"/>
  <c r="S30" i="6" s="1"/>
  <c r="P31" i="6"/>
  <c r="R31" i="6"/>
  <c r="S31" i="6" s="1"/>
  <c r="P32" i="6"/>
  <c r="R32" i="6"/>
  <c r="S32" i="6"/>
  <c r="P33" i="6"/>
  <c r="Q33" i="6"/>
  <c r="R33" i="6"/>
  <c r="S33" i="6" s="1"/>
  <c r="P34" i="6"/>
  <c r="R34" i="6"/>
  <c r="W34" i="6" s="1"/>
  <c r="P35" i="6"/>
  <c r="Q35" i="6" s="1"/>
  <c r="R35" i="6"/>
  <c r="P36" i="6"/>
  <c r="R36" i="6"/>
  <c r="S36" i="6" s="1"/>
  <c r="P37" i="6"/>
  <c r="Q37" i="6" s="1"/>
  <c r="R37" i="6"/>
  <c r="S37" i="6"/>
  <c r="P38" i="6"/>
  <c r="Q38" i="6" s="1"/>
  <c r="R38" i="6"/>
  <c r="W38" i="6" s="1"/>
  <c r="P39" i="6"/>
  <c r="V39" i="6" s="1"/>
  <c r="R39" i="6"/>
  <c r="S39" i="6" s="1"/>
  <c r="P40" i="6"/>
  <c r="R40" i="6"/>
  <c r="S40" i="6"/>
  <c r="BA40" i="6" s="1"/>
  <c r="P41" i="6"/>
  <c r="Q41" i="6" s="1"/>
  <c r="R41" i="6"/>
  <c r="S41" i="6" s="1"/>
  <c r="P42" i="6"/>
  <c r="Q42" i="6" s="1"/>
  <c r="R42" i="6"/>
  <c r="S42" i="6" s="1"/>
  <c r="P43" i="6"/>
  <c r="V43" i="6" s="1"/>
  <c r="R43" i="6"/>
  <c r="W43" i="6" s="1"/>
  <c r="P44" i="6"/>
  <c r="R44" i="6"/>
  <c r="W44" i="6" s="1"/>
  <c r="P45" i="6"/>
  <c r="V45" i="6" s="1"/>
  <c r="Q45" i="6"/>
  <c r="R45" i="6"/>
  <c r="S45" i="6" s="1"/>
  <c r="P46" i="6"/>
  <c r="Q46" i="6" s="1"/>
  <c r="R46" i="6"/>
  <c r="S46" i="6" s="1"/>
  <c r="P47" i="6"/>
  <c r="Q47" i="6" s="1"/>
  <c r="R47" i="6"/>
  <c r="W47" i="6" s="1"/>
  <c r="P48" i="6"/>
  <c r="R48" i="6"/>
  <c r="W48" i="6" s="1"/>
  <c r="P49" i="6"/>
  <c r="Q49" i="6"/>
  <c r="R49" i="6"/>
  <c r="S49" i="6"/>
  <c r="BA49" i="6" s="1"/>
  <c r="P50" i="6"/>
  <c r="Q50" i="6" s="1"/>
  <c r="R50" i="6"/>
  <c r="W50" i="6" s="1"/>
  <c r="P51" i="6"/>
  <c r="Q51" i="6" s="1"/>
  <c r="R51" i="6"/>
  <c r="S51" i="6" s="1"/>
  <c r="P52" i="6"/>
  <c r="R52" i="6"/>
  <c r="P53" i="6"/>
  <c r="V53" i="6" s="1"/>
  <c r="Q53" i="6"/>
  <c r="R53" i="6"/>
  <c r="S53" i="6"/>
  <c r="P54" i="6"/>
  <c r="Q54" i="6" s="1"/>
  <c r="R54" i="6"/>
  <c r="W54" i="6" s="1"/>
  <c r="P55" i="6"/>
  <c r="V55" i="6" s="1"/>
  <c r="R55" i="6"/>
  <c r="S55" i="6" s="1"/>
  <c r="P56" i="6"/>
  <c r="R56" i="6"/>
  <c r="W56" i="6" s="1"/>
  <c r="S56" i="6"/>
  <c r="P57" i="6"/>
  <c r="R57" i="6"/>
  <c r="W57" i="6" s="1"/>
  <c r="P58" i="6"/>
  <c r="Q58" i="6" s="1"/>
  <c r="R58" i="6"/>
  <c r="P59" i="6"/>
  <c r="Q59" i="6" s="1"/>
  <c r="R59" i="6"/>
  <c r="W59" i="6" s="1"/>
  <c r="P60" i="6"/>
  <c r="R60" i="6"/>
  <c r="W60" i="6" s="1"/>
  <c r="P61" i="6"/>
  <c r="V61" i="6" s="1"/>
  <c r="Q61" i="6"/>
  <c r="R61" i="6"/>
  <c r="P62" i="6"/>
  <c r="Q62" i="6" s="1"/>
  <c r="R62" i="6"/>
  <c r="S62" i="6" s="1"/>
  <c r="P63" i="6"/>
  <c r="R63" i="6"/>
  <c r="W63" i="6" s="1"/>
  <c r="P64" i="6"/>
  <c r="R64" i="6"/>
  <c r="W64" i="6" s="1"/>
  <c r="S64" i="6"/>
  <c r="BA64" i="6" s="1"/>
  <c r="P65" i="6"/>
  <c r="Q65" i="6"/>
  <c r="R65" i="6"/>
  <c r="S65" i="6" s="1"/>
  <c r="BA65" i="6" s="1"/>
  <c r="P66" i="6"/>
  <c r="R66" i="6"/>
  <c r="W66" i="6" s="1"/>
  <c r="P67" i="6"/>
  <c r="Q67" i="6" s="1"/>
  <c r="R67" i="6"/>
  <c r="P68" i="6"/>
  <c r="R68" i="6"/>
  <c r="S68" i="6" s="1"/>
  <c r="P69" i="6"/>
  <c r="Q69" i="6" s="1"/>
  <c r="R69" i="6"/>
  <c r="W69" i="6" s="1"/>
  <c r="S69" i="6"/>
  <c r="P70" i="6"/>
  <c r="Q70" i="6" s="1"/>
  <c r="R70" i="6"/>
  <c r="W70" i="6" s="1"/>
  <c r="P71" i="6"/>
  <c r="V71" i="6" s="1"/>
  <c r="R71" i="6"/>
  <c r="S71" i="6" s="1"/>
  <c r="P72" i="6"/>
  <c r="R72" i="6"/>
  <c r="W72" i="6" s="1"/>
  <c r="S72" i="6"/>
  <c r="P73" i="6"/>
  <c r="Q73" i="6" s="1"/>
  <c r="R73" i="6"/>
  <c r="W73" i="6" s="1"/>
  <c r="P74" i="6"/>
  <c r="Q74" i="6" s="1"/>
  <c r="R74" i="6"/>
  <c r="S74" i="6" s="1"/>
  <c r="P75" i="6"/>
  <c r="V75" i="6" s="1"/>
  <c r="R75" i="6"/>
  <c r="W75" i="6" s="1"/>
  <c r="P76" i="6"/>
  <c r="R76" i="6"/>
  <c r="W76" i="6" s="1"/>
  <c r="P77" i="6"/>
  <c r="Q77" i="6"/>
  <c r="R77" i="6"/>
  <c r="S77" i="6" s="1"/>
  <c r="P78" i="6"/>
  <c r="Q78" i="6" s="1"/>
  <c r="R78" i="6"/>
  <c r="S78" i="6" s="1"/>
  <c r="P79" i="6"/>
  <c r="Q79" i="6" s="1"/>
  <c r="R79" i="6"/>
  <c r="S79" i="6" s="1"/>
  <c r="P80" i="6"/>
  <c r="Q80" i="6" s="1"/>
  <c r="R80" i="6"/>
  <c r="S80" i="6" s="1"/>
  <c r="BA80" i="6" s="1"/>
  <c r="P81" i="6"/>
  <c r="Q81" i="6"/>
  <c r="R81" i="6"/>
  <c r="S81" i="6"/>
  <c r="P82" i="6"/>
  <c r="Q82" i="6" s="1"/>
  <c r="R82" i="6"/>
  <c r="S82" i="6" s="1"/>
  <c r="P83" i="6"/>
  <c r="Q83" i="6" s="1"/>
  <c r="R83" i="6"/>
  <c r="P84" i="6"/>
  <c r="R84" i="6"/>
  <c r="P85" i="6"/>
  <c r="V85" i="6" s="1"/>
  <c r="Q85" i="6"/>
  <c r="R85" i="6"/>
  <c r="W85" i="6" s="1"/>
  <c r="S85" i="6"/>
  <c r="BA85" i="6" s="1"/>
  <c r="P86" i="6"/>
  <c r="Q86" i="6" s="1"/>
  <c r="R86" i="6"/>
  <c r="W86" i="6" s="1"/>
  <c r="P87" i="6"/>
  <c r="Q87" i="6" s="1"/>
  <c r="R87" i="6"/>
  <c r="S87" i="6" s="1"/>
  <c r="P88" i="6"/>
  <c r="R88" i="6"/>
  <c r="W88" i="6" s="1"/>
  <c r="S88" i="6"/>
  <c r="P89" i="6"/>
  <c r="R89" i="6"/>
  <c r="S89" i="6" s="1"/>
  <c r="P90" i="6"/>
  <c r="Q90" i="6" s="1"/>
  <c r="R90" i="6"/>
  <c r="S90" i="6" s="1"/>
  <c r="P91" i="6"/>
  <c r="V91" i="6" s="1"/>
  <c r="R91" i="6"/>
  <c r="S91" i="6" s="1"/>
  <c r="P92" i="6"/>
  <c r="R92" i="6"/>
  <c r="S92" i="6" s="1"/>
  <c r="P93" i="6"/>
  <c r="Q93" i="6"/>
  <c r="R93" i="6"/>
  <c r="P94" i="6"/>
  <c r="Q94" i="6" s="1"/>
  <c r="R94" i="6"/>
  <c r="W94" i="6" s="1"/>
  <c r="P95" i="6"/>
  <c r="Q95" i="6" s="1"/>
  <c r="R95" i="6"/>
  <c r="W95" i="6" s="1"/>
  <c r="P96" i="6"/>
  <c r="Q96" i="6" s="1"/>
  <c r="R96" i="6"/>
  <c r="W96" i="6" s="1"/>
  <c r="S96" i="6"/>
  <c r="P97" i="6"/>
  <c r="V97" i="6" s="1"/>
  <c r="Q97" i="6"/>
  <c r="R97" i="6"/>
  <c r="W97" i="6" s="1"/>
  <c r="P98" i="6"/>
  <c r="R98" i="6"/>
  <c r="S98" i="6" s="1"/>
  <c r="P99" i="6"/>
  <c r="Q99" i="6" s="1"/>
  <c r="R99" i="6"/>
  <c r="P100" i="6"/>
  <c r="Q100" i="6" s="1"/>
  <c r="R100" i="6"/>
  <c r="S100" i="6" s="1"/>
  <c r="P101" i="6"/>
  <c r="Q101" i="6" s="1"/>
  <c r="R101" i="6"/>
  <c r="W101" i="6" s="1"/>
  <c r="S101" i="6"/>
  <c r="P102" i="6"/>
  <c r="Q102" i="6" s="1"/>
  <c r="R102" i="6"/>
  <c r="W102" i="6" s="1"/>
  <c r="P103" i="6"/>
  <c r="Q103" i="6" s="1"/>
  <c r="R103" i="6"/>
  <c r="S103" i="6" s="1"/>
  <c r="P104" i="6"/>
  <c r="Q104" i="6" s="1"/>
  <c r="R104" i="6"/>
  <c r="W104" i="6" s="1"/>
  <c r="S104" i="6"/>
  <c r="P105" i="6"/>
  <c r="R105" i="6"/>
  <c r="W105" i="6" s="1"/>
  <c r="P106" i="6"/>
  <c r="Q106" i="6" s="1"/>
  <c r="R106" i="6"/>
  <c r="P107" i="6"/>
  <c r="V107" i="6" s="1"/>
  <c r="R107" i="6"/>
  <c r="W107" i="6" s="1"/>
  <c r="P108" i="6"/>
  <c r="Q108" i="6" s="1"/>
  <c r="R108" i="6"/>
  <c r="W108" i="6" s="1"/>
  <c r="P109" i="6"/>
  <c r="V109" i="6" s="1"/>
  <c r="Q109" i="6"/>
  <c r="R109" i="6"/>
  <c r="P110" i="6"/>
  <c r="Q110" i="6" s="1"/>
  <c r="R110" i="6"/>
  <c r="W110" i="6" s="1"/>
  <c r="P111" i="6"/>
  <c r="Q111" i="6" s="1"/>
  <c r="R111" i="6"/>
  <c r="W111" i="6" s="1"/>
  <c r="P112" i="6"/>
  <c r="Q112" i="6" s="1"/>
  <c r="R112" i="6"/>
  <c r="W112" i="6" s="1"/>
  <c r="P113" i="6"/>
  <c r="V113" i="6" s="1"/>
  <c r="Q113" i="6"/>
  <c r="R113" i="6"/>
  <c r="W113" i="6" s="1"/>
  <c r="S113" i="6"/>
  <c r="BA113" i="6" s="1"/>
  <c r="P114" i="6"/>
  <c r="R114" i="6"/>
  <c r="S114" i="6" s="1"/>
  <c r="P115" i="6"/>
  <c r="Q115" i="6" s="1"/>
  <c r="R115" i="6"/>
  <c r="P116" i="6"/>
  <c r="Q116" i="6" s="1"/>
  <c r="R116" i="6"/>
  <c r="S116" i="6" s="1"/>
  <c r="P117" i="6"/>
  <c r="V117" i="6" s="1"/>
  <c r="Q117" i="6"/>
  <c r="R117" i="6"/>
  <c r="W117" i="6" s="1"/>
  <c r="S117" i="6"/>
  <c r="P118" i="6"/>
  <c r="Q118" i="6" s="1"/>
  <c r="R118" i="6"/>
  <c r="W118" i="6" s="1"/>
  <c r="P119" i="6"/>
  <c r="Q119" i="6" s="1"/>
  <c r="R119" i="6"/>
  <c r="S119" i="6" s="1"/>
  <c r="P120" i="6"/>
  <c r="Q120" i="6" s="1"/>
  <c r="R120" i="6"/>
  <c r="S120" i="6"/>
  <c r="P121" i="6"/>
  <c r="R121" i="6"/>
  <c r="W121" i="6" s="1"/>
  <c r="P122" i="6"/>
  <c r="Q122" i="6" s="1"/>
  <c r="BA79" i="6" l="1"/>
  <c r="BA89" i="6"/>
  <c r="AZ86" i="6"/>
  <c r="BA68" i="6"/>
  <c r="BA56" i="6"/>
  <c r="V120" i="6"/>
  <c r="V111" i="6"/>
  <c r="W100" i="6"/>
  <c r="AL116" i="6"/>
  <c r="AZ69" i="6"/>
  <c r="S111" i="6"/>
  <c r="BA111" i="6" s="1"/>
  <c r="S108" i="6"/>
  <c r="BA108" i="6" s="1"/>
  <c r="S105" i="6"/>
  <c r="BA105" i="6" s="1"/>
  <c r="S102" i="6"/>
  <c r="BA102" i="6" s="1"/>
  <c r="AZ94" i="6"/>
  <c r="Q91" i="6"/>
  <c r="S76" i="6"/>
  <c r="S73" i="6"/>
  <c r="BA73" i="6" s="1"/>
  <c r="S70" i="6"/>
  <c r="BA70" i="6" s="1"/>
  <c r="S47" i="6"/>
  <c r="BA47" i="6" s="1"/>
  <c r="S44" i="6"/>
  <c r="S38" i="6"/>
  <c r="BA38" i="6" s="1"/>
  <c r="Q27" i="6"/>
  <c r="AZ27" i="6" s="1"/>
  <c r="S15" i="6"/>
  <c r="S12" i="6"/>
  <c r="S9" i="6"/>
  <c r="V119" i="6"/>
  <c r="V110" i="6"/>
  <c r="V99" i="6"/>
  <c r="W91" i="6"/>
  <c r="V69" i="6"/>
  <c r="W46" i="6"/>
  <c r="V38" i="6"/>
  <c r="V19" i="6"/>
  <c r="AG101" i="6"/>
  <c r="AZ101" i="6" s="1"/>
  <c r="AM105" i="6"/>
  <c r="AM94" i="6"/>
  <c r="AZ108" i="6"/>
  <c r="AZ100" i="6"/>
  <c r="V83" i="6"/>
  <c r="W65" i="6"/>
  <c r="BA9" i="6"/>
  <c r="BA72" i="6"/>
  <c r="BA8" i="6"/>
  <c r="V115" i="6"/>
  <c r="V96" i="6"/>
  <c r="V87" i="6"/>
  <c r="V74" i="6"/>
  <c r="W36" i="6"/>
  <c r="V26" i="6"/>
  <c r="W16" i="6"/>
  <c r="AL100" i="6"/>
  <c r="AZ74" i="6"/>
  <c r="V118" i="6"/>
  <c r="V108" i="6"/>
  <c r="W87" i="6"/>
  <c r="V54" i="6"/>
  <c r="V37" i="6"/>
  <c r="S121" i="6"/>
  <c r="BA121" i="6" s="1"/>
  <c r="S118" i="6"/>
  <c r="AZ110" i="6"/>
  <c r="Q107" i="6"/>
  <c r="AZ107" i="6" s="1"/>
  <c r="S95" i="6"/>
  <c r="S86" i="6"/>
  <c r="Q75" i="6"/>
  <c r="S63" i="6"/>
  <c r="BA63" i="6" s="1"/>
  <c r="S60" i="6"/>
  <c r="BA60" i="6" s="1"/>
  <c r="S57" i="6"/>
  <c r="BA57" i="6" s="1"/>
  <c r="S54" i="6"/>
  <c r="Q43" i="6"/>
  <c r="S25" i="6"/>
  <c r="BA25" i="6" s="1"/>
  <c r="S22" i="6"/>
  <c r="Q11" i="6"/>
  <c r="W114" i="6"/>
  <c r="V103" i="6"/>
  <c r="V95" i="6"/>
  <c r="V86" i="6"/>
  <c r="W51" i="6"/>
  <c r="W33" i="6"/>
  <c r="V14" i="6"/>
  <c r="AI111" i="6"/>
  <c r="AI99" i="6"/>
  <c r="AM108" i="6"/>
  <c r="BA76" i="6"/>
  <c r="V101" i="6"/>
  <c r="V22" i="6"/>
  <c r="BA32" i="6"/>
  <c r="AZ117" i="6"/>
  <c r="AZ47" i="6"/>
  <c r="S112" i="6"/>
  <c r="S97" i="6"/>
  <c r="BA97" i="6" s="1"/>
  <c r="BA51" i="6"/>
  <c r="S48" i="6"/>
  <c r="BA48" i="6" s="1"/>
  <c r="BA45" i="6"/>
  <c r="V102" i="6"/>
  <c r="V51" i="6"/>
  <c r="V42" i="6"/>
  <c r="W23" i="6"/>
  <c r="AM117" i="6"/>
  <c r="AL108" i="6"/>
  <c r="AM97" i="6"/>
  <c r="W52" i="6"/>
  <c r="S52" i="6"/>
  <c r="BA52" i="6" s="1"/>
  <c r="AG120" i="6"/>
  <c r="AL120" i="6"/>
  <c r="Q34" i="6"/>
  <c r="AZ34" i="6" s="1"/>
  <c r="V34" i="6"/>
  <c r="Q20" i="6"/>
  <c r="AZ20" i="6" s="1"/>
  <c r="V20" i="6"/>
  <c r="W106" i="6"/>
  <c r="S106" i="6"/>
  <c r="BA106" i="6" s="1"/>
  <c r="Q89" i="6"/>
  <c r="AZ89" i="6" s="1"/>
  <c r="V89" i="6"/>
  <c r="V57" i="6"/>
  <c r="Q57" i="6"/>
  <c r="AZ57" i="6" s="1"/>
  <c r="V25" i="6"/>
  <c r="Q25" i="6"/>
  <c r="AZ25" i="6" s="1"/>
  <c r="W116" i="6"/>
  <c r="W42" i="6"/>
  <c r="Q114" i="6"/>
  <c r="V114" i="6"/>
  <c r="Q68" i="6"/>
  <c r="AZ68" i="6" s="1"/>
  <c r="V68" i="6"/>
  <c r="Q36" i="6"/>
  <c r="AZ36" i="6" s="1"/>
  <c r="V36" i="6"/>
  <c r="Q18" i="6"/>
  <c r="AZ18" i="6" s="1"/>
  <c r="V18" i="6"/>
  <c r="V73" i="6"/>
  <c r="V47" i="6"/>
  <c r="AZ122" i="6"/>
  <c r="AZ87" i="6"/>
  <c r="BA74" i="6"/>
  <c r="AZ42" i="6"/>
  <c r="W99" i="6"/>
  <c r="S99" i="6"/>
  <c r="S93" i="6"/>
  <c r="BA93" i="6" s="1"/>
  <c r="W93" i="6"/>
  <c r="Q88" i="6"/>
  <c r="V88" i="6"/>
  <c r="BA81" i="6"/>
  <c r="W67" i="6"/>
  <c r="S67" i="6"/>
  <c r="BA67" i="6" s="1"/>
  <c r="W61" i="6"/>
  <c r="S61" i="6"/>
  <c r="BA61" i="6" s="1"/>
  <c r="Q56" i="6"/>
  <c r="AZ56" i="6" s="1"/>
  <c r="V56" i="6"/>
  <c r="W35" i="6"/>
  <c r="S35" i="6"/>
  <c r="BA35" i="6" s="1"/>
  <c r="W29" i="6"/>
  <c r="S29" i="6"/>
  <c r="BA29" i="6" s="1"/>
  <c r="Q24" i="6"/>
  <c r="AZ24" i="6" s="1"/>
  <c r="V24" i="6"/>
  <c r="BA17" i="6"/>
  <c r="W90" i="6"/>
  <c r="V41" i="6"/>
  <c r="AL96" i="6"/>
  <c r="BA112" i="6"/>
  <c r="AZ99" i="6"/>
  <c r="Q98" i="6"/>
  <c r="AZ98" i="6" s="1"/>
  <c r="V98" i="6"/>
  <c r="Q66" i="6"/>
  <c r="AZ66" i="6" s="1"/>
  <c r="V66" i="6"/>
  <c r="V63" i="6"/>
  <c r="Q63" i="6"/>
  <c r="AZ63" i="6" s="1"/>
  <c r="V105" i="6"/>
  <c r="Q105" i="6"/>
  <c r="AZ105" i="6" s="1"/>
  <c r="W58" i="6"/>
  <c r="S58" i="6"/>
  <c r="W26" i="6"/>
  <c r="S26" i="6"/>
  <c r="Q15" i="6"/>
  <c r="V15" i="6"/>
  <c r="V9" i="6"/>
  <c r="Q9" i="6"/>
  <c r="AZ9" i="6" s="1"/>
  <c r="V104" i="6"/>
  <c r="W77" i="6"/>
  <c r="AI120" i="6"/>
  <c r="BA120" i="6" s="1"/>
  <c r="AM120" i="6"/>
  <c r="AI114" i="6"/>
  <c r="BA114" i="6" s="1"/>
  <c r="AM114" i="6"/>
  <c r="AM104" i="6"/>
  <c r="BA118" i="6"/>
  <c r="BA98" i="6"/>
  <c r="AZ93" i="6"/>
  <c r="AZ90" i="6"/>
  <c r="AZ80" i="6"/>
  <c r="BA62" i="6"/>
  <c r="BA44" i="6"/>
  <c r="BA28" i="6"/>
  <c r="AL105" i="6"/>
  <c r="AG105" i="6"/>
  <c r="AZ83" i="6"/>
  <c r="AI101" i="6"/>
  <c r="BA101" i="6" s="1"/>
  <c r="AM101" i="6"/>
  <c r="BA103" i="6"/>
  <c r="BA46" i="6"/>
  <c r="W115" i="6"/>
  <c r="S115" i="6"/>
  <c r="S109" i="6"/>
  <c r="W109" i="6"/>
  <c r="S83" i="6"/>
  <c r="BA83" i="6" s="1"/>
  <c r="W83" i="6"/>
  <c r="BA77" i="6"/>
  <c r="Q72" i="6"/>
  <c r="AZ72" i="6" s="1"/>
  <c r="V72" i="6"/>
  <c r="Q40" i="6"/>
  <c r="AZ40" i="6" s="1"/>
  <c r="V40" i="6"/>
  <c r="BA33" i="6"/>
  <c r="S19" i="6"/>
  <c r="BA19" i="6" s="1"/>
  <c r="W19" i="6"/>
  <c r="W13" i="6"/>
  <c r="S13" i="6"/>
  <c r="Q8" i="6"/>
  <c r="AZ8" i="6" s="1"/>
  <c r="V8" i="6"/>
  <c r="W74" i="6"/>
  <c r="W68" i="6"/>
  <c r="V50" i="6"/>
  <c r="BA88" i="6"/>
  <c r="AZ79" i="6"/>
  <c r="AZ61" i="6"/>
  <c r="AZ49" i="6"/>
  <c r="S84" i="6"/>
  <c r="BA84" i="6" s="1"/>
  <c r="W84" i="6"/>
  <c r="S20" i="6"/>
  <c r="BA20" i="6" s="1"/>
  <c r="W20" i="6"/>
  <c r="AG102" i="6"/>
  <c r="AZ102" i="6" s="1"/>
  <c r="AL102" i="6"/>
  <c r="BA10" i="6"/>
  <c r="Q84" i="6"/>
  <c r="V84" i="6"/>
  <c r="Q52" i="6"/>
  <c r="AZ52" i="6" s="1"/>
  <c r="V52" i="6"/>
  <c r="BA31" i="6"/>
  <c r="AM119" i="6"/>
  <c r="AI119" i="6"/>
  <c r="BA119" i="6" s="1"/>
  <c r="V121" i="6"/>
  <c r="Q121" i="6"/>
  <c r="V31" i="6"/>
  <c r="Q31" i="6"/>
  <c r="AZ31" i="6" s="1"/>
  <c r="S10" i="6"/>
  <c r="W10" i="6"/>
  <c r="BA117" i="6"/>
  <c r="V116" i="6"/>
  <c r="V100" i="6"/>
  <c r="AM115" i="6"/>
  <c r="AI115" i="6"/>
  <c r="AM109" i="6"/>
  <c r="AI109" i="6"/>
  <c r="AZ91" i="6"/>
  <c r="AZ85" i="6"/>
  <c r="AZ39" i="6"/>
  <c r="AZ51" i="6"/>
  <c r="BA14" i="6"/>
  <c r="Q92" i="6"/>
  <c r="AZ92" i="6" s="1"/>
  <c r="V92" i="6"/>
  <c r="Q76" i="6"/>
  <c r="AZ76" i="6" s="1"/>
  <c r="V76" i="6"/>
  <c r="Q60" i="6"/>
  <c r="AZ60" i="6" s="1"/>
  <c r="V60" i="6"/>
  <c r="Q44" i="6"/>
  <c r="AZ44" i="6" s="1"/>
  <c r="V44" i="6"/>
  <c r="Q12" i="6"/>
  <c r="AZ12" i="6" s="1"/>
  <c r="V12" i="6"/>
  <c r="V67" i="6"/>
  <c r="V35" i="6"/>
  <c r="AM113" i="6"/>
  <c r="AM100" i="6"/>
  <c r="BA104" i="6"/>
  <c r="BA94" i="6"/>
  <c r="AZ73" i="6"/>
  <c r="AZ58" i="6"/>
  <c r="AZ53" i="6"/>
  <c r="AZ45" i="6"/>
  <c r="BA37" i="6"/>
  <c r="AZ35" i="6"/>
  <c r="BA26" i="6"/>
  <c r="AZ21" i="6"/>
  <c r="AZ19" i="6"/>
  <c r="S107" i="6"/>
  <c r="BA107" i="6" s="1"/>
  <c r="S75" i="6"/>
  <c r="BA75" i="6" s="1"/>
  <c r="Q71" i="6"/>
  <c r="AZ71" i="6" s="1"/>
  <c r="S66" i="6"/>
  <c r="BA66" i="6" s="1"/>
  <c r="S59" i="6"/>
  <c r="Q55" i="6"/>
  <c r="S50" i="6"/>
  <c r="BA50" i="6" s="1"/>
  <c r="S43" i="6"/>
  <c r="BA43" i="6" s="1"/>
  <c r="Q39" i="6"/>
  <c r="S34" i="6"/>
  <c r="BA34" i="6" s="1"/>
  <c r="S27" i="6"/>
  <c r="BA27" i="6" s="1"/>
  <c r="Q23" i="6"/>
  <c r="AZ23" i="6" s="1"/>
  <c r="V62" i="6"/>
  <c r="V30" i="6"/>
  <c r="V10" i="6"/>
  <c r="AG121" i="6"/>
  <c r="AG113" i="6"/>
  <c r="AZ113" i="6" s="1"/>
  <c r="AL97" i="6"/>
  <c r="AG97" i="6"/>
  <c r="AZ97" i="6" s="1"/>
  <c r="AL119" i="6"/>
  <c r="AZ119" i="6"/>
  <c r="AZ111" i="6"/>
  <c r="BA91" i="6"/>
  <c r="BA86" i="6"/>
  <c r="AZ75" i="6"/>
  <c r="BA55" i="6"/>
  <c r="AZ50" i="6"/>
  <c r="AZ37" i="6"/>
  <c r="AZ29" i="6"/>
  <c r="BA18" i="6"/>
  <c r="BA13" i="6"/>
  <c r="AZ48" i="6"/>
  <c r="Q28" i="6"/>
  <c r="AZ28" i="6" s="1"/>
  <c r="V28" i="6"/>
  <c r="V122" i="6"/>
  <c r="V106" i="6"/>
  <c r="W71" i="6"/>
  <c r="W62" i="6"/>
  <c r="W39" i="6"/>
  <c r="W30" i="6"/>
  <c r="Q64" i="6"/>
  <c r="V64" i="6"/>
  <c r="Q48" i="6"/>
  <c r="V48" i="6"/>
  <c r="Q32" i="6"/>
  <c r="AZ32" i="6" s="1"/>
  <c r="V32" i="6"/>
  <c r="Q16" i="6"/>
  <c r="V16" i="6"/>
  <c r="W14" i="6"/>
  <c r="AG118" i="6"/>
  <c r="AZ118" i="6" s="1"/>
  <c r="AL118" i="6"/>
  <c r="AM107" i="6"/>
  <c r="AI107" i="6"/>
  <c r="AL112" i="6"/>
  <c r="AZ116" i="6"/>
  <c r="BA96" i="6"/>
  <c r="BA69" i="6"/>
  <c r="AZ65" i="6"/>
  <c r="AZ55" i="6"/>
  <c r="AZ16" i="6"/>
  <c r="AZ13" i="6"/>
  <c r="AZ115" i="6"/>
  <c r="AZ103" i="6"/>
  <c r="BA95" i="6"/>
  <c r="AZ88" i="6"/>
  <c r="BA82" i="6"/>
  <c r="AZ77" i="6"/>
  <c r="AZ67" i="6"/>
  <c r="BA59" i="6"/>
  <c r="BA54" i="6"/>
  <c r="AZ41" i="6"/>
  <c r="BA36" i="6"/>
  <c r="AZ33" i="6"/>
  <c r="BA30" i="6"/>
  <c r="AZ15" i="6"/>
  <c r="BA12" i="6"/>
  <c r="W119" i="6"/>
  <c r="W103" i="6"/>
  <c r="AL103" i="6"/>
  <c r="AZ95" i="6"/>
  <c r="BA90" i="6"/>
  <c r="AZ82" i="6"/>
  <c r="AZ59" i="6"/>
  <c r="AZ30" i="6"/>
  <c r="BA22" i="6"/>
  <c r="AZ17" i="6"/>
  <c r="BA58" i="6"/>
  <c r="AZ43" i="6"/>
  <c r="S110" i="6"/>
  <c r="BA110" i="6" s="1"/>
  <c r="S94" i="6"/>
  <c r="V90" i="6"/>
  <c r="AG114" i="6"/>
  <c r="AZ114" i="6" s="1"/>
  <c r="AL114" i="6"/>
  <c r="AL109" i="6"/>
  <c r="AG109" i="6"/>
  <c r="AZ109" i="6" s="1"/>
  <c r="AG106" i="6"/>
  <c r="AZ106" i="6" s="1"/>
  <c r="AL106" i="6"/>
  <c r="AG98" i="6"/>
  <c r="AL98" i="6"/>
  <c r="AZ120" i="6"/>
  <c r="BA99" i="6"/>
  <c r="BA92" i="6"/>
  <c r="AZ81" i="6"/>
  <c r="BA78" i="6"/>
  <c r="BA53" i="6"/>
  <c r="BA42" i="6"/>
  <c r="BA21" i="6"/>
  <c r="AZ14" i="6"/>
  <c r="AZ11" i="6"/>
  <c r="AZ104" i="6"/>
  <c r="AZ84" i="6"/>
  <c r="BA71" i="6"/>
  <c r="AZ38" i="6"/>
  <c r="BA23" i="6"/>
  <c r="AZ10" i="6"/>
  <c r="AL110" i="6"/>
  <c r="AL94" i="6"/>
  <c r="BA116" i="6"/>
  <c r="AZ112" i="6"/>
  <c r="BA87" i="6"/>
  <c r="AZ54" i="6"/>
  <c r="BA41" i="6"/>
  <c r="BA39" i="6"/>
  <c r="BA11" i="6"/>
  <c r="BA100" i="6"/>
  <c r="AZ96" i="6"/>
  <c r="AZ70" i="6"/>
  <c r="AZ64" i="6"/>
  <c r="AZ22" i="6"/>
  <c r="BA15" i="6"/>
  <c r="AV125" i="6"/>
  <c r="AW125" i="6" s="1"/>
  <c r="AX125" i="6"/>
  <c r="AY125" i="6" s="1"/>
  <c r="AV126" i="6"/>
  <c r="AW126" i="6" s="1"/>
  <c r="AX126" i="6"/>
  <c r="AY126" i="6" s="1"/>
  <c r="AV127" i="6"/>
  <c r="AW127" i="6" s="1"/>
  <c r="AX127" i="6"/>
  <c r="AY127" i="6" s="1"/>
  <c r="AV128" i="6"/>
  <c r="AW128" i="6" s="1"/>
  <c r="AX128" i="6"/>
  <c r="AY128" i="6" s="1"/>
  <c r="AV129" i="6"/>
  <c r="AW129" i="6" s="1"/>
  <c r="AX129" i="6"/>
  <c r="AY129" i="6" s="1"/>
  <c r="AV131" i="6"/>
  <c r="AW131" i="6" s="1"/>
  <c r="AX131" i="6"/>
  <c r="AY131" i="6" s="1"/>
  <c r="AV132" i="6"/>
  <c r="AW132" i="6" s="1"/>
  <c r="AX132" i="6"/>
  <c r="AY132" i="6" s="1"/>
  <c r="AV133" i="6"/>
  <c r="AW133" i="6" s="1"/>
  <c r="AX133" i="6"/>
  <c r="AY133" i="6" s="1"/>
  <c r="AV130" i="6"/>
  <c r="AW130" i="6" s="1"/>
  <c r="AX130" i="6"/>
  <c r="AY130" i="6" s="1"/>
  <c r="AV135" i="6"/>
  <c r="AW135" i="6" s="1"/>
  <c r="AX135" i="6"/>
  <c r="AY135" i="6" s="1"/>
  <c r="AV136" i="6"/>
  <c r="AW136" i="6" s="1"/>
  <c r="AX136" i="6"/>
  <c r="AY136" i="6" s="1"/>
  <c r="AV137" i="6"/>
  <c r="AW137" i="6" s="1"/>
  <c r="AX137" i="6"/>
  <c r="AY137" i="6" s="1"/>
  <c r="AV134" i="6"/>
  <c r="AW134" i="6" s="1"/>
  <c r="AX134" i="6"/>
  <c r="AY134" i="6" s="1"/>
  <c r="AV138" i="6"/>
  <c r="AW138" i="6" s="1"/>
  <c r="AX138" i="6"/>
  <c r="AY138" i="6" s="1"/>
  <c r="AV139" i="6"/>
  <c r="AW139" i="6" s="1"/>
  <c r="AX139" i="6"/>
  <c r="AY139" i="6" s="1"/>
  <c r="AV140" i="6"/>
  <c r="AW140" i="6" s="1"/>
  <c r="AX140" i="6"/>
  <c r="AY140" i="6" s="1"/>
  <c r="AV141" i="6"/>
  <c r="AW141" i="6" s="1"/>
  <c r="AX141" i="6"/>
  <c r="AY141" i="6"/>
  <c r="AV142" i="6"/>
  <c r="AW142" i="6" s="1"/>
  <c r="AX142" i="6"/>
  <c r="AY142" i="6" s="1"/>
  <c r="AV143" i="6"/>
  <c r="AW143" i="6" s="1"/>
  <c r="AX143" i="6"/>
  <c r="AY143" i="6" s="1"/>
  <c r="AV144" i="6"/>
  <c r="AW144" i="6" s="1"/>
  <c r="AX144" i="6"/>
  <c r="AY144" i="6" s="1"/>
  <c r="AV145" i="6"/>
  <c r="AW145" i="6" s="1"/>
  <c r="AX145" i="6"/>
  <c r="AY145" i="6" s="1"/>
  <c r="AV146" i="6"/>
  <c r="AW146" i="6" s="1"/>
  <c r="AX146" i="6"/>
  <c r="AY146" i="6" s="1"/>
  <c r="AV147" i="6"/>
  <c r="AW147" i="6" s="1"/>
  <c r="AX147" i="6"/>
  <c r="AY147" i="6" s="1"/>
  <c r="AV148" i="6"/>
  <c r="AW148" i="6" s="1"/>
  <c r="AX148" i="6"/>
  <c r="AY148" i="6" s="1"/>
  <c r="AV149" i="6"/>
  <c r="AW149" i="6" s="1"/>
  <c r="AX149" i="6"/>
  <c r="AY149" i="6" s="1"/>
  <c r="AV150" i="6"/>
  <c r="AW150" i="6" s="1"/>
  <c r="AX150" i="6"/>
  <c r="AY150" i="6" s="1"/>
  <c r="AV151" i="6"/>
  <c r="AW151" i="6" s="1"/>
  <c r="AX151" i="6"/>
  <c r="AY151" i="6" s="1"/>
  <c r="AV152" i="6"/>
  <c r="AW152" i="6" s="1"/>
  <c r="AX152" i="6"/>
  <c r="AY152" i="6" s="1"/>
  <c r="AV153" i="6"/>
  <c r="AW153" i="6" s="1"/>
  <c r="AX153" i="6"/>
  <c r="AY153" i="6" s="1"/>
  <c r="AV154" i="6"/>
  <c r="AW154" i="6" s="1"/>
  <c r="AX154" i="6"/>
  <c r="AY154" i="6" s="1"/>
  <c r="AV678" i="6"/>
  <c r="AW678" i="6" s="1"/>
  <c r="AX678" i="6"/>
  <c r="AY678" i="6" s="1"/>
  <c r="AV679" i="6"/>
  <c r="AW679" i="6" s="1"/>
  <c r="AX679" i="6"/>
  <c r="AY679" i="6" s="1"/>
  <c r="AV680" i="6"/>
  <c r="AW680" i="6" s="1"/>
  <c r="AX680" i="6"/>
  <c r="AY680" i="6" s="1"/>
  <c r="AV681" i="6"/>
  <c r="AW681" i="6" s="1"/>
  <c r="AX681" i="6"/>
  <c r="AY681" i="6" s="1"/>
  <c r="AV682" i="6"/>
  <c r="AW682" i="6" s="1"/>
  <c r="AX682" i="6"/>
  <c r="AY682" i="6" s="1"/>
  <c r="AV683" i="6"/>
  <c r="AW683" i="6" s="1"/>
  <c r="AX683" i="6"/>
  <c r="AY683" i="6" s="1"/>
  <c r="AV686" i="6"/>
  <c r="AW686" i="6" s="1"/>
  <c r="AX686" i="6"/>
  <c r="AY686" i="6" s="1"/>
  <c r="AV687" i="6"/>
  <c r="AW687" i="6" s="1"/>
  <c r="AX687" i="6"/>
  <c r="AY687" i="6" s="1"/>
  <c r="AV688" i="6"/>
  <c r="AW688" i="6" s="1"/>
  <c r="AX688" i="6"/>
  <c r="AY688" i="6" s="1"/>
  <c r="AV689" i="6"/>
  <c r="AW689" i="6" s="1"/>
  <c r="AX689" i="6"/>
  <c r="AY689" i="6" s="1"/>
  <c r="AV690" i="6"/>
  <c r="AW690" i="6" s="1"/>
  <c r="AX690" i="6"/>
  <c r="AY690" i="6" s="1"/>
  <c r="AV691" i="6"/>
  <c r="AW691" i="6" s="1"/>
  <c r="AX691" i="6"/>
  <c r="AY691" i="6" s="1"/>
  <c r="AV684" i="6"/>
  <c r="AW684" i="6" s="1"/>
  <c r="AX684" i="6"/>
  <c r="AY684" i="6" s="1"/>
  <c r="AV685" i="6"/>
  <c r="AW685" i="6" s="1"/>
  <c r="AX685" i="6"/>
  <c r="AY685" i="6" s="1"/>
  <c r="AV692" i="6"/>
  <c r="AW692" i="6" s="1"/>
  <c r="AX692" i="6"/>
  <c r="AY692" i="6" s="1"/>
  <c r="AL125" i="6"/>
  <c r="AM125" i="6"/>
  <c r="AL126" i="6"/>
  <c r="AM126" i="6"/>
  <c r="AL127" i="6"/>
  <c r="AM127" i="6"/>
  <c r="AL128" i="6"/>
  <c r="AM128" i="6"/>
  <c r="AL129" i="6"/>
  <c r="AM129" i="6"/>
  <c r="AL131" i="6"/>
  <c r="AM131" i="6"/>
  <c r="AL132" i="6"/>
  <c r="AM132" i="6"/>
  <c r="AL133" i="6"/>
  <c r="AM133" i="6"/>
  <c r="AL130" i="6"/>
  <c r="AM130" i="6"/>
  <c r="AL135" i="6"/>
  <c r="AM135" i="6"/>
  <c r="AL136" i="6"/>
  <c r="AM136" i="6"/>
  <c r="AL137" i="6"/>
  <c r="AM137" i="6"/>
  <c r="AL134" i="6"/>
  <c r="AM134" i="6"/>
  <c r="AL138" i="6"/>
  <c r="AM138" i="6"/>
  <c r="AL139" i="6"/>
  <c r="AM139" i="6"/>
  <c r="AL140" i="6"/>
  <c r="AM140" i="6"/>
  <c r="AL141" i="6"/>
  <c r="AM141" i="6"/>
  <c r="AL142" i="6"/>
  <c r="AM142" i="6"/>
  <c r="AL143" i="6"/>
  <c r="AM143" i="6"/>
  <c r="AL144" i="6"/>
  <c r="AM144" i="6"/>
  <c r="AL145" i="6"/>
  <c r="AM145" i="6"/>
  <c r="AL146" i="6"/>
  <c r="AM146" i="6"/>
  <c r="AL147" i="6"/>
  <c r="AM147" i="6"/>
  <c r="AL148" i="6"/>
  <c r="AM148" i="6"/>
  <c r="AL149" i="6"/>
  <c r="AM149" i="6"/>
  <c r="AL150" i="6"/>
  <c r="AM150" i="6"/>
  <c r="AL151" i="6"/>
  <c r="AM151" i="6"/>
  <c r="AL152" i="6"/>
  <c r="AM152" i="6"/>
  <c r="AL153" i="6"/>
  <c r="AM153" i="6"/>
  <c r="AL154" i="6"/>
  <c r="AM154" i="6"/>
  <c r="AL679" i="6"/>
  <c r="AM679" i="6"/>
  <c r="AL680" i="6"/>
  <c r="AM680" i="6"/>
  <c r="AL681" i="6"/>
  <c r="AM681" i="6"/>
  <c r="AL682" i="6"/>
  <c r="AM682" i="6"/>
  <c r="AL683" i="6"/>
  <c r="AM683" i="6"/>
  <c r="AL686" i="6"/>
  <c r="AM686" i="6"/>
  <c r="AL687" i="6"/>
  <c r="AM687" i="6"/>
  <c r="AL688" i="6"/>
  <c r="AM688" i="6"/>
  <c r="AL689" i="6"/>
  <c r="AM689" i="6"/>
  <c r="AL690" i="6"/>
  <c r="AM690" i="6"/>
  <c r="AL691" i="6"/>
  <c r="AM691" i="6"/>
  <c r="AL684" i="6"/>
  <c r="AM684" i="6"/>
  <c r="AL685" i="6"/>
  <c r="AM685" i="6"/>
  <c r="AL692" i="6"/>
  <c r="AM692" i="6"/>
  <c r="AF123" i="6"/>
  <c r="AG123" i="6" s="1"/>
  <c r="AH123" i="6"/>
  <c r="AI123" i="6" s="1"/>
  <c r="AF124" i="6"/>
  <c r="AG124" i="6" s="1"/>
  <c r="AH124" i="6"/>
  <c r="AI124" i="6" s="1"/>
  <c r="AF125" i="6"/>
  <c r="AG125" i="6" s="1"/>
  <c r="AH125" i="6"/>
  <c r="AI125" i="6" s="1"/>
  <c r="AF126" i="6"/>
  <c r="AG126" i="6" s="1"/>
  <c r="AH126" i="6"/>
  <c r="AI126" i="6" s="1"/>
  <c r="AF127" i="6"/>
  <c r="AG127" i="6" s="1"/>
  <c r="AH127" i="6"/>
  <c r="AI127" i="6" s="1"/>
  <c r="AF128" i="6"/>
  <c r="AG128" i="6" s="1"/>
  <c r="AH128" i="6"/>
  <c r="AI128" i="6" s="1"/>
  <c r="AF129" i="6"/>
  <c r="AG129" i="6" s="1"/>
  <c r="AH129" i="6"/>
  <c r="AI129" i="6" s="1"/>
  <c r="AF131" i="6"/>
  <c r="AG131" i="6" s="1"/>
  <c r="AH131" i="6"/>
  <c r="AI131" i="6" s="1"/>
  <c r="AF132" i="6"/>
  <c r="AG132" i="6" s="1"/>
  <c r="AH132" i="6"/>
  <c r="AI132" i="6" s="1"/>
  <c r="AF133" i="6"/>
  <c r="AG133" i="6" s="1"/>
  <c r="AH133" i="6"/>
  <c r="AI133" i="6" s="1"/>
  <c r="AF130" i="6"/>
  <c r="AG130" i="6" s="1"/>
  <c r="AH130" i="6"/>
  <c r="AI130" i="6" s="1"/>
  <c r="AF135" i="6"/>
  <c r="AG135" i="6" s="1"/>
  <c r="AH135" i="6"/>
  <c r="AI135" i="6" s="1"/>
  <c r="AF136" i="6"/>
  <c r="AG136" i="6" s="1"/>
  <c r="AH136" i="6"/>
  <c r="AI136" i="6" s="1"/>
  <c r="AF137" i="6"/>
  <c r="AG137" i="6" s="1"/>
  <c r="AH137" i="6"/>
  <c r="AI137" i="6" s="1"/>
  <c r="AF134" i="6"/>
  <c r="AG134" i="6" s="1"/>
  <c r="AH134" i="6"/>
  <c r="AI134" i="6" s="1"/>
  <c r="AF138" i="6"/>
  <c r="AG138" i="6" s="1"/>
  <c r="AH138" i="6"/>
  <c r="AI138" i="6" s="1"/>
  <c r="AF139" i="6"/>
  <c r="AG139" i="6" s="1"/>
  <c r="AH139" i="6"/>
  <c r="AI139" i="6" s="1"/>
  <c r="AF140" i="6"/>
  <c r="AG140" i="6" s="1"/>
  <c r="AH140" i="6"/>
  <c r="AI140" i="6" s="1"/>
  <c r="AF141" i="6"/>
  <c r="AG141" i="6" s="1"/>
  <c r="AH141" i="6"/>
  <c r="AI141" i="6" s="1"/>
  <c r="AF142" i="6"/>
  <c r="AG142" i="6" s="1"/>
  <c r="AH142" i="6"/>
  <c r="AI142" i="6" s="1"/>
  <c r="AF143" i="6"/>
  <c r="AG143" i="6" s="1"/>
  <c r="AH143" i="6"/>
  <c r="AI143" i="6" s="1"/>
  <c r="AF144" i="6"/>
  <c r="AG144" i="6" s="1"/>
  <c r="AH144" i="6"/>
  <c r="AI144" i="6" s="1"/>
  <c r="AF145" i="6"/>
  <c r="AG145" i="6" s="1"/>
  <c r="AH145" i="6"/>
  <c r="AI145" i="6" s="1"/>
  <c r="AF146" i="6"/>
  <c r="AG146" i="6" s="1"/>
  <c r="AH146" i="6"/>
  <c r="AI146" i="6" s="1"/>
  <c r="AF147" i="6"/>
  <c r="AG147" i="6" s="1"/>
  <c r="AH147" i="6"/>
  <c r="AI147" i="6" s="1"/>
  <c r="AF148" i="6"/>
  <c r="AG148" i="6" s="1"/>
  <c r="AH148" i="6"/>
  <c r="AI148" i="6" s="1"/>
  <c r="AF149" i="6"/>
  <c r="AG149" i="6" s="1"/>
  <c r="AH149" i="6"/>
  <c r="AI149" i="6" s="1"/>
  <c r="AF150" i="6"/>
  <c r="AG150" i="6" s="1"/>
  <c r="AH150" i="6"/>
  <c r="AI150" i="6" s="1"/>
  <c r="AF151" i="6"/>
  <c r="AG151" i="6" s="1"/>
  <c r="AH151" i="6"/>
  <c r="AI151" i="6" s="1"/>
  <c r="AF152" i="6"/>
  <c r="AG152" i="6" s="1"/>
  <c r="AH152" i="6"/>
  <c r="AI152" i="6" s="1"/>
  <c r="AF153" i="6"/>
  <c r="AG153" i="6" s="1"/>
  <c r="AH153" i="6"/>
  <c r="AI153" i="6" s="1"/>
  <c r="AF154" i="6"/>
  <c r="AG154" i="6" s="1"/>
  <c r="AH154" i="6"/>
  <c r="AI154" i="6" s="1"/>
  <c r="AF676" i="6"/>
  <c r="AG676" i="6" s="1"/>
  <c r="AH676" i="6"/>
  <c r="AI676" i="6" s="1"/>
  <c r="AF677" i="6"/>
  <c r="AG677" i="6" s="1"/>
  <c r="AH677" i="6"/>
  <c r="AI677" i="6" s="1"/>
  <c r="AF678" i="6"/>
  <c r="AG678" i="6" s="1"/>
  <c r="AH678" i="6"/>
  <c r="AI678" i="6" s="1"/>
  <c r="AF679" i="6"/>
  <c r="AG679" i="6" s="1"/>
  <c r="AH679" i="6"/>
  <c r="AI679" i="6" s="1"/>
  <c r="AF680" i="6"/>
  <c r="AG680" i="6" s="1"/>
  <c r="AH680" i="6"/>
  <c r="AI680" i="6" s="1"/>
  <c r="AF681" i="6"/>
  <c r="AG681" i="6" s="1"/>
  <c r="AH681" i="6"/>
  <c r="AI681" i="6" s="1"/>
  <c r="AF682" i="6"/>
  <c r="AG682" i="6" s="1"/>
  <c r="AH682" i="6"/>
  <c r="AI682" i="6" s="1"/>
  <c r="AF683" i="6"/>
  <c r="AG683" i="6" s="1"/>
  <c r="AH683" i="6"/>
  <c r="AI683" i="6" s="1"/>
  <c r="AF686" i="6"/>
  <c r="AG686" i="6" s="1"/>
  <c r="AH686" i="6"/>
  <c r="AI686" i="6" s="1"/>
  <c r="AF687" i="6"/>
  <c r="AG687" i="6" s="1"/>
  <c r="AH687" i="6"/>
  <c r="AI687" i="6" s="1"/>
  <c r="AF688" i="6"/>
  <c r="AG688" i="6" s="1"/>
  <c r="AH688" i="6"/>
  <c r="AI688" i="6" s="1"/>
  <c r="AF689" i="6"/>
  <c r="AG689" i="6" s="1"/>
  <c r="AH689" i="6"/>
  <c r="AI689" i="6" s="1"/>
  <c r="AF690" i="6"/>
  <c r="AG690" i="6" s="1"/>
  <c r="AH690" i="6"/>
  <c r="AI690" i="6" s="1"/>
  <c r="AF691" i="6"/>
  <c r="AG691" i="6" s="1"/>
  <c r="AH691" i="6"/>
  <c r="AI691" i="6" s="1"/>
  <c r="AF684" i="6"/>
  <c r="AG684" i="6" s="1"/>
  <c r="AH684" i="6"/>
  <c r="AI684" i="6" s="1"/>
  <c r="AF685" i="6"/>
  <c r="AG685" i="6" s="1"/>
  <c r="AH685" i="6"/>
  <c r="AI685" i="6"/>
  <c r="AF692" i="6"/>
  <c r="AG692" i="6" s="1"/>
  <c r="AH692" i="6"/>
  <c r="AI692" i="6" s="1"/>
  <c r="P123" i="6"/>
  <c r="V123" i="6" s="1"/>
  <c r="P124" i="6"/>
  <c r="P125" i="6"/>
  <c r="V125" i="6" s="1"/>
  <c r="P126" i="6"/>
  <c r="P127" i="6"/>
  <c r="Q127" i="6" s="1"/>
  <c r="P128" i="6"/>
  <c r="Q128" i="6" s="1"/>
  <c r="P129" i="6"/>
  <c r="P131" i="6"/>
  <c r="Q131" i="6" s="1"/>
  <c r="P132" i="6"/>
  <c r="V132" i="6" s="1"/>
  <c r="Q132" i="6"/>
  <c r="P133" i="6"/>
  <c r="Q133" i="6" s="1"/>
  <c r="P130" i="6"/>
  <c r="V130" i="6" s="1"/>
  <c r="Q130" i="6"/>
  <c r="P135" i="6"/>
  <c r="Q135" i="6" s="1"/>
  <c r="P136" i="6"/>
  <c r="P137" i="6"/>
  <c r="Q137" i="6" s="1"/>
  <c r="P134" i="6"/>
  <c r="V134" i="6" s="1"/>
  <c r="P138" i="6"/>
  <c r="P139" i="6"/>
  <c r="R139" i="6"/>
  <c r="P140" i="6"/>
  <c r="R140" i="6"/>
  <c r="P141" i="6"/>
  <c r="P142" i="6"/>
  <c r="Q142" i="6" s="1"/>
  <c r="P143" i="6"/>
  <c r="Q143" i="6" s="1"/>
  <c r="R143" i="6"/>
  <c r="W143" i="6" s="1"/>
  <c r="P144" i="6"/>
  <c r="R144" i="6"/>
  <c r="P145" i="6"/>
  <c r="P146" i="6"/>
  <c r="Q146" i="6" s="1"/>
  <c r="P147" i="6"/>
  <c r="Q147" i="6" s="1"/>
  <c r="R147" i="6"/>
  <c r="P148" i="6"/>
  <c r="Q148" i="6" s="1"/>
  <c r="P149" i="6"/>
  <c r="V149" i="6" s="1"/>
  <c r="P150" i="6"/>
  <c r="Q150" i="6" s="1"/>
  <c r="P151" i="6"/>
  <c r="Q151" i="6" s="1"/>
  <c r="R151" i="6"/>
  <c r="W151" i="6" s="1"/>
  <c r="P152" i="6"/>
  <c r="Q152" i="6" s="1"/>
  <c r="P153" i="6"/>
  <c r="V153" i="6" s="1"/>
  <c r="R153" i="6"/>
  <c r="P154" i="6"/>
  <c r="Q154" i="6" s="1"/>
  <c r="R154" i="6"/>
  <c r="P676" i="6"/>
  <c r="R676" i="6"/>
  <c r="W676" i="6" s="1"/>
  <c r="P677" i="6"/>
  <c r="V677" i="6" s="1"/>
  <c r="R677" i="6"/>
  <c r="W677" i="6" s="1"/>
  <c r="P678" i="6"/>
  <c r="V678" i="6" s="1"/>
  <c r="Q678" i="6"/>
  <c r="R678" i="6"/>
  <c r="P679" i="6"/>
  <c r="Q679" i="6" s="1"/>
  <c r="R679" i="6"/>
  <c r="S679" i="6" s="1"/>
  <c r="P680" i="6"/>
  <c r="V680" i="6" s="1"/>
  <c r="R680" i="6"/>
  <c r="P681" i="6"/>
  <c r="Q681" i="6" s="1"/>
  <c r="R681" i="6"/>
  <c r="P682" i="6"/>
  <c r="Q682" i="6" s="1"/>
  <c r="R682" i="6"/>
  <c r="W682" i="6" s="1"/>
  <c r="S682" i="6"/>
  <c r="P683" i="6"/>
  <c r="R683" i="6"/>
  <c r="P686" i="6"/>
  <c r="Q686" i="6" s="1"/>
  <c r="R686" i="6"/>
  <c r="W686" i="6" s="1"/>
  <c r="P687" i="6"/>
  <c r="Q687" i="6" s="1"/>
  <c r="AZ687" i="6" s="1"/>
  <c r="R687" i="6"/>
  <c r="W687" i="6" s="1"/>
  <c r="P688" i="6"/>
  <c r="R688" i="6"/>
  <c r="P689" i="6"/>
  <c r="Q689" i="6" s="1"/>
  <c r="R689" i="6"/>
  <c r="S689" i="6" s="1"/>
  <c r="P690" i="6"/>
  <c r="V690" i="6" s="1"/>
  <c r="R690" i="6"/>
  <c r="P691" i="6"/>
  <c r="R691" i="6"/>
  <c r="P684" i="6"/>
  <c r="R684" i="6"/>
  <c r="P685" i="6"/>
  <c r="R685" i="6"/>
  <c r="W685" i="6" s="1"/>
  <c r="P692" i="6"/>
  <c r="R692" i="6"/>
  <c r="W692" i="6" s="1"/>
  <c r="S692" i="6"/>
  <c r="Q676" i="6" l="1"/>
  <c r="AZ676" i="6" s="1"/>
  <c r="V676" i="6"/>
  <c r="Q149" i="6"/>
  <c r="AZ149" i="6" s="1"/>
  <c r="BA115" i="6"/>
  <c r="V689" i="6"/>
  <c r="S676" i="6"/>
  <c r="BA676" i="6" s="1"/>
  <c r="Q124" i="6"/>
  <c r="AZ124" i="6" s="1"/>
  <c r="V124" i="6"/>
  <c r="Q123" i="6"/>
  <c r="AZ123" i="6" s="1"/>
  <c r="V687" i="6"/>
  <c r="BA109" i="6"/>
  <c r="AZ127" i="6"/>
  <c r="V142" i="6"/>
  <c r="Q680" i="6"/>
  <c r="Q126" i="6"/>
  <c r="V126" i="6"/>
  <c r="V135" i="6"/>
  <c r="AZ121" i="6"/>
  <c r="Q139" i="6"/>
  <c r="AZ139" i="6" s="1"/>
  <c r="V139" i="6"/>
  <c r="Q692" i="6"/>
  <c r="AZ692" i="6" s="1"/>
  <c r="V692" i="6"/>
  <c r="V148" i="6"/>
  <c r="S685" i="6"/>
  <c r="Q690" i="6"/>
  <c r="Q140" i="6"/>
  <c r="AZ140" i="6" s="1"/>
  <c r="V140" i="6"/>
  <c r="BA679" i="6"/>
  <c r="AZ147" i="6"/>
  <c r="AZ132" i="6"/>
  <c r="W679" i="6"/>
  <c r="Q685" i="6"/>
  <c r="V685" i="6"/>
  <c r="S154" i="6"/>
  <c r="BA154" i="6" s="1"/>
  <c r="W154" i="6"/>
  <c r="V686" i="6"/>
  <c r="Q688" i="6"/>
  <c r="AZ688" i="6" s="1"/>
  <c r="V688" i="6"/>
  <c r="W678" i="6"/>
  <c r="S678" i="6"/>
  <c r="Q153" i="6"/>
  <c r="AZ153" i="6" s="1"/>
  <c r="Q134" i="6"/>
  <c r="AZ134" i="6" s="1"/>
  <c r="V133" i="6"/>
  <c r="V679" i="6"/>
  <c r="V147" i="6"/>
  <c r="S683" i="6"/>
  <c r="BA683" i="6" s="1"/>
  <c r="W683" i="6"/>
  <c r="Q136" i="6"/>
  <c r="AZ136" i="6" s="1"/>
  <c r="V136" i="6"/>
  <c r="Q129" i="6"/>
  <c r="AZ129" i="6" s="1"/>
  <c r="V129" i="6"/>
  <c r="S691" i="6"/>
  <c r="BA691" i="6" s="1"/>
  <c r="W691" i="6"/>
  <c r="W144" i="6"/>
  <c r="S144" i="6"/>
  <c r="Q141" i="6"/>
  <c r="AZ141" i="6" s="1"/>
  <c r="V141" i="6"/>
  <c r="S677" i="6"/>
  <c r="BA677" i="6" s="1"/>
  <c r="Q138" i="6"/>
  <c r="AZ138" i="6" s="1"/>
  <c r="V138" i="6"/>
  <c r="Q684" i="6"/>
  <c r="V684" i="6"/>
  <c r="Q683" i="6"/>
  <c r="AZ683" i="6" s="1"/>
  <c r="V683" i="6"/>
  <c r="Q691" i="6"/>
  <c r="AZ691" i="6" s="1"/>
  <c r="V691" i="6"/>
  <c r="S687" i="6"/>
  <c r="BA687" i="6" s="1"/>
  <c r="S147" i="6"/>
  <c r="BA147" i="6" s="1"/>
  <c r="W147" i="6"/>
  <c r="Q144" i="6"/>
  <c r="AZ144" i="6" s="1"/>
  <c r="V144" i="6"/>
  <c r="S140" i="6"/>
  <c r="W140" i="6"/>
  <c r="S688" i="6"/>
  <c r="BA688" i="6" s="1"/>
  <c r="W688" i="6"/>
  <c r="Q677" i="6"/>
  <c r="AZ677" i="6" s="1"/>
  <c r="S690" i="6"/>
  <c r="BA690" i="6" s="1"/>
  <c r="W690" i="6"/>
  <c r="W153" i="6"/>
  <c r="S153" i="6"/>
  <c r="BA153" i="6" s="1"/>
  <c r="S143" i="6"/>
  <c r="BA143" i="6" s="1"/>
  <c r="V150" i="6"/>
  <c r="AZ690" i="6"/>
  <c r="S139" i="6"/>
  <c r="BA139" i="6" s="1"/>
  <c r="W139" i="6"/>
  <c r="V154" i="6"/>
  <c r="V146" i="6"/>
  <c r="V131" i="6"/>
  <c r="AZ133" i="6"/>
  <c r="S686" i="6"/>
  <c r="S681" i="6"/>
  <c r="BA681" i="6" s="1"/>
  <c r="W681" i="6"/>
  <c r="S151" i="6"/>
  <c r="BA151" i="6" s="1"/>
  <c r="Q125" i="6"/>
  <c r="AZ125" i="6" s="1"/>
  <c r="V152" i="6"/>
  <c r="V137" i="6"/>
  <c r="V128" i="6"/>
  <c r="AZ142" i="6"/>
  <c r="S684" i="6"/>
  <c r="BA684" i="6" s="1"/>
  <c r="W684" i="6"/>
  <c r="Q145" i="6"/>
  <c r="V145" i="6"/>
  <c r="V682" i="6"/>
  <c r="V151" i="6"/>
  <c r="V143" i="6"/>
  <c r="V127" i="6"/>
  <c r="AZ154" i="6"/>
  <c r="S680" i="6"/>
  <c r="BA680" i="6" s="1"/>
  <c r="W680" i="6"/>
  <c r="W689" i="6"/>
  <c r="V681" i="6"/>
  <c r="BA686" i="6"/>
  <c r="AZ682" i="6"/>
  <c r="AZ681" i="6"/>
  <c r="BA685" i="6"/>
  <c r="AZ686" i="6"/>
  <c r="AZ680" i="6"/>
  <c r="AZ131" i="6"/>
  <c r="AZ685" i="6"/>
  <c r="BA144" i="6"/>
  <c r="AZ679" i="6"/>
  <c r="BA678" i="6"/>
  <c r="AZ145" i="6"/>
  <c r="AZ684" i="6"/>
  <c r="AZ152" i="6"/>
  <c r="AZ689" i="6"/>
  <c r="AZ146" i="6"/>
  <c r="AZ135" i="6"/>
  <c r="BA682" i="6"/>
  <c r="AZ678" i="6"/>
  <c r="AZ151" i="6"/>
  <c r="AZ148" i="6"/>
  <c r="AZ130" i="6"/>
  <c r="AZ126" i="6"/>
  <c r="BA692" i="6"/>
  <c r="BA689" i="6"/>
  <c r="AZ150" i="6"/>
  <c r="AZ137" i="6"/>
  <c r="AZ128" i="6"/>
  <c r="AZ143" i="6"/>
  <c r="BA140" i="6"/>
  <c r="AV208" i="6"/>
  <c r="AW208" i="6" s="1"/>
  <c r="AX208" i="6"/>
  <c r="AY208" i="6"/>
  <c r="AV209" i="6"/>
  <c r="AW209" i="6" s="1"/>
  <c r="AX209" i="6"/>
  <c r="AY209" i="6" s="1"/>
  <c r="AL208" i="6"/>
  <c r="AM208" i="6"/>
  <c r="AL209" i="6"/>
  <c r="AM209" i="6"/>
  <c r="AF208" i="6"/>
  <c r="AG208" i="6" s="1"/>
  <c r="AH208" i="6"/>
  <c r="AI208" i="6" s="1"/>
  <c r="AF209" i="6"/>
  <c r="AG209" i="6" s="1"/>
  <c r="AH209" i="6"/>
  <c r="AI209" i="6" s="1"/>
  <c r="P208" i="6"/>
  <c r="Q208" i="6" s="1"/>
  <c r="R208" i="6"/>
  <c r="W208" i="6" s="1"/>
  <c r="P209" i="6"/>
  <c r="Q209" i="6" s="1"/>
  <c r="R209" i="6"/>
  <c r="S209" i="6" s="1"/>
  <c r="AZ208" i="6" l="1"/>
  <c r="BA209" i="6"/>
  <c r="V208" i="6"/>
  <c r="S208" i="6"/>
  <c r="BA208" i="6" s="1"/>
  <c r="AZ209" i="6"/>
  <c r="W209" i="6"/>
  <c r="V209" i="6"/>
  <c r="AV156" i="6"/>
  <c r="AW156" i="6" s="1"/>
  <c r="AX156" i="6"/>
  <c r="AY156" i="6" s="1"/>
  <c r="AV157" i="6"/>
  <c r="AW157" i="6" s="1"/>
  <c r="AX157" i="6"/>
  <c r="AY157" i="6" s="1"/>
  <c r="AV158" i="6"/>
  <c r="AW158" i="6" s="1"/>
  <c r="AX158" i="6"/>
  <c r="AY158" i="6"/>
  <c r="AV159" i="6"/>
  <c r="AW159" i="6" s="1"/>
  <c r="AX159" i="6"/>
  <c r="AY159" i="6" s="1"/>
  <c r="AV160" i="6"/>
  <c r="AW160" i="6" s="1"/>
  <c r="AX160" i="6"/>
  <c r="AY160" i="6" s="1"/>
  <c r="AV161" i="6"/>
  <c r="AW161" i="6" s="1"/>
  <c r="AX161" i="6"/>
  <c r="AY161" i="6" s="1"/>
  <c r="AV162" i="6"/>
  <c r="AW162" i="6"/>
  <c r="AX162" i="6"/>
  <c r="AY162" i="6" s="1"/>
  <c r="AV163" i="6"/>
  <c r="AW163" i="6" s="1"/>
  <c r="AX163" i="6"/>
  <c r="AY163" i="6" s="1"/>
  <c r="AV164" i="6"/>
  <c r="AW164" i="6" s="1"/>
  <c r="AX164" i="6"/>
  <c r="AY164" i="6" s="1"/>
  <c r="AV165" i="6"/>
  <c r="AW165" i="6" s="1"/>
  <c r="AX165" i="6"/>
  <c r="AY165" i="6" s="1"/>
  <c r="AV166" i="6"/>
  <c r="AW166" i="6" s="1"/>
  <c r="AX166" i="6"/>
  <c r="AY166" i="6" s="1"/>
  <c r="AV167" i="6"/>
  <c r="AW167" i="6" s="1"/>
  <c r="AX167" i="6"/>
  <c r="AY167" i="6" s="1"/>
  <c r="AV168" i="6"/>
  <c r="AW168" i="6" s="1"/>
  <c r="AX168" i="6"/>
  <c r="AY168" i="6" s="1"/>
  <c r="AV169" i="6"/>
  <c r="AW169" i="6" s="1"/>
  <c r="AX169" i="6"/>
  <c r="AY169" i="6" s="1"/>
  <c r="AV170" i="6"/>
  <c r="AW170" i="6" s="1"/>
  <c r="AX170" i="6"/>
  <c r="AY170" i="6" s="1"/>
  <c r="AV171" i="6"/>
  <c r="AW171" i="6" s="1"/>
  <c r="AX171" i="6"/>
  <c r="AY171" i="6" s="1"/>
  <c r="AV172" i="6"/>
  <c r="AW172" i="6" s="1"/>
  <c r="AX172" i="6"/>
  <c r="AY172" i="6" s="1"/>
  <c r="AV173" i="6"/>
  <c r="AW173" i="6" s="1"/>
  <c r="AX173" i="6"/>
  <c r="AY173" i="6" s="1"/>
  <c r="AV174" i="6"/>
  <c r="AW174" i="6" s="1"/>
  <c r="AX174" i="6"/>
  <c r="AY174" i="6" s="1"/>
  <c r="AV175" i="6"/>
  <c r="AW175" i="6"/>
  <c r="AX175" i="6"/>
  <c r="AY175" i="6" s="1"/>
  <c r="AV176" i="6"/>
  <c r="AW176" i="6" s="1"/>
  <c r="AX176" i="6"/>
  <c r="AY176" i="6" s="1"/>
  <c r="AV177" i="6"/>
  <c r="AW177" i="6" s="1"/>
  <c r="AX177" i="6"/>
  <c r="AY177" i="6" s="1"/>
  <c r="AV178" i="6"/>
  <c r="AW178" i="6" s="1"/>
  <c r="AX178" i="6"/>
  <c r="AY178" i="6" s="1"/>
  <c r="AV179" i="6"/>
  <c r="AW179" i="6"/>
  <c r="AX179" i="6"/>
  <c r="AY179" i="6" s="1"/>
  <c r="AV180" i="6"/>
  <c r="AW180" i="6" s="1"/>
  <c r="AX180" i="6"/>
  <c r="AY180" i="6"/>
  <c r="AV181" i="6"/>
  <c r="AW181" i="6" s="1"/>
  <c r="AX181" i="6"/>
  <c r="AY181" i="6" s="1"/>
  <c r="AV182" i="6"/>
  <c r="AW182" i="6"/>
  <c r="AZ182" i="6" s="1"/>
  <c r="AX182" i="6"/>
  <c r="AY182" i="6" s="1"/>
  <c r="AV183" i="6"/>
  <c r="AW183" i="6" s="1"/>
  <c r="AX183" i="6"/>
  <c r="AY183" i="6" s="1"/>
  <c r="AV184" i="6"/>
  <c r="AW184" i="6" s="1"/>
  <c r="AX184" i="6"/>
  <c r="AY184" i="6"/>
  <c r="AV185" i="6"/>
  <c r="AW185" i="6" s="1"/>
  <c r="AX185" i="6"/>
  <c r="AY185" i="6" s="1"/>
  <c r="AV186" i="6"/>
  <c r="AW186" i="6" s="1"/>
  <c r="AX186" i="6"/>
  <c r="AY186" i="6"/>
  <c r="AV187" i="6"/>
  <c r="AW187" i="6" s="1"/>
  <c r="AX187" i="6"/>
  <c r="AY187" i="6" s="1"/>
  <c r="AV188" i="6"/>
  <c r="AW188" i="6" s="1"/>
  <c r="AX188" i="6"/>
  <c r="AY188" i="6" s="1"/>
  <c r="AV189" i="6"/>
  <c r="AW189" i="6" s="1"/>
  <c r="AX189" i="6"/>
  <c r="AY189" i="6" s="1"/>
  <c r="AV190" i="6"/>
  <c r="AW190" i="6" s="1"/>
  <c r="AX190" i="6"/>
  <c r="AY190" i="6" s="1"/>
  <c r="AV191" i="6"/>
  <c r="AW191" i="6" s="1"/>
  <c r="AX191" i="6"/>
  <c r="AY191" i="6" s="1"/>
  <c r="AV192" i="6"/>
  <c r="AW192" i="6" s="1"/>
  <c r="AX192" i="6"/>
  <c r="AY192" i="6" s="1"/>
  <c r="AV194" i="6"/>
  <c r="AW194" i="6" s="1"/>
  <c r="AX194" i="6"/>
  <c r="AY194" i="6" s="1"/>
  <c r="AV195" i="6"/>
  <c r="AW195" i="6" s="1"/>
  <c r="AX195" i="6"/>
  <c r="AY195" i="6" s="1"/>
  <c r="AV196" i="6"/>
  <c r="AW196" i="6" s="1"/>
  <c r="AX196" i="6"/>
  <c r="AY196" i="6" s="1"/>
  <c r="AV197" i="6"/>
  <c r="AW197" i="6" s="1"/>
  <c r="AX197" i="6"/>
  <c r="AY197" i="6"/>
  <c r="AV198" i="6"/>
  <c r="AW198" i="6" s="1"/>
  <c r="AX198" i="6"/>
  <c r="AY198" i="6" s="1"/>
  <c r="AV199" i="6"/>
  <c r="AW199" i="6"/>
  <c r="AX199" i="6"/>
  <c r="AY199" i="6" s="1"/>
  <c r="AV200" i="6"/>
  <c r="AW200" i="6" s="1"/>
  <c r="AX200" i="6"/>
  <c r="AY200" i="6" s="1"/>
  <c r="AV193" i="6"/>
  <c r="AW193" i="6" s="1"/>
  <c r="AX193" i="6"/>
  <c r="AY193" i="6" s="1"/>
  <c r="AV201" i="6"/>
  <c r="AW201" i="6" s="1"/>
  <c r="AX201" i="6"/>
  <c r="AY201" i="6" s="1"/>
  <c r="AV203" i="6"/>
  <c r="AW203" i="6" s="1"/>
  <c r="AX203" i="6"/>
  <c r="AY203" i="6" s="1"/>
  <c r="AV202" i="6"/>
  <c r="AW202" i="6" s="1"/>
  <c r="AX202" i="6"/>
  <c r="AY202" i="6" s="1"/>
  <c r="AV7" i="6"/>
  <c r="AW7" i="6" s="1"/>
  <c r="AX7" i="6"/>
  <c r="AY7" i="6" s="1"/>
  <c r="AL156" i="6"/>
  <c r="AM156" i="6"/>
  <c r="AL157" i="6"/>
  <c r="AM157" i="6"/>
  <c r="AL158" i="6"/>
  <c r="AM158" i="6"/>
  <c r="AL159" i="6"/>
  <c r="AM159" i="6"/>
  <c r="AL160" i="6"/>
  <c r="AM160" i="6"/>
  <c r="AL161" i="6"/>
  <c r="AM161" i="6"/>
  <c r="AL162" i="6"/>
  <c r="AM162" i="6"/>
  <c r="AL163" i="6"/>
  <c r="AM163" i="6"/>
  <c r="AL164" i="6"/>
  <c r="AM164" i="6"/>
  <c r="AL165" i="6"/>
  <c r="AM165" i="6"/>
  <c r="AL166" i="6"/>
  <c r="AM166" i="6"/>
  <c r="AL167" i="6"/>
  <c r="AM167" i="6"/>
  <c r="AL168" i="6"/>
  <c r="AM168" i="6"/>
  <c r="AL169" i="6"/>
  <c r="AM169" i="6"/>
  <c r="AL170" i="6"/>
  <c r="AM170" i="6"/>
  <c r="AL171" i="6"/>
  <c r="AM171" i="6"/>
  <c r="AL172" i="6"/>
  <c r="AM172" i="6"/>
  <c r="AL173" i="6"/>
  <c r="AM173" i="6"/>
  <c r="AL174" i="6"/>
  <c r="AM174" i="6"/>
  <c r="AL175" i="6"/>
  <c r="AM175" i="6"/>
  <c r="AL176" i="6"/>
  <c r="AM176" i="6"/>
  <c r="AL177" i="6"/>
  <c r="AM177" i="6"/>
  <c r="AL178" i="6"/>
  <c r="AM178" i="6"/>
  <c r="AL179" i="6"/>
  <c r="AM179" i="6"/>
  <c r="AL180" i="6"/>
  <c r="AM180" i="6"/>
  <c r="AL181" i="6"/>
  <c r="AM181" i="6"/>
  <c r="AL182" i="6"/>
  <c r="AM182" i="6"/>
  <c r="AL183" i="6"/>
  <c r="AM183" i="6"/>
  <c r="AL184" i="6"/>
  <c r="AM184" i="6"/>
  <c r="AL185" i="6"/>
  <c r="AM185" i="6"/>
  <c r="AL186" i="6"/>
  <c r="AM186" i="6"/>
  <c r="AL187" i="6"/>
  <c r="AM187" i="6"/>
  <c r="AL188" i="6"/>
  <c r="AM188" i="6"/>
  <c r="AL189" i="6"/>
  <c r="AM189" i="6"/>
  <c r="AL190" i="6"/>
  <c r="AM190" i="6"/>
  <c r="AL191" i="6"/>
  <c r="AM191" i="6"/>
  <c r="AL192" i="6"/>
  <c r="AM192" i="6"/>
  <c r="AL194" i="6"/>
  <c r="AM194" i="6"/>
  <c r="AL195" i="6"/>
  <c r="AM195" i="6"/>
  <c r="AL196" i="6"/>
  <c r="AM196" i="6"/>
  <c r="AL197" i="6"/>
  <c r="AM197" i="6"/>
  <c r="AL198" i="6"/>
  <c r="AM198" i="6"/>
  <c r="AL199" i="6"/>
  <c r="AM199" i="6"/>
  <c r="AL200" i="6"/>
  <c r="AM200" i="6"/>
  <c r="AL193" i="6"/>
  <c r="AM193" i="6"/>
  <c r="AL201" i="6"/>
  <c r="AM201" i="6"/>
  <c r="AL203" i="6"/>
  <c r="AM203" i="6"/>
  <c r="AL202" i="6"/>
  <c r="AM202" i="6"/>
  <c r="AL7" i="6"/>
  <c r="AM7" i="6"/>
  <c r="AF156" i="6"/>
  <c r="AG156" i="6" s="1"/>
  <c r="AH156" i="6"/>
  <c r="AI156" i="6" s="1"/>
  <c r="AF157" i="6"/>
  <c r="AG157" i="6" s="1"/>
  <c r="AH157" i="6"/>
  <c r="AI157" i="6" s="1"/>
  <c r="AF158" i="6"/>
  <c r="AG158" i="6" s="1"/>
  <c r="AH158" i="6"/>
  <c r="AI158" i="6" s="1"/>
  <c r="AF159" i="6"/>
  <c r="AG159" i="6" s="1"/>
  <c r="AH159" i="6"/>
  <c r="AI159" i="6" s="1"/>
  <c r="AF160" i="6"/>
  <c r="AG160" i="6" s="1"/>
  <c r="AH160" i="6"/>
  <c r="AI160" i="6" s="1"/>
  <c r="AF161" i="6"/>
  <c r="AG161" i="6" s="1"/>
  <c r="AH161" i="6"/>
  <c r="AI161" i="6" s="1"/>
  <c r="AF162" i="6"/>
  <c r="AG162" i="6" s="1"/>
  <c r="AH162" i="6"/>
  <c r="AI162" i="6" s="1"/>
  <c r="AF163" i="6"/>
  <c r="AG163" i="6" s="1"/>
  <c r="AH163" i="6"/>
  <c r="AI163" i="6" s="1"/>
  <c r="AF164" i="6"/>
  <c r="AG164" i="6" s="1"/>
  <c r="AH164" i="6"/>
  <c r="AI164" i="6"/>
  <c r="AF165" i="6"/>
  <c r="AG165" i="6" s="1"/>
  <c r="AH165" i="6"/>
  <c r="AI165" i="6" s="1"/>
  <c r="AF166" i="6"/>
  <c r="AG166" i="6" s="1"/>
  <c r="AH166" i="6"/>
  <c r="AI166" i="6" s="1"/>
  <c r="AF167" i="6"/>
  <c r="AG167" i="6" s="1"/>
  <c r="AH167" i="6"/>
  <c r="AI167" i="6"/>
  <c r="AF168" i="6"/>
  <c r="AG168" i="6" s="1"/>
  <c r="AH168" i="6"/>
  <c r="AI168" i="6" s="1"/>
  <c r="AF169" i="6"/>
  <c r="AG169" i="6" s="1"/>
  <c r="AH169" i="6"/>
  <c r="AI169" i="6" s="1"/>
  <c r="AF170" i="6"/>
  <c r="AG170" i="6" s="1"/>
  <c r="AH170" i="6"/>
  <c r="AI170" i="6" s="1"/>
  <c r="AF171" i="6"/>
  <c r="AG171" i="6" s="1"/>
  <c r="AH171" i="6"/>
  <c r="AI171" i="6" s="1"/>
  <c r="AF172" i="6"/>
  <c r="AG172" i="6" s="1"/>
  <c r="AH172" i="6"/>
  <c r="AI172" i="6" s="1"/>
  <c r="AF173" i="6"/>
  <c r="AG173" i="6" s="1"/>
  <c r="AH173" i="6"/>
  <c r="AI173" i="6" s="1"/>
  <c r="AF174" i="6"/>
  <c r="AG174" i="6" s="1"/>
  <c r="AH174" i="6"/>
  <c r="AI174" i="6" s="1"/>
  <c r="AF175" i="6"/>
  <c r="AG175" i="6" s="1"/>
  <c r="AH175" i="6"/>
  <c r="AI175" i="6" s="1"/>
  <c r="AF176" i="6"/>
  <c r="AG176" i="6" s="1"/>
  <c r="AH176" i="6"/>
  <c r="AI176" i="6" s="1"/>
  <c r="AF177" i="6"/>
  <c r="AG177" i="6" s="1"/>
  <c r="AH177" i="6"/>
  <c r="AI177" i="6" s="1"/>
  <c r="AF178" i="6"/>
  <c r="AG178" i="6" s="1"/>
  <c r="AH178" i="6"/>
  <c r="AI178" i="6" s="1"/>
  <c r="AF179" i="6"/>
  <c r="AG179" i="6" s="1"/>
  <c r="AH179" i="6"/>
  <c r="AI179" i="6" s="1"/>
  <c r="AF180" i="6"/>
  <c r="AG180" i="6" s="1"/>
  <c r="AH180" i="6"/>
  <c r="AI180" i="6" s="1"/>
  <c r="AF181" i="6"/>
  <c r="AG181" i="6" s="1"/>
  <c r="AH181" i="6"/>
  <c r="AI181" i="6" s="1"/>
  <c r="AF182" i="6"/>
  <c r="AG182" i="6" s="1"/>
  <c r="AH182" i="6"/>
  <c r="AI182" i="6" s="1"/>
  <c r="AF183" i="6"/>
  <c r="AG183" i="6" s="1"/>
  <c r="AH183" i="6"/>
  <c r="AI183" i="6" s="1"/>
  <c r="AF184" i="6"/>
  <c r="AG184" i="6" s="1"/>
  <c r="AH184" i="6"/>
  <c r="AI184" i="6" s="1"/>
  <c r="AF185" i="6"/>
  <c r="AG185" i="6" s="1"/>
  <c r="AH185" i="6"/>
  <c r="AI185" i="6" s="1"/>
  <c r="AF186" i="6"/>
  <c r="AG186" i="6" s="1"/>
  <c r="AH186" i="6"/>
  <c r="AI186" i="6" s="1"/>
  <c r="AF187" i="6"/>
  <c r="AG187" i="6" s="1"/>
  <c r="AH187" i="6"/>
  <c r="AI187" i="6" s="1"/>
  <c r="AF188" i="6"/>
  <c r="AG188" i="6" s="1"/>
  <c r="AH188" i="6"/>
  <c r="AI188" i="6"/>
  <c r="AF189" i="6"/>
  <c r="AG189" i="6" s="1"/>
  <c r="AH189" i="6"/>
  <c r="AI189" i="6" s="1"/>
  <c r="AF190" i="6"/>
  <c r="AG190" i="6" s="1"/>
  <c r="AH190" i="6"/>
  <c r="AI190" i="6" s="1"/>
  <c r="AF191" i="6"/>
  <c r="AG191" i="6" s="1"/>
  <c r="AH191" i="6"/>
  <c r="AI191" i="6"/>
  <c r="AF192" i="6"/>
  <c r="AG192" i="6" s="1"/>
  <c r="AH192" i="6"/>
  <c r="AI192" i="6" s="1"/>
  <c r="AF194" i="6"/>
  <c r="AG194" i="6" s="1"/>
  <c r="AH194" i="6"/>
  <c r="AI194" i="6" s="1"/>
  <c r="AF195" i="6"/>
  <c r="AG195" i="6" s="1"/>
  <c r="AH195" i="6"/>
  <c r="AI195" i="6" s="1"/>
  <c r="AF196" i="6"/>
  <c r="AG196" i="6" s="1"/>
  <c r="AH196" i="6"/>
  <c r="AI196" i="6"/>
  <c r="AF197" i="6"/>
  <c r="AG197" i="6" s="1"/>
  <c r="AH197" i="6"/>
  <c r="AI197" i="6" s="1"/>
  <c r="AF198" i="6"/>
  <c r="AG198" i="6" s="1"/>
  <c r="AH198" i="6"/>
  <c r="AI198" i="6" s="1"/>
  <c r="AF199" i="6"/>
  <c r="AG199" i="6" s="1"/>
  <c r="AH199" i="6"/>
  <c r="AI199" i="6" s="1"/>
  <c r="AF200" i="6"/>
  <c r="AG200" i="6" s="1"/>
  <c r="AH200" i="6"/>
  <c r="AI200" i="6" s="1"/>
  <c r="AF193" i="6"/>
  <c r="AG193" i="6" s="1"/>
  <c r="AH193" i="6"/>
  <c r="AI193" i="6" s="1"/>
  <c r="AF201" i="6"/>
  <c r="AG201" i="6" s="1"/>
  <c r="AH201" i="6"/>
  <c r="AI201" i="6" s="1"/>
  <c r="AF203" i="6"/>
  <c r="AG203" i="6" s="1"/>
  <c r="AH203" i="6"/>
  <c r="AI203" i="6" s="1"/>
  <c r="AF202" i="6"/>
  <c r="AG202" i="6" s="1"/>
  <c r="AH202" i="6"/>
  <c r="AI202" i="6" s="1"/>
  <c r="AF7" i="6"/>
  <c r="AG7" i="6" s="1"/>
  <c r="AH7" i="6"/>
  <c r="AI7" i="6" s="1"/>
  <c r="W161" i="6"/>
  <c r="W167" i="6"/>
  <c r="V187" i="6"/>
  <c r="P156" i="6"/>
  <c r="Q156" i="6" s="1"/>
  <c r="R156" i="6"/>
  <c r="S156" i="6" s="1"/>
  <c r="P157" i="6"/>
  <c r="V157" i="6" s="1"/>
  <c r="R157" i="6"/>
  <c r="W157" i="6" s="1"/>
  <c r="P158" i="6"/>
  <c r="Q158" i="6" s="1"/>
  <c r="R158" i="6"/>
  <c r="W158" i="6" s="1"/>
  <c r="P159" i="6"/>
  <c r="V159" i="6" s="1"/>
  <c r="Q159" i="6"/>
  <c r="R159" i="6"/>
  <c r="S159" i="6" s="1"/>
  <c r="P160" i="6"/>
  <c r="Q160" i="6" s="1"/>
  <c r="R160" i="6"/>
  <c r="W160" i="6" s="1"/>
  <c r="S160" i="6"/>
  <c r="P161" i="6"/>
  <c r="Q161" i="6" s="1"/>
  <c r="R161" i="6"/>
  <c r="S161" i="6" s="1"/>
  <c r="P162" i="6"/>
  <c r="Q162" i="6" s="1"/>
  <c r="R162" i="6"/>
  <c r="W162" i="6" s="1"/>
  <c r="P163" i="6"/>
  <c r="V163" i="6" s="1"/>
  <c r="R163" i="6"/>
  <c r="W163" i="6" s="1"/>
  <c r="P164" i="6"/>
  <c r="Q164" i="6" s="1"/>
  <c r="R164" i="6"/>
  <c r="W164" i="6" s="1"/>
  <c r="P165" i="6"/>
  <c r="V165" i="6" s="1"/>
  <c r="R165" i="6"/>
  <c r="S165" i="6" s="1"/>
  <c r="P166" i="6"/>
  <c r="Q166" i="6" s="1"/>
  <c r="R166" i="6"/>
  <c r="W166" i="6" s="1"/>
  <c r="P167" i="6"/>
  <c r="Q167" i="6" s="1"/>
  <c r="R167" i="6"/>
  <c r="S167" i="6" s="1"/>
  <c r="P168" i="6"/>
  <c r="Q168" i="6" s="1"/>
  <c r="R168" i="6"/>
  <c r="W168" i="6" s="1"/>
  <c r="P169" i="6"/>
  <c r="V169" i="6" s="1"/>
  <c r="R169" i="6"/>
  <c r="W169" i="6" s="1"/>
  <c r="P170" i="6"/>
  <c r="Q170" i="6" s="1"/>
  <c r="R170" i="6"/>
  <c r="S170" i="6" s="1"/>
  <c r="P171" i="6"/>
  <c r="Q171" i="6" s="1"/>
  <c r="R171" i="6"/>
  <c r="W171" i="6" s="1"/>
  <c r="S171" i="6"/>
  <c r="P172" i="6"/>
  <c r="Q172" i="6" s="1"/>
  <c r="R172" i="6"/>
  <c r="S172" i="6" s="1"/>
  <c r="P173" i="6"/>
  <c r="V173" i="6" s="1"/>
  <c r="R173" i="6"/>
  <c r="W173" i="6" s="1"/>
  <c r="P174" i="6"/>
  <c r="Q174" i="6" s="1"/>
  <c r="R174" i="6"/>
  <c r="W174" i="6" s="1"/>
  <c r="S174" i="6"/>
  <c r="P175" i="6"/>
  <c r="V175" i="6" s="1"/>
  <c r="R175" i="6"/>
  <c r="W175" i="6" s="1"/>
  <c r="S175" i="6"/>
  <c r="P176" i="6"/>
  <c r="Q176" i="6" s="1"/>
  <c r="R176" i="6"/>
  <c r="W176" i="6" s="1"/>
  <c r="P177" i="6"/>
  <c r="Q177" i="6" s="1"/>
  <c r="R177" i="6"/>
  <c r="S177" i="6" s="1"/>
  <c r="P178" i="6"/>
  <c r="Q178" i="6" s="1"/>
  <c r="R178" i="6"/>
  <c r="W178" i="6" s="1"/>
  <c r="S178" i="6"/>
  <c r="P179" i="6"/>
  <c r="V179" i="6" s="1"/>
  <c r="R179" i="6"/>
  <c r="S179" i="6" s="1"/>
  <c r="P180" i="6"/>
  <c r="Q180" i="6" s="1"/>
  <c r="R180" i="6"/>
  <c r="W180" i="6" s="1"/>
  <c r="P181" i="6"/>
  <c r="V181" i="6" s="1"/>
  <c r="R181" i="6"/>
  <c r="S181" i="6" s="1"/>
  <c r="P182" i="6"/>
  <c r="Q182" i="6" s="1"/>
  <c r="R182" i="6"/>
  <c r="W182" i="6" s="1"/>
  <c r="S182" i="6"/>
  <c r="P183" i="6"/>
  <c r="V183" i="6" s="1"/>
  <c r="R183" i="6"/>
  <c r="W183" i="6" s="1"/>
  <c r="P184" i="6"/>
  <c r="Q184" i="6" s="1"/>
  <c r="R184" i="6"/>
  <c r="W184" i="6" s="1"/>
  <c r="P185" i="6"/>
  <c r="V185" i="6" s="1"/>
  <c r="R185" i="6"/>
  <c r="W185" i="6" s="1"/>
  <c r="S185" i="6"/>
  <c r="P186" i="6"/>
  <c r="Q186" i="6" s="1"/>
  <c r="R186" i="6"/>
  <c r="S186" i="6" s="1"/>
  <c r="P187" i="6"/>
  <c r="Q187" i="6" s="1"/>
  <c r="R187" i="6"/>
  <c r="S187" i="6" s="1"/>
  <c r="P188" i="6"/>
  <c r="Q188" i="6" s="1"/>
  <c r="R188" i="6"/>
  <c r="S188" i="6" s="1"/>
  <c r="P189" i="6"/>
  <c r="V189" i="6" s="1"/>
  <c r="R189" i="6"/>
  <c r="W189" i="6" s="1"/>
  <c r="P190" i="6"/>
  <c r="Q190" i="6" s="1"/>
  <c r="R190" i="6"/>
  <c r="W190" i="6" s="1"/>
  <c r="P191" i="6"/>
  <c r="Q191" i="6" s="1"/>
  <c r="R191" i="6"/>
  <c r="S191" i="6" s="1"/>
  <c r="P192" i="6"/>
  <c r="Q192" i="6" s="1"/>
  <c r="R192" i="6"/>
  <c r="W192" i="6" s="1"/>
  <c r="P194" i="6"/>
  <c r="Q194" i="6" s="1"/>
  <c r="R194" i="6"/>
  <c r="S194" i="6" s="1"/>
  <c r="P195" i="6"/>
  <c r="Q195" i="6" s="1"/>
  <c r="R195" i="6"/>
  <c r="W195" i="6" s="1"/>
  <c r="P196" i="6"/>
  <c r="V196" i="6" s="1"/>
  <c r="Q196" i="6"/>
  <c r="R196" i="6"/>
  <c r="S196" i="6" s="1"/>
  <c r="P197" i="6"/>
  <c r="Q197" i="6" s="1"/>
  <c r="R197" i="6"/>
  <c r="W197" i="6" s="1"/>
  <c r="P198" i="6"/>
  <c r="V198" i="6" s="1"/>
  <c r="R198" i="6"/>
  <c r="S198" i="6" s="1"/>
  <c r="P199" i="6"/>
  <c r="Q199" i="6" s="1"/>
  <c r="R199" i="6"/>
  <c r="W199" i="6" s="1"/>
  <c r="P200" i="6"/>
  <c r="Q200" i="6" s="1"/>
  <c r="R200" i="6"/>
  <c r="W200" i="6" s="1"/>
  <c r="P193" i="6"/>
  <c r="Q193" i="6" s="1"/>
  <c r="R193" i="6"/>
  <c r="W193" i="6" s="1"/>
  <c r="P201" i="6"/>
  <c r="V201" i="6" s="1"/>
  <c r="R201" i="6"/>
  <c r="W201" i="6" s="1"/>
  <c r="S201" i="6"/>
  <c r="P203" i="6"/>
  <c r="Q203" i="6" s="1"/>
  <c r="R203" i="6"/>
  <c r="S203" i="6" s="1"/>
  <c r="P202" i="6"/>
  <c r="V202" i="6" s="1"/>
  <c r="Q202" i="6"/>
  <c r="R202" i="6"/>
  <c r="W202" i="6" s="1"/>
  <c r="P7" i="6"/>
  <c r="Q7" i="6" s="1"/>
  <c r="R7" i="6"/>
  <c r="S7" i="6" s="1"/>
  <c r="AZ200" i="6" l="1"/>
  <c r="Q175" i="6"/>
  <c r="AZ175" i="6" s="1"/>
  <c r="V171" i="6"/>
  <c r="S195" i="6"/>
  <c r="S163" i="6"/>
  <c r="BA191" i="6"/>
  <c r="S202" i="6"/>
  <c r="Q198" i="6"/>
  <c r="AZ198" i="6" s="1"/>
  <c r="S166" i="6"/>
  <c r="BA166" i="6" s="1"/>
  <c r="W191" i="6"/>
  <c r="Q163" i="6"/>
  <c r="AZ163" i="6" s="1"/>
  <c r="V191" i="6"/>
  <c r="V167" i="6"/>
  <c r="W196" i="6"/>
  <c r="BA159" i="6"/>
  <c r="W159" i="6"/>
  <c r="BA163" i="6"/>
  <c r="W179" i="6"/>
  <c r="S200" i="6"/>
  <c r="Q183" i="6"/>
  <c r="AZ183" i="6" s="1"/>
  <c r="S176" i="6"/>
  <c r="BA167" i="6"/>
  <c r="S158" i="6"/>
  <c r="BA158" i="6" s="1"/>
  <c r="W203" i="6"/>
  <c r="BA202" i="6"/>
  <c r="W187" i="6"/>
  <c r="BA187" i="6"/>
  <c r="W177" i="6"/>
  <c r="AZ187" i="6"/>
  <c r="BA175" i="6"/>
  <c r="AZ167" i="6"/>
  <c r="AZ159" i="6"/>
  <c r="AZ199" i="6"/>
  <c r="AZ166" i="6"/>
  <c r="AZ161" i="6"/>
  <c r="S199" i="6"/>
  <c r="BA196" i="6"/>
  <c r="S192" i="6"/>
  <c r="BA192" i="6" s="1"/>
  <c r="S183" i="6"/>
  <c r="BA183" i="6" s="1"/>
  <c r="Q181" i="6"/>
  <c r="AZ181" i="6" s="1"/>
  <c r="S169" i="6"/>
  <c r="BA169" i="6" s="1"/>
  <c r="W194" i="6"/>
  <c r="W170" i="6"/>
  <c r="AZ196" i="6"/>
  <c r="BA179" i="6"/>
  <c r="AZ171" i="6"/>
  <c r="AZ191" i="6"/>
  <c r="Q179" i="6"/>
  <c r="AZ179" i="6" s="1"/>
  <c r="Q165" i="6"/>
  <c r="AZ165" i="6" s="1"/>
  <c r="S162" i="6"/>
  <c r="BA162" i="6" s="1"/>
  <c r="W186" i="6"/>
  <c r="BA171" i="6"/>
  <c r="AZ202" i="6"/>
  <c r="BA200" i="6"/>
  <c r="V200" i="6"/>
  <c r="S190" i="6"/>
  <c r="BA190" i="6" s="1"/>
  <c r="AZ194" i="6"/>
  <c r="AZ177" i="6"/>
  <c r="BA203" i="6"/>
  <c r="BA199" i="6"/>
  <c r="BA195" i="6"/>
  <c r="BA186" i="6"/>
  <c r="BA182" i="6"/>
  <c r="BA178" i="6"/>
  <c r="BA174" i="6"/>
  <c r="BA170" i="6"/>
  <c r="Q201" i="6"/>
  <c r="AZ201" i="6" s="1"/>
  <c r="S197" i="6"/>
  <c r="BA197" i="6" s="1"/>
  <c r="S189" i="6"/>
  <c r="BA189" i="6" s="1"/>
  <c r="Q185" i="6"/>
  <c r="AZ185" i="6" s="1"/>
  <c r="S180" i="6"/>
  <c r="S173" i="6"/>
  <c r="Q169" i="6"/>
  <c r="AZ169" i="6" s="1"/>
  <c r="S164" i="6"/>
  <c r="BA164" i="6" s="1"/>
  <c r="S157" i="6"/>
  <c r="BA157" i="6" s="1"/>
  <c r="V203" i="6"/>
  <c r="V199" i="6"/>
  <c r="V195" i="6"/>
  <c r="V190" i="6"/>
  <c r="V186" i="6"/>
  <c r="V182" i="6"/>
  <c r="V178" i="6"/>
  <c r="V174" i="6"/>
  <c r="V170" i="6"/>
  <c r="V166" i="6"/>
  <c r="V162" i="6"/>
  <c r="V158" i="6"/>
  <c r="AZ7" i="6"/>
  <c r="AZ193" i="6"/>
  <c r="AZ197" i="6"/>
  <c r="AZ192" i="6"/>
  <c r="AZ188" i="6"/>
  <c r="AZ184" i="6"/>
  <c r="AZ180" i="6"/>
  <c r="AZ176" i="6"/>
  <c r="AZ172" i="6"/>
  <c r="AZ168" i="6"/>
  <c r="AZ164" i="6"/>
  <c r="AZ160" i="6"/>
  <c r="AZ156" i="6"/>
  <c r="BA7" i="6"/>
  <c r="BA188" i="6"/>
  <c r="BA180" i="6"/>
  <c r="BA172" i="6"/>
  <c r="W198" i="6"/>
  <c r="AZ190" i="6"/>
  <c r="AZ174" i="6"/>
  <c r="AZ170" i="6"/>
  <c r="AZ162" i="6"/>
  <c r="S193" i="6"/>
  <c r="Q189" i="6"/>
  <c r="AZ189" i="6" s="1"/>
  <c r="S184" i="6"/>
  <c r="Q173" i="6"/>
  <c r="AZ173" i="6" s="1"/>
  <c r="S168" i="6"/>
  <c r="BA168" i="6" s="1"/>
  <c r="Q157" i="6"/>
  <c r="AZ157" i="6" s="1"/>
  <c r="V194" i="6"/>
  <c r="V177" i="6"/>
  <c r="V161" i="6"/>
  <c r="BA193" i="6"/>
  <c r="BA176" i="6"/>
  <c r="BA160" i="6"/>
  <c r="W181" i="6"/>
  <c r="W165" i="6"/>
  <c r="AZ203" i="6"/>
  <c r="W7" i="6"/>
  <c r="W188" i="6"/>
  <c r="W172" i="6"/>
  <c r="W156" i="6"/>
  <c r="BA201" i="6"/>
  <c r="BA198" i="6"/>
  <c r="BA194" i="6"/>
  <c r="BA185" i="6"/>
  <c r="BA181" i="6"/>
  <c r="BA177" i="6"/>
  <c r="BA173" i="6"/>
  <c r="BA165" i="6"/>
  <c r="BA161" i="6"/>
  <c r="BA184" i="6"/>
  <c r="BA156" i="6"/>
  <c r="AZ195" i="6"/>
  <c r="AZ186" i="6"/>
  <c r="AZ178" i="6"/>
  <c r="AZ158" i="6"/>
  <c r="V7" i="6"/>
  <c r="V193" i="6"/>
  <c r="V197" i="6"/>
  <c r="V192" i="6"/>
  <c r="V188" i="6"/>
  <c r="V184" i="6"/>
  <c r="V180" i="6"/>
  <c r="V176" i="6"/>
  <c r="V172" i="6"/>
  <c r="V168" i="6"/>
  <c r="V164" i="6"/>
  <c r="V160" i="6"/>
  <c r="V156" i="6"/>
  <c r="AV207" i="6" l="1"/>
  <c r="AW207" i="6" s="1"/>
  <c r="AX207" i="6"/>
  <c r="AY207" i="6" s="1"/>
  <c r="AL207" i="6"/>
  <c r="AM207" i="6"/>
  <c r="AF207" i="6"/>
  <c r="AG207" i="6" s="1"/>
  <c r="AH207" i="6"/>
  <c r="AI207" i="6" s="1"/>
  <c r="P207" i="6"/>
  <c r="Q207" i="6" s="1"/>
  <c r="R207" i="6"/>
  <c r="W207" i="6" s="1"/>
  <c r="S207" i="6" l="1"/>
  <c r="BA207" i="6" s="1"/>
  <c r="AZ207" i="6"/>
  <c r="V207" i="6"/>
  <c r="AC621" i="6"/>
  <c r="O621" i="6"/>
  <c r="I620" i="6"/>
  <c r="Y619" i="6"/>
  <c r="M619" i="6"/>
  <c r="AE628" i="6"/>
  <c r="AE621" i="6" s="1"/>
  <c r="AC628" i="6"/>
  <c r="AA628" i="6"/>
  <c r="Y628" i="6"/>
  <c r="AH628" i="6" s="1"/>
  <c r="AI628" i="6" s="1"/>
  <c r="U628" i="6"/>
  <c r="O628" i="6"/>
  <c r="M628" i="6"/>
  <c r="K628" i="6"/>
  <c r="I628" i="6"/>
  <c r="AE627" i="6"/>
  <c r="AC627" i="6"/>
  <c r="AA627" i="6"/>
  <c r="Y627" i="6"/>
  <c r="U627" i="6"/>
  <c r="O627" i="6"/>
  <c r="M627" i="6"/>
  <c r="K627" i="6"/>
  <c r="K619" i="6" s="1"/>
  <c r="I627" i="6"/>
  <c r="AE626" i="6"/>
  <c r="AC626" i="6"/>
  <c r="AA626" i="6"/>
  <c r="AA621" i="6" s="1"/>
  <c r="Y626" i="6"/>
  <c r="U626" i="6"/>
  <c r="O626" i="6"/>
  <c r="M626" i="6"/>
  <c r="M621" i="6" s="1"/>
  <c r="K626" i="6"/>
  <c r="K621" i="6" s="1"/>
  <c r="I626" i="6"/>
  <c r="AE625" i="6"/>
  <c r="AE620" i="6" s="1"/>
  <c r="AC625" i="6"/>
  <c r="AC620" i="6" s="1"/>
  <c r="AA625" i="6"/>
  <c r="AA620" i="6" s="1"/>
  <c r="Y625" i="6"/>
  <c r="AH625" i="6" s="1"/>
  <c r="AI625" i="6" s="1"/>
  <c r="U625" i="6"/>
  <c r="W625" i="6" s="1"/>
  <c r="O625" i="6"/>
  <c r="M625" i="6"/>
  <c r="K625" i="6"/>
  <c r="I625" i="6"/>
  <c r="R625" i="6" s="1"/>
  <c r="S625" i="6" s="1"/>
  <c r="AE624" i="6"/>
  <c r="AC624" i="6"/>
  <c r="AA624" i="6"/>
  <c r="Y624" i="6"/>
  <c r="AH624" i="6" s="1"/>
  <c r="AI624" i="6" s="1"/>
  <c r="U624" i="6"/>
  <c r="O624" i="6"/>
  <c r="O620" i="6" s="1"/>
  <c r="M624" i="6"/>
  <c r="M620" i="6" s="1"/>
  <c r="K624" i="6"/>
  <c r="K620" i="6" s="1"/>
  <c r="I624" i="6"/>
  <c r="AE623" i="6"/>
  <c r="AE619" i="6" s="1"/>
  <c r="AC623" i="6"/>
  <c r="AC619" i="6" s="1"/>
  <c r="AA623" i="6"/>
  <c r="AA619" i="6" s="1"/>
  <c r="Y623" i="6"/>
  <c r="U623" i="6"/>
  <c r="O623" i="6"/>
  <c r="M623" i="6"/>
  <c r="K623" i="6"/>
  <c r="I623" i="6"/>
  <c r="AH619" i="6" l="1"/>
  <c r="AI619" i="6" s="1"/>
  <c r="R623" i="6"/>
  <c r="S623" i="6" s="1"/>
  <c r="BA623" i="6" s="1"/>
  <c r="AH626" i="6"/>
  <c r="AI626" i="6" s="1"/>
  <c r="R620" i="6"/>
  <c r="S620" i="6" s="1"/>
  <c r="R624" i="6"/>
  <c r="S624" i="6" s="1"/>
  <c r="BA624" i="6" s="1"/>
  <c r="AH627" i="6"/>
  <c r="AI627" i="6" s="1"/>
  <c r="W628" i="6"/>
  <c r="BA625" i="6"/>
  <c r="R626" i="6"/>
  <c r="S626" i="6" s="1"/>
  <c r="W623" i="6"/>
  <c r="R627" i="6"/>
  <c r="S627" i="6" s="1"/>
  <c r="BA627" i="6" s="1"/>
  <c r="AH623" i="6"/>
  <c r="AI623" i="6" s="1"/>
  <c r="W624" i="6"/>
  <c r="R628" i="6"/>
  <c r="S628" i="6" s="1"/>
  <c r="BA628" i="6" s="1"/>
  <c r="U620" i="6"/>
  <c r="W620" i="6" s="1"/>
  <c r="Y620" i="6"/>
  <c r="AH620" i="6" s="1"/>
  <c r="AI620" i="6" s="1"/>
  <c r="U621" i="6"/>
  <c r="U619" i="6"/>
  <c r="W619" i="6" s="1"/>
  <c r="I621" i="6"/>
  <c r="R621" i="6" s="1"/>
  <c r="S621" i="6" s="1"/>
  <c r="BA621" i="6" s="1"/>
  <c r="O619" i="6"/>
  <c r="I619" i="6"/>
  <c r="R619" i="6" s="1"/>
  <c r="S619" i="6" s="1"/>
  <c r="Y621" i="6"/>
  <c r="AH621" i="6" s="1"/>
  <c r="AI621" i="6" s="1"/>
  <c r="W627" i="6" l="1"/>
  <c r="W621" i="6"/>
  <c r="BA626" i="6"/>
  <c r="W626" i="6"/>
  <c r="BA619" i="6"/>
  <c r="BA620" i="6"/>
  <c r="O152" i="6"/>
  <c r="R152" i="6" s="1"/>
  <c r="K150" i="6"/>
  <c r="R150" i="6" s="1"/>
  <c r="K149" i="6"/>
  <c r="R149" i="6" s="1"/>
  <c r="K148" i="6"/>
  <c r="R148" i="6" s="1"/>
  <c r="K146" i="6"/>
  <c r="R146" i="6" s="1"/>
  <c r="K145" i="6"/>
  <c r="R145" i="6" s="1"/>
  <c r="K142" i="6"/>
  <c r="R142" i="6" s="1"/>
  <c r="K141" i="6"/>
  <c r="R141" i="6" s="1"/>
  <c r="O138" i="6"/>
  <c r="M138" i="6"/>
  <c r="K138" i="6"/>
  <c r="R138" i="6" s="1"/>
  <c r="O134" i="6"/>
  <c r="M134" i="6"/>
  <c r="K134" i="6"/>
  <c r="R134" i="6" s="1"/>
  <c r="O137" i="6"/>
  <c r="M137" i="6"/>
  <c r="K137" i="6"/>
  <c r="O136" i="6"/>
  <c r="M136" i="6"/>
  <c r="K136" i="6"/>
  <c r="R136" i="6" s="1"/>
  <c r="O135" i="6"/>
  <c r="M135" i="6"/>
  <c r="K135" i="6"/>
  <c r="O130" i="6"/>
  <c r="M130" i="6"/>
  <c r="K130" i="6"/>
  <c r="O133" i="6"/>
  <c r="M133" i="6"/>
  <c r="K133" i="6"/>
  <c r="R133" i="6" s="1"/>
  <c r="O132" i="6"/>
  <c r="M132" i="6"/>
  <c r="K132" i="6"/>
  <c r="O131" i="6"/>
  <c r="M131" i="6"/>
  <c r="K131" i="6"/>
  <c r="R131" i="6" s="1"/>
  <c r="O129" i="6"/>
  <c r="M129" i="6"/>
  <c r="K129" i="6"/>
  <c r="R129" i="6" s="1"/>
  <c r="O128" i="6"/>
  <c r="M128" i="6"/>
  <c r="K128" i="6"/>
  <c r="O127" i="6"/>
  <c r="M127" i="6"/>
  <c r="K127" i="6"/>
  <c r="R127" i="6" s="1"/>
  <c r="O126" i="6"/>
  <c r="M126" i="6"/>
  <c r="K126" i="6"/>
  <c r="O125" i="6"/>
  <c r="M125" i="6"/>
  <c r="K125" i="6"/>
  <c r="O124" i="6"/>
  <c r="M124" i="6"/>
  <c r="K124" i="6"/>
  <c r="R124" i="6" s="1"/>
  <c r="W124" i="6" s="1"/>
  <c r="O123" i="6"/>
  <c r="M123" i="6"/>
  <c r="K123" i="6"/>
  <c r="O122" i="6"/>
  <c r="M122" i="6"/>
  <c r="K122" i="6"/>
  <c r="R122" i="6" s="1"/>
  <c r="W122" i="6" l="1"/>
  <c r="S122" i="6"/>
  <c r="BA122" i="6" s="1"/>
  <c r="R125" i="6"/>
  <c r="W125" i="6" s="1"/>
  <c r="R130" i="6"/>
  <c r="S130" i="6" s="1"/>
  <c r="BA130" i="6" s="1"/>
  <c r="W129" i="6"/>
  <c r="S129" i="6"/>
  <c r="BA129" i="6" s="1"/>
  <c r="W134" i="6"/>
  <c r="S134" i="6"/>
  <c r="BA134" i="6" s="1"/>
  <c r="S146" i="6"/>
  <c r="BA146" i="6" s="1"/>
  <c r="W146" i="6"/>
  <c r="W127" i="6"/>
  <c r="S127" i="6"/>
  <c r="BA127" i="6" s="1"/>
  <c r="W136" i="6"/>
  <c r="S136" i="6"/>
  <c r="BA136" i="6" s="1"/>
  <c r="S131" i="6"/>
  <c r="BA131" i="6" s="1"/>
  <c r="W131" i="6"/>
  <c r="S149" i="6"/>
  <c r="BA149" i="6" s="1"/>
  <c r="W149" i="6"/>
  <c r="S125" i="6"/>
  <c r="BA125" i="6" s="1"/>
  <c r="R123" i="6"/>
  <c r="W123" i="6" s="1"/>
  <c r="R132" i="6"/>
  <c r="W141" i="6"/>
  <c r="S141" i="6"/>
  <c r="BA141" i="6" s="1"/>
  <c r="R126" i="6"/>
  <c r="W126" i="6" s="1"/>
  <c r="R135" i="6"/>
  <c r="S142" i="6"/>
  <c r="BA142" i="6" s="1"/>
  <c r="W142" i="6"/>
  <c r="W145" i="6"/>
  <c r="S145" i="6"/>
  <c r="BA145" i="6" s="1"/>
  <c r="S124" i="6"/>
  <c r="BA124" i="6" s="1"/>
  <c r="W133" i="6"/>
  <c r="S133" i="6"/>
  <c r="BA133" i="6" s="1"/>
  <c r="S148" i="6"/>
  <c r="BA148" i="6" s="1"/>
  <c r="W148" i="6"/>
  <c r="S138" i="6"/>
  <c r="BA138" i="6" s="1"/>
  <c r="W138" i="6"/>
  <c r="W130" i="6"/>
  <c r="W150" i="6"/>
  <c r="S150" i="6"/>
  <c r="BA150" i="6" s="1"/>
  <c r="R128" i="6"/>
  <c r="R137" i="6"/>
  <c r="S152" i="6"/>
  <c r="BA152" i="6" s="1"/>
  <c r="W152" i="6"/>
  <c r="AX206" i="6"/>
  <c r="AY206" i="6" s="1"/>
  <c r="AV206" i="6"/>
  <c r="AW206" i="6" s="1"/>
  <c r="AM206" i="6"/>
  <c r="AL206" i="6"/>
  <c r="AH206" i="6"/>
  <c r="AI206" i="6" s="1"/>
  <c r="AF206" i="6"/>
  <c r="AG206" i="6" s="1"/>
  <c r="R206" i="6"/>
  <c r="S206" i="6" s="1"/>
  <c r="P206" i="6"/>
  <c r="Q206" i="6" s="1"/>
  <c r="AV204" i="6"/>
  <c r="AW204" i="6" s="1"/>
  <c r="AX204" i="6"/>
  <c r="AY204" i="6" s="1"/>
  <c r="AL204" i="6"/>
  <c r="AM204" i="6"/>
  <c r="AF204" i="6"/>
  <c r="AG204" i="6" s="1"/>
  <c r="AH204" i="6"/>
  <c r="AI204" i="6"/>
  <c r="P204" i="6"/>
  <c r="V204" i="6" s="1"/>
  <c r="R204" i="6"/>
  <c r="W204" i="6" s="1"/>
  <c r="S204" i="6"/>
  <c r="AM205" i="6"/>
  <c r="AL205" i="6"/>
  <c r="AH205" i="6"/>
  <c r="AI205" i="6" s="1"/>
  <c r="AF205" i="6"/>
  <c r="AG205" i="6" s="1"/>
  <c r="W205" i="6"/>
  <c r="AZ206" i="6" l="1"/>
  <c r="W135" i="6"/>
  <c r="S135" i="6"/>
  <c r="BA135" i="6" s="1"/>
  <c r="BA204" i="6"/>
  <c r="W128" i="6"/>
  <c r="S128" i="6"/>
  <c r="BA128" i="6" s="1"/>
  <c r="S123" i="6"/>
  <c r="BA123" i="6" s="1"/>
  <c r="V205" i="6"/>
  <c r="Q204" i="6"/>
  <c r="AZ204" i="6" s="1"/>
  <c r="S126" i="6"/>
  <c r="BA126" i="6" s="1"/>
  <c r="S137" i="6"/>
  <c r="BA137" i="6" s="1"/>
  <c r="W137" i="6"/>
  <c r="W132" i="6"/>
  <c r="S132" i="6"/>
  <c r="BA132" i="6" s="1"/>
  <c r="V206" i="6"/>
  <c r="BA206" i="6"/>
  <c r="W206" i="6"/>
  <c r="AZ205" i="6"/>
  <c r="BA205" i="6"/>
  <c r="AV155" i="6" l="1"/>
  <c r="AW155" i="6" s="1"/>
  <c r="AX155" i="6"/>
  <c r="AY155" i="6" s="1"/>
  <c r="AL155" i="6"/>
  <c r="AM155" i="6"/>
  <c r="AF155" i="6"/>
  <c r="AG155" i="6" s="1"/>
  <c r="AH155" i="6"/>
  <c r="AI155" i="6" s="1"/>
  <c r="P155" i="6"/>
  <c r="Q155" i="6" s="1"/>
  <c r="R155" i="6"/>
  <c r="S155" i="6" s="1"/>
  <c r="W155" i="6" l="1"/>
  <c r="V155" i="6"/>
  <c r="BA155" i="6"/>
  <c r="AZ155" i="6"/>
  <c r="D227" i="14"/>
  <c r="D231" i="14"/>
  <c r="D235" i="14"/>
  <c r="D222" i="14"/>
  <c r="D230" i="14"/>
  <c r="D228" i="14"/>
  <c r="D225" i="14"/>
  <c r="D226" i="14"/>
  <c r="D237" i="14"/>
  <c r="D232" i="14"/>
  <c r="D229" i="14"/>
  <c r="D233" i="14"/>
  <c r="D224" i="14"/>
  <c r="D234" i="14"/>
  <c r="D238" i="14"/>
  <c r="D239" i="14"/>
  <c r="D236" i="14"/>
  <c r="M13" i="21"/>
  <c r="W207" i="14" l="1"/>
  <c r="U207" i="14"/>
  <c r="S207" i="14"/>
  <c r="AE9" i="14" l="1"/>
  <c r="AC9" i="14"/>
  <c r="AA9" i="14"/>
  <c r="Y9" i="14"/>
  <c r="W9" i="14"/>
  <c r="U9" i="14"/>
  <c r="S9" i="14"/>
  <c r="W191" i="14" l="1"/>
  <c r="U191" i="14"/>
  <c r="S191" i="14"/>
  <c r="S161" i="14"/>
  <c r="U161" i="14"/>
  <c r="W161" i="14"/>
  <c r="Y161" i="14"/>
  <c r="AA161" i="14"/>
  <c r="V22" i="14"/>
  <c r="V208" i="14"/>
  <c r="V23" i="14"/>
  <c r="V29" i="14"/>
  <c r="Z29" i="14"/>
  <c r="V195" i="14"/>
  <c r="V204" i="14"/>
  <c r="V201" i="14"/>
  <c r="V13" i="14"/>
  <c r="I13" i="14"/>
  <c r="V18" i="14"/>
  <c r="V24" i="14"/>
  <c r="V211" i="14"/>
  <c r="V209" i="14"/>
  <c r="AB29" i="14"/>
  <c r="M29" i="14"/>
  <c r="V193" i="14"/>
  <c r="V21" i="14"/>
  <c r="V12" i="14"/>
  <c r="V17" i="14"/>
  <c r="V199" i="14"/>
  <c r="V206" i="14"/>
  <c r="V28" i="14"/>
  <c r="V196" i="14"/>
  <c r="V19" i="14"/>
  <c r="V16" i="14"/>
  <c r="V200" i="14"/>
  <c r="V27" i="14"/>
  <c r="V194" i="14"/>
  <c r="V198" i="14"/>
  <c r="V11" i="14"/>
  <c r="V210" i="14"/>
  <c r="V203" i="14"/>
  <c r="V14" i="14"/>
  <c r="V205" i="14"/>
  <c r="V26" i="14"/>
  <c r="H9" i="14"/>
  <c r="T106" i="14"/>
  <c r="X106" i="14"/>
  <c r="J9" i="14"/>
  <c r="AJ183" i="9"/>
  <c r="Y106" i="14"/>
  <c r="D9" i="14"/>
  <c r="N9" i="14"/>
  <c r="R106" i="14"/>
  <c r="F9" i="14"/>
  <c r="U106" i="14"/>
  <c r="S106" i="14"/>
  <c r="AJ171" i="9"/>
  <c r="W106" i="14"/>
  <c r="B9" i="14"/>
  <c r="AJ170" i="9"/>
  <c r="V106" i="14"/>
  <c r="L9" i="14"/>
  <c r="AJ182" i="9"/>
  <c r="S224" i="14"/>
  <c r="I137" i="21"/>
  <c r="I118" i="21"/>
  <c r="I150" i="21"/>
  <c r="I139" i="21"/>
  <c r="I100" i="21"/>
  <c r="I103" i="21"/>
  <c r="I117" i="21"/>
  <c r="I130" i="21"/>
  <c r="I133" i="21"/>
  <c r="I134" i="21"/>
  <c r="I114" i="21"/>
  <c r="I138" i="21"/>
  <c r="I149" i="21"/>
  <c r="I147" i="21"/>
  <c r="I142" i="21"/>
  <c r="I132" i="21"/>
  <c r="I119" i="21"/>
  <c r="I148" i="21"/>
  <c r="I110" i="21"/>
  <c r="I105" i="21"/>
  <c r="I135" i="21"/>
  <c r="I102" i="21"/>
  <c r="I104" i="21"/>
  <c r="I120" i="21"/>
  <c r="I109" i="21"/>
  <c r="I115" i="21"/>
  <c r="I112" i="21"/>
  <c r="I144" i="21"/>
  <c r="I140" i="21"/>
  <c r="I145" i="21"/>
  <c r="I113" i="21"/>
  <c r="I143" i="21"/>
  <c r="I108" i="21"/>
  <c r="I107" i="21"/>
  <c r="F190" i="21" l="1"/>
  <c r="AC29" i="14"/>
  <c r="F204" i="21"/>
  <c r="F208" i="21"/>
  <c r="F202" i="21"/>
  <c r="F210" i="21"/>
  <c r="F209" i="21"/>
  <c r="F207" i="21"/>
  <c r="F192" i="21"/>
  <c r="F200" i="21"/>
  <c r="F194" i="21"/>
  <c r="F205" i="21"/>
  <c r="F203" i="21"/>
  <c r="F198" i="21"/>
  <c r="F193" i="21"/>
  <c r="F199" i="21"/>
  <c r="F195" i="21"/>
  <c r="F197" i="21"/>
  <c r="G210" i="14"/>
  <c r="G195" i="14"/>
  <c r="G209" i="14"/>
  <c r="G200" i="14"/>
  <c r="G205" i="14"/>
  <c r="G211" i="14"/>
  <c r="G208" i="14"/>
  <c r="G203" i="14"/>
  <c r="G206" i="14"/>
  <c r="G196" i="14"/>
  <c r="G193" i="14"/>
  <c r="G194" i="14"/>
  <c r="G199" i="14"/>
  <c r="G198" i="14"/>
  <c r="G204" i="14"/>
  <c r="G201" i="14"/>
  <c r="Y116" i="14"/>
  <c r="X138" i="14"/>
  <c r="X139" i="14"/>
  <c r="Y120" i="14"/>
  <c r="Y104" i="14"/>
  <c r="Y111" i="14"/>
  <c r="X134" i="14"/>
  <c r="X148" i="14"/>
  <c r="Y110" i="14"/>
  <c r="X144" i="14"/>
  <c r="X146" i="14"/>
  <c r="Y121" i="14"/>
  <c r="Y114" i="14"/>
  <c r="X140" i="14"/>
  <c r="Y115" i="14"/>
  <c r="X150" i="14"/>
  <c r="Y119" i="14"/>
  <c r="X151" i="14"/>
  <c r="Y103" i="14"/>
  <c r="X149" i="14"/>
  <c r="Y118" i="14"/>
  <c r="X143" i="14"/>
  <c r="X131" i="14"/>
  <c r="X136" i="14"/>
  <c r="X145" i="14"/>
  <c r="X141" i="14"/>
  <c r="Y108" i="14"/>
  <c r="Y101" i="14"/>
  <c r="Y109" i="14"/>
  <c r="X133" i="14"/>
  <c r="Y113" i="14"/>
  <c r="Y105" i="14"/>
  <c r="X135" i="14"/>
  <c r="W201" i="14" l="1"/>
  <c r="W209" i="14"/>
  <c r="W196" i="14"/>
  <c r="W193" i="14"/>
  <c r="W208" i="14"/>
  <c r="W199" i="14"/>
  <c r="W210" i="14"/>
  <c r="W194" i="14"/>
  <c r="W204" i="14"/>
  <c r="W206" i="14"/>
  <c r="W198" i="14"/>
  <c r="W200" i="14"/>
  <c r="W203" i="14"/>
  <c r="W195" i="14"/>
  <c r="W211" i="14"/>
  <c r="W205" i="14"/>
  <c r="W1" i="6" l="1"/>
  <c r="V1" i="6" l="1"/>
  <c r="AO179" i="14" l="1"/>
  <c r="AH179" i="14"/>
  <c r="AD179" i="14"/>
  <c r="AK179" i="14"/>
  <c r="AO180" i="14"/>
  <c r="AH180" i="14"/>
  <c r="AG170" i="9"/>
  <c r="AH170" i="9"/>
  <c r="AH171" i="9"/>
  <c r="AI183" i="9"/>
  <c r="AI182" i="9"/>
  <c r="AG171" i="9"/>
  <c r="AI171" i="9"/>
  <c r="AI170" i="9"/>
  <c r="AK170" i="9" l="1"/>
  <c r="AK171" i="9"/>
  <c r="AN179" i="14"/>
  <c r="AG179" i="14"/>
  <c r="AK182" i="9"/>
  <c r="AL179" i="14"/>
  <c r="AF179" i="14"/>
  <c r="AK183" i="9"/>
  <c r="AE179" i="14"/>
  <c r="AM179" i="14"/>
  <c r="AO161" i="14"/>
  <c r="AX1" i="6" l="1"/>
  <c r="AY1" i="6" s="1"/>
  <c r="AV1" i="6"/>
  <c r="AW1" i="6" s="1"/>
  <c r="AM1" i="6"/>
  <c r="AL1" i="6"/>
  <c r="AH1" i="6"/>
  <c r="AI1" i="6" s="1"/>
  <c r="AF1" i="6"/>
  <c r="AG1" i="6" s="1"/>
  <c r="R1" i="6"/>
  <c r="P1" i="6"/>
  <c r="Q1" i="6" s="1"/>
  <c r="AZ1" i="6" l="1"/>
  <c r="S1" i="6"/>
  <c r="BA1" i="6" s="1"/>
  <c r="AB223" i="14" l="1"/>
  <c r="AL208" i="14" l="1"/>
  <c r="AL199" i="14"/>
  <c r="AL211" i="14"/>
  <c r="AL209" i="14"/>
  <c r="AL193" i="14"/>
  <c r="AL200" i="14"/>
  <c r="AL210" i="14"/>
  <c r="AL205" i="14"/>
  <c r="AL201" i="14"/>
  <c r="AL194" i="14"/>
  <c r="AL203" i="14"/>
  <c r="AL204" i="14"/>
  <c r="AL196" i="14"/>
  <c r="AL195" i="14"/>
  <c r="AL198" i="14"/>
  <c r="AL206" i="14"/>
  <c r="R204" i="14"/>
  <c r="AB19" i="14"/>
  <c r="Z179" i="14"/>
  <c r="G178" i="14"/>
  <c r="I165" i="14"/>
  <c r="AD11" i="14"/>
  <c r="T171" i="14"/>
  <c r="I163" i="14"/>
  <c r="Z18" i="14"/>
  <c r="V176" i="14"/>
  <c r="O22" i="14"/>
  <c r="V181" i="14"/>
  <c r="Z24" i="14"/>
  <c r="T12" i="14"/>
  <c r="C16" i="14"/>
  <c r="T23" i="14"/>
  <c r="K168" i="14"/>
  <c r="C194" i="14"/>
  <c r="E166" i="14"/>
  <c r="G175" i="14"/>
  <c r="T179" i="14"/>
  <c r="X14" i="14"/>
  <c r="X181" i="14"/>
  <c r="C206" i="14"/>
  <c r="C198" i="14"/>
  <c r="O19" i="14"/>
  <c r="T194" i="14"/>
  <c r="R208" i="14"/>
  <c r="G166" i="14"/>
  <c r="E174" i="14"/>
  <c r="R198" i="14"/>
  <c r="C173" i="14"/>
  <c r="X24" i="14"/>
  <c r="O24" i="14"/>
  <c r="M18" i="14"/>
  <c r="T18" i="14"/>
  <c r="E164" i="14"/>
  <c r="K169" i="14"/>
  <c r="Z19" i="14"/>
  <c r="AB16" i="14"/>
  <c r="V169" i="14"/>
  <c r="R168" i="14"/>
  <c r="E16" i="14"/>
  <c r="E175" i="14"/>
  <c r="I168" i="14"/>
  <c r="G176" i="14"/>
  <c r="T168" i="14"/>
  <c r="E195" i="14"/>
  <c r="AB26" i="14"/>
  <c r="V180" i="14"/>
  <c r="R164" i="14"/>
  <c r="O17" i="14"/>
  <c r="I170" i="14"/>
  <c r="Z16" i="14"/>
  <c r="C196" i="14"/>
  <c r="R181" i="14"/>
  <c r="Z21" i="14"/>
  <c r="C18" i="14"/>
  <c r="Z174" i="14"/>
  <c r="C193" i="14"/>
  <c r="G29" i="14"/>
  <c r="R165" i="14"/>
  <c r="R195" i="14"/>
  <c r="T28" i="14"/>
  <c r="C26" i="14"/>
  <c r="T16" i="14"/>
  <c r="K12" i="14"/>
  <c r="R17" i="14"/>
  <c r="Z26" i="14"/>
  <c r="K180" i="14"/>
  <c r="E194" i="14"/>
  <c r="K165" i="14"/>
  <c r="E209" i="14"/>
  <c r="X19" i="14"/>
  <c r="G163" i="14"/>
  <c r="X176" i="14"/>
  <c r="Z170" i="14"/>
  <c r="T203" i="14"/>
  <c r="Z12" i="14"/>
  <c r="E163" i="14"/>
  <c r="X163" i="14"/>
  <c r="O16" i="14"/>
  <c r="R16" i="14"/>
  <c r="AD24" i="14"/>
  <c r="O23" i="14"/>
  <c r="T180" i="14"/>
  <c r="R24" i="14"/>
  <c r="O27" i="14"/>
  <c r="M11" i="14"/>
  <c r="AB14" i="14"/>
  <c r="R27" i="14"/>
  <c r="T181" i="14"/>
  <c r="I23" i="14"/>
  <c r="E170" i="14"/>
  <c r="Z11" i="14"/>
  <c r="E169" i="14"/>
  <c r="C171" i="14"/>
  <c r="R169" i="14"/>
  <c r="M12" i="14"/>
  <c r="E17" i="14"/>
  <c r="R22" i="14"/>
  <c r="AB27" i="14"/>
  <c r="T198" i="14"/>
  <c r="AD16" i="14"/>
  <c r="G168" i="14"/>
  <c r="E176" i="14"/>
  <c r="Z17" i="14"/>
  <c r="I174" i="14"/>
  <c r="I166" i="14"/>
  <c r="I28" i="14"/>
  <c r="E18" i="14"/>
  <c r="X23" i="14"/>
  <c r="T27" i="14"/>
  <c r="C195" i="14"/>
  <c r="T166" i="14"/>
  <c r="O13" i="14"/>
  <c r="R200" i="14"/>
  <c r="C13" i="14"/>
  <c r="K173" i="14"/>
  <c r="AD18" i="14"/>
  <c r="K16" i="14"/>
  <c r="AD28" i="14"/>
  <c r="R201" i="14"/>
  <c r="AD17" i="14"/>
  <c r="E27" i="14"/>
  <c r="Z27" i="14"/>
  <c r="M22" i="14"/>
  <c r="I29" i="14"/>
  <c r="AD22" i="14"/>
  <c r="V165" i="14"/>
  <c r="K11" i="14"/>
  <c r="AD27" i="14"/>
  <c r="R174" i="14"/>
  <c r="T193" i="14"/>
  <c r="V163" i="14"/>
  <c r="M23" i="14"/>
  <c r="Z14" i="14"/>
  <c r="R206" i="14"/>
  <c r="AD29" i="14"/>
  <c r="T173" i="14"/>
  <c r="I171" i="14"/>
  <c r="G18" i="14"/>
  <c r="Z23" i="14"/>
  <c r="R205" i="14"/>
  <c r="R203" i="14"/>
  <c r="E28" i="14"/>
  <c r="C175" i="14"/>
  <c r="E168" i="14"/>
  <c r="Z163" i="14"/>
  <c r="T14" i="14"/>
  <c r="AD12" i="14"/>
  <c r="X165" i="14"/>
  <c r="R171" i="14"/>
  <c r="R211" i="14"/>
  <c r="G13" i="14"/>
  <c r="I14" i="14"/>
  <c r="G24" i="14"/>
  <c r="X18" i="14"/>
  <c r="I169" i="14"/>
  <c r="K26" i="14"/>
  <c r="T19" i="14"/>
  <c r="C29" i="14"/>
  <c r="R196" i="14"/>
  <c r="E179" i="14"/>
  <c r="AB23" i="14"/>
  <c r="K166" i="14"/>
  <c r="T201" i="14"/>
  <c r="I26" i="14"/>
  <c r="T175" i="14"/>
  <c r="I11" i="14"/>
  <c r="C179" i="14"/>
  <c r="T164" i="14"/>
  <c r="V168" i="14"/>
  <c r="K19" i="14"/>
  <c r="E165" i="14"/>
  <c r="X166" i="14"/>
  <c r="E193" i="14"/>
  <c r="E24" i="14"/>
  <c r="O26" i="14"/>
  <c r="X180" i="14"/>
  <c r="E14" i="14"/>
  <c r="AB28" i="14"/>
  <c r="E181" i="14"/>
  <c r="R12" i="14"/>
  <c r="G165" i="14"/>
  <c r="M24" i="14"/>
  <c r="X26" i="14"/>
  <c r="T209" i="14"/>
  <c r="C176" i="14"/>
  <c r="X168" i="14"/>
  <c r="C164" i="14"/>
  <c r="T17" i="14"/>
  <c r="E12" i="14"/>
  <c r="C208" i="14"/>
  <c r="Z165" i="14"/>
  <c r="C204" i="14"/>
  <c r="X178" i="14"/>
  <c r="V179" i="14"/>
  <c r="C201" i="14"/>
  <c r="C23" i="14"/>
  <c r="AB12" i="14"/>
  <c r="O18" i="14"/>
  <c r="I173" i="14"/>
  <c r="Z168" i="14"/>
  <c r="O14" i="14"/>
  <c r="C178" i="14"/>
  <c r="C199" i="14"/>
  <c r="T208" i="14"/>
  <c r="V175" i="14"/>
  <c r="I19" i="14"/>
  <c r="X173" i="14"/>
  <c r="X174" i="14"/>
  <c r="G180" i="14"/>
  <c r="E13" i="14"/>
  <c r="T170" i="14"/>
  <c r="X17" i="14"/>
  <c r="X28" i="14"/>
  <c r="R210" i="14"/>
  <c r="E203" i="14"/>
  <c r="G179" i="14"/>
  <c r="K29" i="14"/>
  <c r="X21" i="14"/>
  <c r="I27" i="14"/>
  <c r="T163" i="14"/>
  <c r="E26" i="14"/>
  <c r="I181" i="14"/>
  <c r="K17" i="14"/>
  <c r="Z175" i="14"/>
  <c r="V166" i="14"/>
  <c r="Z13" i="14"/>
  <c r="I21" i="14"/>
  <c r="Z164" i="14"/>
  <c r="Z181" i="14"/>
  <c r="T206" i="14"/>
  <c r="C14" i="14"/>
  <c r="I178" i="14"/>
  <c r="I176" i="14"/>
  <c r="K27" i="14"/>
  <c r="K170" i="14"/>
  <c r="K23" i="14"/>
  <c r="AB22" i="14"/>
  <c r="O29" i="14"/>
  <c r="Z176" i="14"/>
  <c r="X29" i="14"/>
  <c r="X169" i="14"/>
  <c r="X175" i="14"/>
  <c r="K171" i="14"/>
  <c r="V170" i="14"/>
  <c r="T204" i="14"/>
  <c r="I12" i="14"/>
  <c r="E200" i="14"/>
  <c r="AB18" i="14"/>
  <c r="T26" i="14"/>
  <c r="I16" i="14"/>
  <c r="C170" i="14"/>
  <c r="Z166" i="14"/>
  <c r="E211" i="14"/>
  <c r="X179" i="14"/>
  <c r="I17" i="14"/>
  <c r="R14" i="14"/>
  <c r="K22" i="14"/>
  <c r="C168" i="14"/>
  <c r="G19" i="14"/>
  <c r="T165" i="14"/>
  <c r="T174" i="14"/>
  <c r="E11" i="14"/>
  <c r="M16" i="14"/>
  <c r="K14" i="14"/>
  <c r="C180" i="14"/>
  <c r="C200" i="14"/>
  <c r="E196" i="14"/>
  <c r="V178" i="14"/>
  <c r="R166" i="14"/>
  <c r="I24" i="14"/>
  <c r="C203" i="14"/>
  <c r="T178" i="14"/>
  <c r="M27" i="14"/>
  <c r="Z169" i="14"/>
  <c r="K178" i="14"/>
  <c r="E204" i="14"/>
  <c r="T211" i="14"/>
  <c r="X12" i="14"/>
  <c r="K175" i="14"/>
  <c r="V164" i="14"/>
  <c r="X13" i="14"/>
  <c r="Z22" i="14"/>
  <c r="I175" i="14"/>
  <c r="T210" i="14"/>
  <c r="G174" i="14"/>
  <c r="M19" i="14"/>
  <c r="C166" i="14"/>
  <c r="T29" i="14"/>
  <c r="K181" i="14"/>
  <c r="Z178" i="14"/>
  <c r="R11" i="14"/>
  <c r="C209" i="14"/>
  <c r="T21" i="14"/>
  <c r="AB11" i="14"/>
  <c r="C169" i="14"/>
  <c r="AD19" i="14"/>
  <c r="X22" i="14"/>
  <c r="M17" i="14"/>
  <c r="I179" i="14"/>
  <c r="T205" i="14"/>
  <c r="K176" i="14"/>
  <c r="C12" i="14"/>
  <c r="G27" i="14"/>
  <c r="R179" i="14"/>
  <c r="E210" i="14"/>
  <c r="C17" i="14"/>
  <c r="O11" i="14"/>
  <c r="G14" i="14"/>
  <c r="I164" i="14"/>
  <c r="R199" i="14"/>
  <c r="T200" i="14"/>
  <c r="E206" i="14"/>
  <c r="G173" i="14"/>
  <c r="R209" i="14"/>
  <c r="V174" i="14"/>
  <c r="G22" i="14"/>
  <c r="G169" i="14"/>
  <c r="E22" i="14"/>
  <c r="C11" i="14"/>
  <c r="AD14" i="14"/>
  <c r="G170" i="14"/>
  <c r="X11" i="14"/>
  <c r="C27" i="14"/>
  <c r="M13" i="14"/>
  <c r="E205" i="14"/>
  <c r="G23" i="14"/>
  <c r="X170" i="14"/>
  <c r="AD26" i="14"/>
  <c r="K179" i="14"/>
  <c r="M21" i="14"/>
  <c r="E199" i="14"/>
  <c r="C24" i="14"/>
  <c r="E173" i="14"/>
  <c r="X27" i="14"/>
  <c r="K13" i="14"/>
  <c r="G21" i="14"/>
  <c r="R28" i="14"/>
  <c r="C174" i="14"/>
  <c r="M28" i="14"/>
  <c r="R176" i="14"/>
  <c r="K28" i="14"/>
  <c r="K174" i="14"/>
  <c r="T196" i="14"/>
  <c r="X171" i="14"/>
  <c r="AB13" i="14"/>
  <c r="M14" i="14"/>
  <c r="G11" i="14"/>
  <c r="R193" i="14"/>
  <c r="AD23" i="14"/>
  <c r="R19" i="14"/>
  <c r="E180" i="14"/>
  <c r="X164" i="14"/>
  <c r="C28" i="14"/>
  <c r="Z180" i="14"/>
  <c r="R194" i="14"/>
  <c r="K21" i="14"/>
  <c r="Z28" i="14"/>
  <c r="O21" i="14"/>
  <c r="M26" i="14"/>
  <c r="R163" i="14"/>
  <c r="X16" i="14"/>
  <c r="I22" i="14"/>
  <c r="T11" i="14"/>
  <c r="T24" i="14"/>
  <c r="T169" i="14"/>
  <c r="AB17" i="14"/>
  <c r="T195" i="14"/>
  <c r="G17" i="14"/>
  <c r="R21" i="14"/>
  <c r="T22" i="14"/>
  <c r="G171" i="14"/>
  <c r="C19" i="14"/>
  <c r="V171" i="14"/>
  <c r="E208" i="14"/>
  <c r="E201" i="14"/>
  <c r="C163" i="14"/>
  <c r="O12" i="14"/>
  <c r="G16" i="14"/>
  <c r="E29" i="14"/>
  <c r="E198" i="14"/>
  <c r="R173" i="14"/>
  <c r="T199" i="14"/>
  <c r="K24" i="14"/>
  <c r="R180" i="14"/>
  <c r="T176" i="14"/>
  <c r="Z173" i="14"/>
  <c r="AB21" i="14"/>
  <c r="R29" i="14"/>
  <c r="C181" i="14"/>
  <c r="G26" i="14"/>
  <c r="V173" i="14"/>
  <c r="E21" i="14"/>
  <c r="C205" i="14"/>
  <c r="AD13" i="14"/>
  <c r="K164" i="14"/>
  <c r="C165" i="14"/>
  <c r="G164" i="14"/>
  <c r="K163" i="14"/>
  <c r="C211" i="14"/>
  <c r="R23" i="14"/>
  <c r="R175" i="14"/>
  <c r="R13" i="14"/>
  <c r="E178" i="14"/>
  <c r="G28" i="14"/>
  <c r="C21" i="14"/>
  <c r="G181" i="14"/>
  <c r="Z171" i="14"/>
  <c r="AB24" i="14"/>
  <c r="I18" i="14"/>
  <c r="E171" i="14"/>
  <c r="I180" i="14"/>
  <c r="O28" i="14"/>
  <c r="K18" i="14"/>
  <c r="E19" i="14"/>
  <c r="R170" i="14"/>
  <c r="R26" i="14"/>
  <c r="G12" i="14"/>
  <c r="AD21" i="14"/>
  <c r="C22" i="14"/>
  <c r="C210" i="14"/>
  <c r="R18" i="14"/>
  <c r="T13" i="14"/>
  <c r="R178" i="14"/>
  <c r="I11" i="21"/>
  <c r="I29" i="21"/>
  <c r="K179" i="21"/>
  <c r="O23" i="21"/>
  <c r="E194" i="21"/>
  <c r="K12" i="21"/>
  <c r="E205" i="21"/>
  <c r="E172" i="21"/>
  <c r="G12" i="21"/>
  <c r="C195" i="21"/>
  <c r="G14" i="21"/>
  <c r="G209" i="21"/>
  <c r="G178" i="21"/>
  <c r="G210" i="21"/>
  <c r="I165" i="21"/>
  <c r="I167" i="21"/>
  <c r="E16" i="21"/>
  <c r="O16" i="21"/>
  <c r="C197" i="21"/>
  <c r="E165" i="21"/>
  <c r="M17" i="21"/>
  <c r="K172" i="21"/>
  <c r="G11" i="21"/>
  <c r="G202" i="21"/>
  <c r="E169" i="21"/>
  <c r="G26" i="21"/>
  <c r="I19" i="21"/>
  <c r="G169" i="21"/>
  <c r="O13" i="21"/>
  <c r="O17" i="21"/>
  <c r="C172" i="21"/>
  <c r="I21" i="21"/>
  <c r="C29" i="21"/>
  <c r="E180" i="21"/>
  <c r="G173" i="21"/>
  <c r="I22" i="21"/>
  <c r="E168" i="21"/>
  <c r="E199" i="21"/>
  <c r="I17" i="21"/>
  <c r="O22" i="21"/>
  <c r="C179" i="21"/>
  <c r="O11" i="21"/>
  <c r="O21" i="21"/>
  <c r="M24" i="21"/>
  <c r="C13" i="21"/>
  <c r="G21" i="21"/>
  <c r="E195" i="21"/>
  <c r="E163" i="21"/>
  <c r="G164" i="21"/>
  <c r="C12" i="21"/>
  <c r="K14" i="21"/>
  <c r="K163" i="21"/>
  <c r="G27" i="21"/>
  <c r="O12" i="21"/>
  <c r="E177" i="21"/>
  <c r="C199" i="21"/>
  <c r="C207" i="21"/>
  <c r="K177" i="21"/>
  <c r="I18" i="21"/>
  <c r="G197" i="21"/>
  <c r="E17" i="21"/>
  <c r="K29" i="21"/>
  <c r="C16" i="21"/>
  <c r="C203" i="21"/>
  <c r="G195" i="21"/>
  <c r="E21" i="21"/>
  <c r="C204" i="21"/>
  <c r="I26" i="21"/>
  <c r="I164" i="21"/>
  <c r="G194" i="21"/>
  <c r="C194" i="21"/>
  <c r="K23" i="21"/>
  <c r="K167" i="21"/>
  <c r="O14" i="21"/>
  <c r="C18" i="21"/>
  <c r="C209" i="21"/>
  <c r="E207" i="21"/>
  <c r="C24" i="21"/>
  <c r="E24" i="21"/>
  <c r="C169" i="21"/>
  <c r="K26" i="21"/>
  <c r="E19" i="21"/>
  <c r="G175" i="21"/>
  <c r="M26" i="21"/>
  <c r="M14" i="21"/>
  <c r="K27" i="21"/>
  <c r="G13" i="21"/>
  <c r="G193" i="21"/>
  <c r="M19" i="21"/>
  <c r="C200" i="21"/>
  <c r="G205" i="21"/>
  <c r="O28" i="21"/>
  <c r="K22" i="21"/>
  <c r="I169" i="21"/>
  <c r="K28" i="21"/>
  <c r="E208" i="21"/>
  <c r="G163" i="21"/>
  <c r="E12" i="21"/>
  <c r="C26" i="21"/>
  <c r="G22" i="21"/>
  <c r="E167" i="21"/>
  <c r="M21" i="21"/>
  <c r="C205" i="21"/>
  <c r="C27" i="21"/>
  <c r="G203" i="21"/>
  <c r="G204" i="21"/>
  <c r="E164" i="21"/>
  <c r="E178" i="21"/>
  <c r="G198" i="21"/>
  <c r="I175" i="21"/>
  <c r="C170" i="21"/>
  <c r="G29" i="21"/>
  <c r="E27" i="21"/>
  <c r="K162" i="21"/>
  <c r="O27" i="21"/>
  <c r="K19" i="21"/>
  <c r="M11" i="21"/>
  <c r="E173" i="21"/>
  <c r="G16" i="21"/>
  <c r="E28" i="21"/>
  <c r="E13" i="21"/>
  <c r="G180" i="21"/>
  <c r="K16" i="21"/>
  <c r="C175" i="21"/>
  <c r="C14" i="21"/>
  <c r="M28" i="21"/>
  <c r="E200" i="21"/>
  <c r="E26" i="21"/>
  <c r="G162" i="21"/>
  <c r="O24" i="21"/>
  <c r="I179" i="21"/>
  <c r="C167" i="21"/>
  <c r="E204" i="21"/>
  <c r="I23" i="21"/>
  <c r="G19" i="21"/>
  <c r="C19" i="21"/>
  <c r="G167" i="21"/>
  <c r="I12" i="21"/>
  <c r="I170" i="21"/>
  <c r="G23" i="21"/>
  <c r="C28" i="21"/>
  <c r="I24" i="21"/>
  <c r="C168" i="21"/>
  <c r="C193" i="21"/>
  <c r="C165" i="21"/>
  <c r="C210" i="21"/>
  <c r="E193" i="21"/>
  <c r="E202" i="21"/>
  <c r="O29" i="21"/>
  <c r="K21" i="21"/>
  <c r="I162" i="21"/>
  <c r="K180" i="21"/>
  <c r="I174" i="21"/>
  <c r="C198" i="21"/>
  <c r="G170" i="21"/>
  <c r="K169" i="21"/>
  <c r="G200" i="21"/>
  <c r="M27" i="21"/>
  <c r="E170" i="21"/>
  <c r="K18" i="21"/>
  <c r="I168" i="21"/>
  <c r="C21" i="21"/>
  <c r="K24" i="21"/>
  <c r="C180" i="21"/>
  <c r="G17" i="21"/>
  <c r="K170" i="21"/>
  <c r="E14" i="21"/>
  <c r="M16" i="21"/>
  <c r="E18" i="21"/>
  <c r="I14" i="21"/>
  <c r="G174" i="21"/>
  <c r="C174" i="21"/>
  <c r="C202" i="21"/>
  <c r="G24" i="21"/>
  <c r="I178" i="21"/>
  <c r="G208" i="21"/>
  <c r="K165" i="21"/>
  <c r="I177" i="21"/>
  <c r="I173" i="21"/>
  <c r="G179" i="21"/>
  <c r="G177" i="21"/>
  <c r="K17" i="21"/>
  <c r="C163" i="21"/>
  <c r="E210" i="21"/>
  <c r="M23" i="21"/>
  <c r="E175" i="21"/>
  <c r="E22" i="21"/>
  <c r="E179" i="21"/>
  <c r="C192" i="21"/>
  <c r="E29" i="21"/>
  <c r="G18" i="21"/>
  <c r="C162" i="21"/>
  <c r="G192" i="21"/>
  <c r="I16" i="21"/>
  <c r="C23" i="21"/>
  <c r="O18" i="21"/>
  <c r="M22" i="21"/>
  <c r="E174" i="21"/>
  <c r="M18" i="21"/>
  <c r="C178" i="21"/>
  <c r="M12" i="21"/>
  <c r="E197" i="21"/>
  <c r="K178" i="21"/>
  <c r="C22" i="21"/>
  <c r="E162" i="21"/>
  <c r="I180" i="21"/>
  <c r="G207" i="21"/>
  <c r="O19" i="21"/>
  <c r="E198" i="21"/>
  <c r="K13" i="21"/>
  <c r="G165" i="21"/>
  <c r="C177" i="21"/>
  <c r="E209" i="21"/>
  <c r="K168" i="21"/>
  <c r="G28" i="21"/>
  <c r="C173" i="21"/>
  <c r="K174" i="21"/>
  <c r="I172" i="21"/>
  <c r="E11" i="21"/>
  <c r="K164" i="21"/>
  <c r="E192" i="21"/>
  <c r="K175" i="21"/>
  <c r="I163" i="21"/>
  <c r="G172" i="21"/>
  <c r="E203" i="21"/>
  <c r="C17" i="21"/>
  <c r="K173" i="21"/>
  <c r="I27" i="21"/>
  <c r="G199" i="21"/>
  <c r="I28" i="21"/>
  <c r="G168" i="21"/>
  <c r="C11" i="21"/>
  <c r="C164" i="21"/>
  <c r="O26" i="21"/>
  <c r="K11" i="21"/>
  <c r="C208" i="21"/>
  <c r="Y178" i="14" l="1"/>
  <c r="W180" i="14"/>
  <c r="S206" i="14"/>
  <c r="S168" i="14"/>
  <c r="S210" i="14"/>
  <c r="AA166" i="14"/>
  <c r="S170" i="14"/>
  <c r="S201" i="14"/>
  <c r="U205" i="14"/>
  <c r="Y174" i="14"/>
  <c r="AA173" i="14"/>
  <c r="AA174" i="14"/>
  <c r="AA170" i="14"/>
  <c r="Y163" i="14"/>
  <c r="U200" i="14"/>
  <c r="W174" i="14"/>
  <c r="U176" i="14"/>
  <c r="Y169" i="14"/>
  <c r="AA169" i="14"/>
  <c r="AA168" i="14"/>
  <c r="S196" i="14"/>
  <c r="Y170" i="14"/>
  <c r="U195" i="14"/>
  <c r="U175" i="14"/>
  <c r="S193" i="14"/>
  <c r="U180" i="14"/>
  <c r="Y164" i="14"/>
  <c r="W164" i="14"/>
  <c r="W181" i="14"/>
  <c r="U169" i="14"/>
  <c r="AA179" i="14"/>
  <c r="U181" i="14"/>
  <c r="W165" i="14"/>
  <c r="U211" i="14"/>
  <c r="U174" i="14"/>
  <c r="U208" i="14"/>
  <c r="AA176" i="14"/>
  <c r="W170" i="14"/>
  <c r="U163" i="14"/>
  <c r="AA180" i="14"/>
  <c r="U209" i="14"/>
  <c r="U199" i="14"/>
  <c r="U210" i="14"/>
  <c r="W168" i="14"/>
  <c r="U201" i="14"/>
  <c r="S175" i="14"/>
  <c r="U165" i="14"/>
  <c r="U179" i="14"/>
  <c r="AA163" i="14"/>
  <c r="U178" i="14"/>
  <c r="Y168" i="14"/>
  <c r="U204" i="14"/>
  <c r="U168" i="14"/>
  <c r="U198" i="14"/>
  <c r="W178" i="14"/>
  <c r="S176" i="14"/>
  <c r="S173" i="14"/>
  <c r="S211" i="14"/>
  <c r="W175" i="14"/>
  <c r="S181" i="14"/>
  <c r="S198" i="14"/>
  <c r="S180" i="14"/>
  <c r="Y181" i="14"/>
  <c r="Y180" i="14"/>
  <c r="Y176" i="14"/>
  <c r="Y179" i="14"/>
  <c r="U193" i="14"/>
  <c r="S199" i="14"/>
  <c r="S195" i="14"/>
  <c r="S166" i="14"/>
  <c r="U196" i="14"/>
  <c r="U206" i="14"/>
  <c r="U173" i="14"/>
  <c r="Y166" i="14"/>
  <c r="S200" i="14"/>
  <c r="W179" i="14"/>
  <c r="S178" i="14"/>
  <c r="U164" i="14"/>
  <c r="Y175" i="14"/>
  <c r="W176" i="14"/>
  <c r="U194" i="14"/>
  <c r="W163" i="14"/>
  <c r="S163" i="14"/>
  <c r="U170" i="14"/>
  <c r="AA181" i="14"/>
  <c r="S209" i="14"/>
  <c r="S171" i="14"/>
  <c r="S208" i="14"/>
  <c r="AA164" i="14"/>
  <c r="AA171" i="14"/>
  <c r="S179" i="14"/>
  <c r="S169" i="14"/>
  <c r="W171" i="14"/>
  <c r="W166" i="14"/>
  <c r="Y165" i="14"/>
  <c r="U171" i="14"/>
  <c r="AA175" i="14"/>
  <c r="AA165" i="14"/>
  <c r="Y173" i="14"/>
  <c r="S165" i="14"/>
  <c r="Y171" i="14"/>
  <c r="S205" i="14"/>
  <c r="S203" i="14"/>
  <c r="U166" i="14"/>
  <c r="AA178" i="14"/>
  <c r="S164" i="14"/>
  <c r="S174" i="14"/>
  <c r="W173" i="14"/>
  <c r="W169" i="14"/>
  <c r="S194" i="14"/>
  <c r="S204" i="14"/>
  <c r="U203" i="14"/>
  <c r="AE27" i="14"/>
  <c r="U27" i="14"/>
  <c r="U14" i="14"/>
  <c r="U26" i="14"/>
  <c r="U24" i="14"/>
  <c r="U18" i="14"/>
  <c r="U16" i="14"/>
  <c r="AC13" i="14"/>
  <c r="W12" i="14"/>
  <c r="AC24" i="14"/>
  <c r="S11" i="14"/>
  <c r="S16" i="14"/>
  <c r="U12" i="14"/>
  <c r="W17" i="14"/>
  <c r="S26" i="14"/>
  <c r="AA29" i="14"/>
  <c r="AE21" i="14"/>
  <c r="S17" i="14"/>
  <c r="AE18" i="14"/>
  <c r="W19" i="14"/>
  <c r="AA19" i="14"/>
  <c r="AC22" i="14"/>
  <c r="Y17" i="14"/>
  <c r="AA28" i="14"/>
  <c r="Y28" i="14"/>
  <c r="W23" i="14"/>
  <c r="AA12" i="14"/>
  <c r="AA13" i="14"/>
  <c r="AC27" i="14"/>
  <c r="AE17" i="14"/>
  <c r="AE26" i="14"/>
  <c r="AA23" i="14"/>
  <c r="S14" i="14"/>
  <c r="AA18" i="14"/>
  <c r="AA26" i="14"/>
  <c r="AC19" i="14"/>
  <c r="AC12" i="14"/>
  <c r="S23" i="14"/>
  <c r="W24" i="14"/>
  <c r="Y12" i="14"/>
  <c r="AA17" i="14"/>
  <c r="Y19" i="14"/>
  <c r="W13" i="14"/>
  <c r="Y22" i="14"/>
  <c r="AE12" i="14"/>
  <c r="Y18" i="14"/>
  <c r="S19" i="14"/>
  <c r="AE19" i="14"/>
  <c r="AC21" i="14"/>
  <c r="S27" i="14"/>
  <c r="Y26" i="14"/>
  <c r="W22" i="14"/>
  <c r="U21" i="14"/>
  <c r="U13" i="14"/>
  <c r="W21" i="14"/>
  <c r="U17" i="14"/>
  <c r="S28" i="14"/>
  <c r="AA14" i="14"/>
  <c r="S24" i="14"/>
  <c r="U23" i="14"/>
  <c r="Y27" i="14"/>
  <c r="W29" i="14"/>
  <c r="AE11" i="14"/>
  <c r="U28" i="14"/>
  <c r="U11" i="14"/>
  <c r="W11" i="14"/>
  <c r="AA22" i="14"/>
  <c r="Y23" i="14"/>
  <c r="AC14" i="14"/>
  <c r="AE14" i="14"/>
  <c r="W28" i="14"/>
  <c r="U29" i="14"/>
  <c r="W27" i="14"/>
  <c r="Y11" i="14"/>
  <c r="S12" i="14"/>
  <c r="AC18" i="14"/>
  <c r="AA21" i="14"/>
  <c r="Y24" i="14"/>
  <c r="S29" i="14"/>
  <c r="AC23" i="14"/>
  <c r="Y21" i="14"/>
  <c r="AA24" i="14"/>
  <c r="S13" i="14"/>
  <c r="AE13" i="14"/>
  <c r="AC28" i="14"/>
  <c r="S18" i="14"/>
  <c r="AC16" i="14"/>
  <c r="AA16" i="14"/>
  <c r="AE24" i="14"/>
  <c r="AC17" i="14"/>
  <c r="AC11" i="14"/>
  <c r="S22" i="14"/>
  <c r="Y29" i="14"/>
  <c r="AA27" i="14"/>
  <c r="W18" i="14"/>
  <c r="AE16" i="14"/>
  <c r="W14" i="14"/>
  <c r="Y14" i="14"/>
  <c r="AE23" i="14"/>
  <c r="Y13" i="14"/>
  <c r="AC26" i="14"/>
  <c r="W16" i="14"/>
  <c r="U19" i="14"/>
  <c r="U22" i="14"/>
  <c r="AE28" i="14"/>
  <c r="AE29" i="14"/>
  <c r="W26" i="14"/>
  <c r="AA11" i="14"/>
  <c r="AE22" i="14"/>
  <c r="Y16" i="14"/>
  <c r="S21" i="14"/>
  <c r="W224" i="14"/>
  <c r="AA224" i="14"/>
  <c r="AH161" i="14"/>
  <c r="AL191" i="14"/>
  <c r="B149" i="14"/>
  <c r="E109" i="14"/>
  <c r="I119" i="14"/>
  <c r="V131" i="14"/>
  <c r="V114" i="14"/>
  <c r="T104" i="14"/>
  <c r="S237" i="14"/>
  <c r="C101" i="14"/>
  <c r="J11" i="14"/>
  <c r="R90" i="14"/>
  <c r="B27" i="14"/>
  <c r="G106" i="14"/>
  <c r="E104" i="14"/>
  <c r="R239" i="14"/>
  <c r="H18" i="14"/>
  <c r="D113" i="14"/>
  <c r="C145" i="14"/>
  <c r="X111" i="14"/>
  <c r="S141" i="14"/>
  <c r="G135" i="14"/>
  <c r="R103" i="14"/>
  <c r="V72" i="14"/>
  <c r="X109" i="14"/>
  <c r="C135" i="14"/>
  <c r="V78" i="14"/>
  <c r="B113" i="14"/>
  <c r="R74" i="14"/>
  <c r="F111" i="14"/>
  <c r="T234" i="14"/>
  <c r="B43" i="14"/>
  <c r="G49" i="14"/>
  <c r="U120" i="14"/>
  <c r="R114" i="14"/>
  <c r="S104" i="14"/>
  <c r="F234" i="14"/>
  <c r="G148" i="14"/>
  <c r="G119" i="14"/>
  <c r="R78" i="14"/>
  <c r="V120" i="14"/>
  <c r="B19" i="14"/>
  <c r="B135" i="14"/>
  <c r="E135" i="14"/>
  <c r="H39" i="14"/>
  <c r="E138" i="14"/>
  <c r="B23" i="14"/>
  <c r="B58" i="14"/>
  <c r="N27" i="14"/>
  <c r="D115" i="14"/>
  <c r="N22" i="14"/>
  <c r="J18" i="14"/>
  <c r="T121" i="14"/>
  <c r="Q148" i="14"/>
  <c r="T85" i="14"/>
  <c r="F27" i="14"/>
  <c r="U145" i="14"/>
  <c r="V111" i="14"/>
  <c r="G134" i="14"/>
  <c r="B151" i="14"/>
  <c r="G105" i="14"/>
  <c r="T116" i="14"/>
  <c r="F148" i="14"/>
  <c r="W88" i="14"/>
  <c r="U110" i="14"/>
  <c r="B120" i="14"/>
  <c r="U87" i="14"/>
  <c r="Q146" i="14"/>
  <c r="Q90" i="14"/>
  <c r="D120" i="14"/>
  <c r="C49" i="14"/>
  <c r="H49" i="14"/>
  <c r="G139" i="14"/>
  <c r="U75" i="14"/>
  <c r="I143" i="14"/>
  <c r="D136" i="14"/>
  <c r="H44" i="14"/>
  <c r="G118" i="14"/>
  <c r="Q141" i="14"/>
  <c r="F227" i="14"/>
  <c r="I109" i="14"/>
  <c r="T72" i="14"/>
  <c r="W108" i="14"/>
  <c r="G109" i="14"/>
  <c r="E41" i="14"/>
  <c r="T77" i="14"/>
  <c r="S226" i="14"/>
  <c r="F139" i="14"/>
  <c r="W144" i="14"/>
  <c r="Q144" i="14"/>
  <c r="N26" i="14"/>
  <c r="S114" i="14"/>
  <c r="J28" i="14"/>
  <c r="R234" i="14"/>
  <c r="E56" i="14"/>
  <c r="J22" i="14"/>
  <c r="G103" i="14"/>
  <c r="V89" i="14"/>
  <c r="T236" i="14"/>
  <c r="B150" i="14"/>
  <c r="B116" i="14"/>
  <c r="B104" i="14"/>
  <c r="F59" i="14"/>
  <c r="S87" i="14"/>
  <c r="R105" i="14"/>
  <c r="V105" i="14"/>
  <c r="D119" i="14"/>
  <c r="R82" i="14"/>
  <c r="F226" i="14"/>
  <c r="D110" i="14"/>
  <c r="Q89" i="14"/>
  <c r="R111" i="14"/>
  <c r="S108" i="14"/>
  <c r="C144" i="14"/>
  <c r="D151" i="14"/>
  <c r="F115" i="14"/>
  <c r="Q88" i="14"/>
  <c r="S229" i="14"/>
  <c r="S109" i="14"/>
  <c r="U135" i="14"/>
  <c r="D48" i="14"/>
  <c r="T151" i="14"/>
  <c r="E57" i="14"/>
  <c r="Q149" i="14"/>
  <c r="B13" i="14"/>
  <c r="T231" i="14"/>
  <c r="D133" i="14"/>
  <c r="G108" i="14"/>
  <c r="W101" i="14"/>
  <c r="H22" i="14"/>
  <c r="B121" i="14"/>
  <c r="E106" i="14"/>
  <c r="V73" i="14"/>
  <c r="F56" i="14"/>
  <c r="W103" i="14"/>
  <c r="R139" i="14"/>
  <c r="C48" i="14"/>
  <c r="N11" i="14"/>
  <c r="G101" i="14"/>
  <c r="B46" i="14"/>
  <c r="E120" i="14"/>
  <c r="V88" i="14"/>
  <c r="R73" i="14"/>
  <c r="T108" i="14"/>
  <c r="W83" i="14"/>
  <c r="X105" i="14"/>
  <c r="U70" i="14"/>
  <c r="G52" i="14"/>
  <c r="I120" i="14"/>
  <c r="B146" i="14"/>
  <c r="L26" i="14"/>
  <c r="R148" i="14"/>
  <c r="H146" i="14"/>
  <c r="B108" i="14"/>
  <c r="E52" i="14"/>
  <c r="H150" i="14"/>
  <c r="R140" i="14"/>
  <c r="V116" i="14"/>
  <c r="U83" i="14"/>
  <c r="W114" i="14"/>
  <c r="N24" i="14"/>
  <c r="H134" i="14"/>
  <c r="C113" i="14"/>
  <c r="V151" i="14"/>
  <c r="I105" i="14"/>
  <c r="Q72" i="14"/>
  <c r="U111" i="14"/>
  <c r="U82" i="14"/>
  <c r="B115" i="14"/>
  <c r="S136" i="14"/>
  <c r="S146" i="14"/>
  <c r="W75" i="14"/>
  <c r="L23" i="14"/>
  <c r="F146" i="14"/>
  <c r="R134" i="14"/>
  <c r="G120" i="14"/>
  <c r="N23" i="14"/>
  <c r="T144" i="14"/>
  <c r="D52" i="14"/>
  <c r="H41" i="14"/>
  <c r="F11" i="14"/>
  <c r="D121" i="14"/>
  <c r="R235" i="14"/>
  <c r="X114" i="14"/>
  <c r="Q74" i="14"/>
  <c r="E151" i="14"/>
  <c r="X121" i="14"/>
  <c r="I150" i="14"/>
  <c r="Q151" i="14"/>
  <c r="J21" i="14"/>
  <c r="F231" i="14"/>
  <c r="Q139" i="14"/>
  <c r="H58" i="14"/>
  <c r="W79" i="14"/>
  <c r="T87" i="14"/>
  <c r="H43" i="14"/>
  <c r="R72" i="14"/>
  <c r="E43" i="14"/>
  <c r="E121" i="14"/>
  <c r="B131" i="14"/>
  <c r="W150" i="14"/>
  <c r="R131" i="14"/>
  <c r="D131" i="14"/>
  <c r="G56" i="14"/>
  <c r="S75" i="14"/>
  <c r="H105" i="14"/>
  <c r="L17" i="14"/>
  <c r="X118" i="14"/>
  <c r="F43" i="14"/>
  <c r="V84" i="14"/>
  <c r="B225" i="14"/>
  <c r="D49" i="14"/>
  <c r="C141" i="14"/>
  <c r="R101" i="14"/>
  <c r="S139" i="14"/>
  <c r="E139" i="14"/>
  <c r="D13" i="14"/>
  <c r="S88" i="14"/>
  <c r="L27" i="14"/>
  <c r="N21" i="14"/>
  <c r="F230" i="14"/>
  <c r="H13" i="14"/>
  <c r="Q77" i="14"/>
  <c r="D39" i="14"/>
  <c r="L21" i="14"/>
  <c r="F105" i="14"/>
  <c r="Q82" i="14"/>
  <c r="T113" i="14"/>
  <c r="J19" i="14"/>
  <c r="R151" i="14"/>
  <c r="R113" i="14"/>
  <c r="R110" i="14"/>
  <c r="C140" i="14"/>
  <c r="S148" i="14"/>
  <c r="D134" i="14"/>
  <c r="F23" i="14"/>
  <c r="S70" i="14"/>
  <c r="H138" i="14"/>
  <c r="R136" i="14"/>
  <c r="E143" i="14"/>
  <c r="S235" i="14"/>
  <c r="T146" i="14"/>
  <c r="B231" i="14"/>
  <c r="W118" i="14"/>
  <c r="H46" i="14"/>
  <c r="V87" i="14"/>
  <c r="Q136" i="14"/>
  <c r="H12" i="14"/>
  <c r="X116" i="14"/>
  <c r="H114" i="14"/>
  <c r="W148" i="14"/>
  <c r="V136" i="14"/>
  <c r="B29" i="14"/>
  <c r="C41" i="14"/>
  <c r="B134" i="14"/>
  <c r="G151" i="14"/>
  <c r="S230" i="14"/>
  <c r="I136" i="14"/>
  <c r="F238" i="14"/>
  <c r="C148" i="14"/>
  <c r="L19" i="14"/>
  <c r="N29" i="14"/>
  <c r="F51" i="14"/>
  <c r="T228" i="14"/>
  <c r="H27" i="14"/>
  <c r="B133" i="14"/>
  <c r="D135" i="14"/>
  <c r="T229" i="14"/>
  <c r="T131" i="14"/>
  <c r="J23" i="14"/>
  <c r="F235" i="14"/>
  <c r="C51" i="14"/>
  <c r="F58" i="14"/>
  <c r="Q135" i="14"/>
  <c r="D101" i="14"/>
  <c r="H52" i="14"/>
  <c r="I115" i="14"/>
  <c r="F225" i="14"/>
  <c r="C149" i="14"/>
  <c r="E54" i="14"/>
  <c r="E136" i="14"/>
  <c r="F118" i="14"/>
  <c r="D111" i="14"/>
  <c r="T84" i="14"/>
  <c r="G43" i="14"/>
  <c r="E103" i="14"/>
  <c r="B26" i="14"/>
  <c r="R230" i="14"/>
  <c r="S234" i="14"/>
  <c r="H143" i="14"/>
  <c r="S135" i="14"/>
  <c r="D139" i="14"/>
  <c r="F144" i="14"/>
  <c r="G115" i="14"/>
  <c r="W104" i="14"/>
  <c r="E141" i="14"/>
  <c r="X119" i="14"/>
  <c r="F57" i="14"/>
  <c r="R118" i="14"/>
  <c r="S73" i="14"/>
  <c r="D12" i="14"/>
  <c r="U121" i="14"/>
  <c r="R144" i="14"/>
  <c r="W136" i="14"/>
  <c r="G47" i="14"/>
  <c r="U109" i="14"/>
  <c r="W90" i="14"/>
  <c r="V108" i="14"/>
  <c r="E119" i="14"/>
  <c r="G144" i="14"/>
  <c r="W74" i="14"/>
  <c r="F138" i="14"/>
  <c r="D104" i="14"/>
  <c r="S89" i="14"/>
  <c r="B238" i="14"/>
  <c r="S150" i="14"/>
  <c r="B114" i="14"/>
  <c r="H140" i="14"/>
  <c r="B22" i="14"/>
  <c r="V110" i="14"/>
  <c r="R149" i="14"/>
  <c r="C53" i="14"/>
  <c r="I118" i="14"/>
  <c r="F109" i="14"/>
  <c r="T74" i="14"/>
  <c r="V139" i="14"/>
  <c r="G145" i="14"/>
  <c r="H151" i="14"/>
  <c r="F133" i="14"/>
  <c r="W113" i="14"/>
  <c r="T120" i="14"/>
  <c r="W139" i="14"/>
  <c r="V113" i="14"/>
  <c r="X115" i="14"/>
  <c r="F14" i="14"/>
  <c r="U85" i="14"/>
  <c r="H53" i="14"/>
  <c r="B111" i="14"/>
  <c r="H24" i="14"/>
  <c r="D26" i="14"/>
  <c r="R115" i="14"/>
  <c r="H133" i="14"/>
  <c r="C133" i="14"/>
  <c r="T238" i="14"/>
  <c r="T101" i="14"/>
  <c r="V148" i="14"/>
  <c r="U139" i="14"/>
  <c r="T145" i="14"/>
  <c r="C46" i="14"/>
  <c r="D138" i="14"/>
  <c r="E59" i="14"/>
  <c r="I106" i="14"/>
  <c r="I111" i="14"/>
  <c r="B145" i="14"/>
  <c r="R116" i="14"/>
  <c r="S144" i="14"/>
  <c r="S74" i="14"/>
  <c r="Q134" i="14"/>
  <c r="D27" i="14"/>
  <c r="U146" i="14"/>
  <c r="B239" i="14"/>
  <c r="W73" i="14"/>
  <c r="Q131" i="14"/>
  <c r="U148" i="14"/>
  <c r="W146" i="14"/>
  <c r="S110" i="14"/>
  <c r="F229" i="14"/>
  <c r="R141" i="14"/>
  <c r="F101" i="14"/>
  <c r="S232" i="14"/>
  <c r="C151" i="14"/>
  <c r="U113" i="14"/>
  <c r="Q75" i="14"/>
  <c r="E140" i="14"/>
  <c r="E118" i="14"/>
  <c r="H42" i="14"/>
  <c r="W120" i="14"/>
  <c r="B229" i="14"/>
  <c r="S233" i="14"/>
  <c r="N19" i="14"/>
  <c r="B144" i="14"/>
  <c r="S145" i="14"/>
  <c r="D46" i="14"/>
  <c r="R224" i="14"/>
  <c r="C136" i="14"/>
  <c r="H108" i="14"/>
  <c r="W87" i="14"/>
  <c r="F42" i="14"/>
  <c r="F116" i="14"/>
  <c r="T226" i="14"/>
  <c r="R231" i="14"/>
  <c r="V82" i="14"/>
  <c r="S113" i="14"/>
  <c r="Q140" i="14"/>
  <c r="C143" i="14"/>
  <c r="Q70" i="14"/>
  <c r="B52" i="14"/>
  <c r="H106" i="14"/>
  <c r="D118" i="14"/>
  <c r="S82" i="14"/>
  <c r="U151" i="14"/>
  <c r="F49" i="14"/>
  <c r="R120" i="14"/>
  <c r="B39" i="14"/>
  <c r="C57" i="14"/>
  <c r="T119" i="14"/>
  <c r="U133" i="14"/>
  <c r="C115" i="14"/>
  <c r="V141" i="14"/>
  <c r="W151" i="14"/>
  <c r="V79" i="14"/>
  <c r="B222" i="14"/>
  <c r="B141" i="14"/>
  <c r="T89" i="14"/>
  <c r="R225" i="14"/>
  <c r="D22" i="14"/>
  <c r="H121" i="14"/>
  <c r="D56" i="14"/>
  <c r="R84" i="14"/>
  <c r="V85" i="14"/>
  <c r="X101" i="14"/>
  <c r="T224" i="14"/>
  <c r="F52" i="14"/>
  <c r="D57" i="14"/>
  <c r="H54" i="14"/>
  <c r="T110" i="14"/>
  <c r="T133" i="14"/>
  <c r="B54" i="14"/>
  <c r="S111" i="14"/>
  <c r="G59" i="14"/>
  <c r="U78" i="14"/>
  <c r="F26" i="14"/>
  <c r="T149" i="14"/>
  <c r="L18" i="14"/>
  <c r="B17" i="14"/>
  <c r="V135" i="14"/>
  <c r="B24" i="14"/>
  <c r="N14" i="14"/>
  <c r="S84" i="14"/>
  <c r="F18" i="14"/>
  <c r="W109" i="14"/>
  <c r="B233" i="14"/>
  <c r="J24" i="14"/>
  <c r="W77" i="14"/>
  <c r="H19" i="14"/>
  <c r="G138" i="14"/>
  <c r="C108" i="14"/>
  <c r="F48" i="14"/>
  <c r="R88" i="14"/>
  <c r="R238" i="14"/>
  <c r="S231" i="14"/>
  <c r="W145" i="14"/>
  <c r="D11" i="14"/>
  <c r="G140" i="14"/>
  <c r="B109" i="14"/>
  <c r="S228" i="14"/>
  <c r="U119" i="14"/>
  <c r="F236" i="14"/>
  <c r="W115" i="14"/>
  <c r="L16" i="14"/>
  <c r="H23" i="14"/>
  <c r="F22" i="14"/>
  <c r="I135" i="14"/>
  <c r="H145" i="14"/>
  <c r="D29" i="14"/>
  <c r="F141" i="14"/>
  <c r="R121" i="14"/>
  <c r="N16" i="14"/>
  <c r="C114" i="14"/>
  <c r="I144" i="14"/>
  <c r="F149" i="14"/>
  <c r="B106" i="14"/>
  <c r="W85" i="14"/>
  <c r="C146" i="14"/>
  <c r="T239" i="14"/>
  <c r="D41" i="14"/>
  <c r="G104" i="14"/>
  <c r="F108" i="14"/>
  <c r="B53" i="14"/>
  <c r="D114" i="14"/>
  <c r="D53" i="14"/>
  <c r="U143" i="14"/>
  <c r="U108" i="14"/>
  <c r="F113" i="14"/>
  <c r="E49" i="14"/>
  <c r="F134" i="14"/>
  <c r="F237" i="14"/>
  <c r="F131" i="14"/>
  <c r="F135" i="14"/>
  <c r="B44" i="14"/>
  <c r="L14" i="14"/>
  <c r="U149" i="14"/>
  <c r="F114" i="14"/>
  <c r="C138" i="14"/>
  <c r="D143" i="14"/>
  <c r="T115" i="14"/>
  <c r="C58" i="14"/>
  <c r="C134" i="14"/>
  <c r="E133" i="14"/>
  <c r="I101" i="14"/>
  <c r="H119" i="14"/>
  <c r="S78" i="14"/>
  <c r="C59" i="14"/>
  <c r="H101" i="14"/>
  <c r="G133" i="14"/>
  <c r="V143" i="14"/>
  <c r="H139" i="14"/>
  <c r="J12" i="14"/>
  <c r="S133" i="14"/>
  <c r="T139" i="14"/>
  <c r="V119" i="14"/>
  <c r="T227" i="14"/>
  <c r="R104" i="14"/>
  <c r="F104" i="14"/>
  <c r="F19" i="14"/>
  <c r="T83" i="14"/>
  <c r="Q150" i="14"/>
  <c r="Q78" i="14"/>
  <c r="H47" i="14"/>
  <c r="U141" i="14"/>
  <c r="U105" i="14"/>
  <c r="B57" i="14"/>
  <c r="B101" i="14"/>
  <c r="R145" i="14"/>
  <c r="D103" i="14"/>
  <c r="E146" i="14"/>
  <c r="C120" i="14"/>
  <c r="W141" i="14"/>
  <c r="W70" i="14"/>
  <c r="L28" i="14"/>
  <c r="S151" i="14"/>
  <c r="V109" i="14"/>
  <c r="U89" i="14"/>
  <c r="B227" i="14"/>
  <c r="F28" i="14"/>
  <c r="S77" i="14"/>
  <c r="X120" i="14"/>
  <c r="U77" i="14"/>
  <c r="R109" i="14"/>
  <c r="C52" i="14"/>
  <c r="D21" i="14"/>
  <c r="J26" i="14"/>
  <c r="R143" i="14"/>
  <c r="S149" i="14"/>
  <c r="C56" i="14"/>
  <c r="G41" i="14"/>
  <c r="E58" i="14"/>
  <c r="S105" i="14"/>
  <c r="U134" i="14"/>
  <c r="B49" i="14"/>
  <c r="V101" i="14"/>
  <c r="S115" i="14"/>
  <c r="B103" i="14"/>
  <c r="H144" i="14"/>
  <c r="E108" i="14"/>
  <c r="S222" i="14"/>
  <c r="B237" i="14"/>
  <c r="W135" i="14"/>
  <c r="U88" i="14"/>
  <c r="L12" i="14"/>
  <c r="R228" i="14"/>
  <c r="G131" i="14"/>
  <c r="E114" i="14"/>
  <c r="E115" i="14"/>
  <c r="J16" i="14"/>
  <c r="H26" i="14"/>
  <c r="T105" i="14"/>
  <c r="U131" i="14"/>
  <c r="X108" i="14"/>
  <c r="T103" i="14"/>
  <c r="V103" i="14"/>
  <c r="W134" i="14"/>
  <c r="T118" i="14"/>
  <c r="F13" i="14"/>
  <c r="G53" i="14"/>
  <c r="D105" i="14"/>
  <c r="E145" i="14"/>
  <c r="E131" i="14"/>
  <c r="G150" i="14"/>
  <c r="Q79" i="14"/>
  <c r="B119" i="14"/>
  <c r="F106" i="14"/>
  <c r="D14" i="14"/>
  <c r="H17" i="14"/>
  <c r="H148" i="14"/>
  <c r="C109" i="14"/>
  <c r="F121" i="14"/>
  <c r="F140" i="14"/>
  <c r="B228" i="14"/>
  <c r="U118" i="14"/>
  <c r="D42" i="14"/>
  <c r="H48" i="14"/>
  <c r="D145" i="14"/>
  <c r="H29" i="14"/>
  <c r="T233" i="14"/>
  <c r="F110" i="14"/>
  <c r="R232" i="14"/>
  <c r="I151" i="14"/>
  <c r="T79" i="14"/>
  <c r="T82" i="14"/>
  <c r="R150" i="14"/>
  <c r="E111" i="14"/>
  <c r="B14" i="14"/>
  <c r="G54" i="14"/>
  <c r="S90" i="14"/>
  <c r="E51" i="14"/>
  <c r="T235" i="14"/>
  <c r="H136" i="14"/>
  <c r="B12" i="14"/>
  <c r="V70" i="14"/>
  <c r="I116" i="14"/>
  <c r="I134" i="14"/>
  <c r="L29" i="14"/>
  <c r="R146" i="14"/>
  <c r="U72" i="14"/>
  <c r="B148" i="14"/>
  <c r="W131" i="14"/>
  <c r="B143" i="14"/>
  <c r="R87" i="14"/>
  <c r="L24" i="14"/>
  <c r="E46" i="14"/>
  <c r="B42" i="14"/>
  <c r="B21" i="14"/>
  <c r="H16" i="14"/>
  <c r="S116" i="14"/>
  <c r="C116" i="14"/>
  <c r="S119" i="14"/>
  <c r="J27" i="14"/>
  <c r="R70" i="14"/>
  <c r="B118" i="14"/>
  <c r="W89" i="14"/>
  <c r="F150" i="14"/>
  <c r="G121" i="14"/>
  <c r="U140" i="14"/>
  <c r="E42" i="14"/>
  <c r="C131" i="14"/>
  <c r="F119" i="14"/>
  <c r="D149" i="14"/>
  <c r="E47" i="14"/>
  <c r="T225" i="14"/>
  <c r="T141" i="14"/>
  <c r="F44" i="14"/>
  <c r="S131" i="14"/>
  <c r="G57" i="14"/>
  <c r="T136" i="14"/>
  <c r="D108" i="14"/>
  <c r="R80" i="14"/>
  <c r="U144" i="14"/>
  <c r="E44" i="14"/>
  <c r="B235" i="14"/>
  <c r="T111" i="14"/>
  <c r="S236" i="14"/>
  <c r="C54" i="14"/>
  <c r="E134" i="14"/>
  <c r="H109" i="14"/>
  <c r="C47" i="14"/>
  <c r="W111" i="14"/>
  <c r="S80" i="14"/>
  <c r="Q138" i="14"/>
  <c r="D18" i="14"/>
  <c r="C119" i="14"/>
  <c r="S118" i="14"/>
  <c r="I141" i="14"/>
  <c r="T148" i="14"/>
  <c r="V80" i="14"/>
  <c r="H113" i="14"/>
  <c r="D146" i="14"/>
  <c r="T150" i="14"/>
  <c r="Q85" i="14"/>
  <c r="G51" i="14"/>
  <c r="U80" i="14"/>
  <c r="H110" i="14"/>
  <c r="V146" i="14"/>
  <c r="W110" i="14"/>
  <c r="F145" i="14"/>
  <c r="L11" i="14"/>
  <c r="N12" i="14"/>
  <c r="W140" i="14"/>
  <c r="W80" i="14"/>
  <c r="U114" i="14"/>
  <c r="F12" i="14"/>
  <c r="W143" i="14"/>
  <c r="B41" i="14"/>
  <c r="V150" i="14"/>
  <c r="N18" i="14"/>
  <c r="U103" i="14"/>
  <c r="V115" i="14"/>
  <c r="D141" i="14"/>
  <c r="I108" i="14"/>
  <c r="B136" i="14"/>
  <c r="R226" i="14"/>
  <c r="R135" i="14"/>
  <c r="D109" i="14"/>
  <c r="I140" i="14"/>
  <c r="H149" i="14"/>
  <c r="B48" i="14"/>
  <c r="G136" i="14"/>
  <c r="H118" i="14"/>
  <c r="R237" i="14"/>
  <c r="Q83" i="14"/>
  <c r="S83" i="14"/>
  <c r="R83" i="14"/>
  <c r="H51" i="14"/>
  <c r="F29" i="14"/>
  <c r="H56" i="14"/>
  <c r="N17" i="14"/>
  <c r="I104" i="14"/>
  <c r="U101" i="14"/>
  <c r="B224" i="14"/>
  <c r="H115" i="14"/>
  <c r="H21" i="14"/>
  <c r="C121" i="14"/>
  <c r="C111" i="14"/>
  <c r="J29" i="14"/>
  <c r="B140" i="14"/>
  <c r="X113" i="14"/>
  <c r="T80" i="14"/>
  <c r="G114" i="14"/>
  <c r="B28" i="14"/>
  <c r="V118" i="14"/>
  <c r="U90" i="14"/>
  <c r="H131" i="14"/>
  <c r="E148" i="14"/>
  <c r="Q87" i="14"/>
  <c r="G46" i="14"/>
  <c r="R79" i="14"/>
  <c r="V149" i="14"/>
  <c r="D24" i="14"/>
  <c r="F239" i="14"/>
  <c r="U150" i="14"/>
  <c r="T135" i="14"/>
  <c r="U73" i="14"/>
  <c r="B139" i="14"/>
  <c r="G42" i="14"/>
  <c r="Q143" i="14"/>
  <c r="D59" i="14"/>
  <c r="T140" i="14"/>
  <c r="S238" i="14"/>
  <c r="T138" i="14"/>
  <c r="F39" i="14"/>
  <c r="B11" i="14"/>
  <c r="T88" i="14"/>
  <c r="S134" i="14"/>
  <c r="D148" i="14"/>
  <c r="V138" i="14"/>
  <c r="U104" i="14"/>
  <c r="R229" i="14"/>
  <c r="F41" i="14"/>
  <c r="C139" i="14"/>
  <c r="V134" i="14"/>
  <c r="D44" i="14"/>
  <c r="I149" i="14"/>
  <c r="V74" i="14"/>
  <c r="S85" i="14"/>
  <c r="Q133" i="14"/>
  <c r="I114" i="14"/>
  <c r="G141" i="14"/>
  <c r="L13" i="14"/>
  <c r="W119" i="14"/>
  <c r="W84" i="14"/>
  <c r="B59" i="14"/>
  <c r="C43" i="14"/>
  <c r="V83" i="14"/>
  <c r="H57" i="14"/>
  <c r="T70" i="14"/>
  <c r="B105" i="14"/>
  <c r="G113" i="14"/>
  <c r="F233" i="14"/>
  <c r="J17" i="14"/>
  <c r="D58" i="14"/>
  <c r="F17" i="14"/>
  <c r="T230" i="14"/>
  <c r="V104" i="14"/>
  <c r="Q84" i="14"/>
  <c r="I103" i="14"/>
  <c r="F120" i="14"/>
  <c r="I138" i="14"/>
  <c r="R75" i="14"/>
  <c r="T237" i="14"/>
  <c r="X110" i="14"/>
  <c r="T232" i="14"/>
  <c r="S239" i="14"/>
  <c r="F21" i="14"/>
  <c r="S72" i="14"/>
  <c r="U84" i="14"/>
  <c r="E149" i="14"/>
  <c r="N13" i="14"/>
  <c r="B51" i="14"/>
  <c r="B110" i="14"/>
  <c r="E48" i="14"/>
  <c r="X103" i="14"/>
  <c r="G44" i="14"/>
  <c r="T134" i="14"/>
  <c r="H59" i="14"/>
  <c r="F103" i="14"/>
  <c r="V145" i="14"/>
  <c r="C106" i="14"/>
  <c r="B56" i="14"/>
  <c r="E39" i="14"/>
  <c r="C39" i="14"/>
  <c r="D23" i="14"/>
  <c r="V140" i="14"/>
  <c r="S79" i="14"/>
  <c r="S143" i="14"/>
  <c r="U115" i="14"/>
  <c r="G143" i="14"/>
  <c r="E116" i="14"/>
  <c r="W105" i="14"/>
  <c r="B138" i="14"/>
  <c r="W116" i="14"/>
  <c r="C118" i="14"/>
  <c r="I113" i="14"/>
  <c r="X104" i="14"/>
  <c r="D106" i="14"/>
  <c r="R119" i="14"/>
  <c r="F143" i="14"/>
  <c r="D28" i="14"/>
  <c r="R108" i="14"/>
  <c r="V90" i="14"/>
  <c r="F24" i="14"/>
  <c r="S120" i="14"/>
  <c r="W72" i="14"/>
  <c r="I146" i="14"/>
  <c r="E105" i="14"/>
  <c r="W121" i="14"/>
  <c r="T73" i="14"/>
  <c r="I121" i="14"/>
  <c r="D17" i="14"/>
  <c r="J14" i="14"/>
  <c r="S225" i="14"/>
  <c r="L22" i="14"/>
  <c r="E110" i="14"/>
  <c r="B18" i="14"/>
  <c r="T109" i="14"/>
  <c r="W82" i="14"/>
  <c r="U79" i="14"/>
  <c r="S227" i="14"/>
  <c r="B236" i="14"/>
  <c r="V75" i="14"/>
  <c r="H141" i="14"/>
  <c r="R85" i="14"/>
  <c r="U138" i="14"/>
  <c r="F224" i="14"/>
  <c r="T75" i="14"/>
  <c r="D140" i="14"/>
  <c r="F16" i="14"/>
  <c r="F53" i="14"/>
  <c r="H116" i="14"/>
  <c r="W149" i="14"/>
  <c r="I133" i="14"/>
  <c r="B226" i="14"/>
  <c r="C42" i="14"/>
  <c r="F136" i="14"/>
  <c r="S101" i="14"/>
  <c r="G111" i="14"/>
  <c r="F151" i="14"/>
  <c r="H11" i="14"/>
  <c r="C103" i="14"/>
  <c r="W78" i="14"/>
  <c r="S121" i="14"/>
  <c r="T143" i="14"/>
  <c r="D19" i="14"/>
  <c r="C150" i="14"/>
  <c r="U116" i="14"/>
  <c r="I139" i="14"/>
  <c r="Q80" i="14"/>
  <c r="B234" i="14"/>
  <c r="H28" i="14"/>
  <c r="B230" i="14"/>
  <c r="C110" i="14"/>
  <c r="D47" i="14"/>
  <c r="R77" i="14"/>
  <c r="V121" i="14"/>
  <c r="F228" i="14"/>
  <c r="R138" i="14"/>
  <c r="I131" i="14"/>
  <c r="W138" i="14"/>
  <c r="F54" i="14"/>
  <c r="H103" i="14"/>
  <c r="R89" i="14"/>
  <c r="G48" i="14"/>
  <c r="D51" i="14"/>
  <c r="B47" i="14"/>
  <c r="B16" i="14"/>
  <c r="H135" i="14"/>
  <c r="H111" i="14"/>
  <c r="G146" i="14"/>
  <c r="C44" i="14"/>
  <c r="I148" i="14"/>
  <c r="T90" i="14"/>
  <c r="D43" i="14"/>
  <c r="Q145" i="14"/>
  <c r="H120" i="14"/>
  <c r="R222" i="14"/>
  <c r="F47" i="14"/>
  <c r="D116" i="14"/>
  <c r="S103" i="14"/>
  <c r="I110" i="14"/>
  <c r="G116" i="14"/>
  <c r="C105" i="14"/>
  <c r="D144" i="14"/>
  <c r="J13" i="14"/>
  <c r="E101" i="14"/>
  <c r="F232" i="14"/>
  <c r="G149" i="14"/>
  <c r="Q73" i="14"/>
  <c r="R233" i="14"/>
  <c r="E144" i="14"/>
  <c r="T78" i="14"/>
  <c r="U74" i="14"/>
  <c r="R227" i="14"/>
  <c r="E150" i="14"/>
  <c r="E53" i="14"/>
  <c r="N28" i="14"/>
  <c r="S138" i="14"/>
  <c r="T222" i="14"/>
  <c r="B232" i="14"/>
  <c r="F46" i="14"/>
  <c r="V77" i="14"/>
  <c r="D54" i="14"/>
  <c r="T114" i="14"/>
  <c r="U136" i="14"/>
  <c r="G110" i="14"/>
  <c r="G58" i="14"/>
  <c r="S140" i="14"/>
  <c r="V144" i="14"/>
  <c r="G39" i="14"/>
  <c r="V133" i="14"/>
  <c r="D16" i="14"/>
  <c r="R133" i="14"/>
  <c r="C104" i="14"/>
  <c r="W133" i="14"/>
  <c r="I145" i="14"/>
  <c r="D150" i="14"/>
  <c r="H104" i="14"/>
  <c r="E113" i="14"/>
  <c r="H14" i="14"/>
  <c r="F222" i="14"/>
  <c r="C49" i="21"/>
  <c r="B109" i="21"/>
  <c r="C109" i="21"/>
  <c r="F138" i="21"/>
  <c r="G47" i="21"/>
  <c r="L12" i="21"/>
  <c r="E57" i="21"/>
  <c r="L18" i="21"/>
  <c r="C39" i="21"/>
  <c r="B135" i="21"/>
  <c r="C113" i="21"/>
  <c r="D117" i="21"/>
  <c r="H130" i="21"/>
  <c r="E58" i="21"/>
  <c r="F52" i="21"/>
  <c r="D148" i="21"/>
  <c r="D118" i="21"/>
  <c r="B54" i="21"/>
  <c r="L27" i="21"/>
  <c r="B233" i="21"/>
  <c r="J23" i="21"/>
  <c r="D100" i="21"/>
  <c r="G108" i="21"/>
  <c r="B115" i="21"/>
  <c r="G105" i="21"/>
  <c r="D236" i="21"/>
  <c r="C108" i="21"/>
  <c r="B230" i="21"/>
  <c r="F114" i="21"/>
  <c r="D29" i="21"/>
  <c r="B53" i="21"/>
  <c r="C54" i="21"/>
  <c r="G137" i="21"/>
  <c r="H137" i="21"/>
  <c r="C105" i="21"/>
  <c r="D41" i="21"/>
  <c r="D44" i="21"/>
  <c r="G150" i="21"/>
  <c r="B220" i="21"/>
  <c r="J29" i="21"/>
  <c r="G112" i="21"/>
  <c r="F23" i="21"/>
  <c r="J13" i="21"/>
  <c r="C52" i="21"/>
  <c r="F108" i="21"/>
  <c r="H150" i="21"/>
  <c r="F29" i="21"/>
  <c r="H113" i="21"/>
  <c r="H139" i="21"/>
  <c r="H133" i="21"/>
  <c r="H51" i="21"/>
  <c r="B17" i="21"/>
  <c r="F46" i="21"/>
  <c r="B108" i="21"/>
  <c r="C144" i="21"/>
  <c r="B103" i="21"/>
  <c r="G104" i="21"/>
  <c r="D137" i="21"/>
  <c r="D223" i="21"/>
  <c r="B110" i="21"/>
  <c r="H42" i="21"/>
  <c r="H26" i="21"/>
  <c r="H145" i="21"/>
  <c r="G51" i="21"/>
  <c r="H53" i="21"/>
  <c r="B119" i="21"/>
  <c r="D144" i="21"/>
  <c r="B41" i="21"/>
  <c r="G58" i="21"/>
  <c r="B21" i="21"/>
  <c r="F229" i="21"/>
  <c r="D49" i="21"/>
  <c r="H41" i="21"/>
  <c r="G48" i="21"/>
  <c r="B133" i="21"/>
  <c r="C115" i="21"/>
  <c r="G132" i="21"/>
  <c r="H44" i="21"/>
  <c r="C46" i="21"/>
  <c r="E110" i="21"/>
  <c r="C118" i="21"/>
  <c r="D143" i="21"/>
  <c r="E148" i="21"/>
  <c r="C47" i="21"/>
  <c r="F42" i="21"/>
  <c r="D225" i="21"/>
  <c r="G102" i="21"/>
  <c r="B11" i="21"/>
  <c r="F14" i="21"/>
  <c r="N21" i="21"/>
  <c r="H57" i="21"/>
  <c r="B27" i="21"/>
  <c r="E140" i="21"/>
  <c r="E107" i="21"/>
  <c r="H100" i="21"/>
  <c r="E105" i="21"/>
  <c r="F225" i="21"/>
  <c r="D43" i="21"/>
  <c r="L13" i="21"/>
  <c r="E109" i="21"/>
  <c r="B114" i="21"/>
  <c r="F41" i="21"/>
  <c r="D112" i="21"/>
  <c r="G52" i="21"/>
  <c r="G46" i="21"/>
  <c r="G57" i="21"/>
  <c r="L11" i="21"/>
  <c r="B137" i="21"/>
  <c r="F132" i="21"/>
  <c r="H48" i="21"/>
  <c r="B232" i="21"/>
  <c r="B16" i="21"/>
  <c r="H23" i="21"/>
  <c r="N14" i="21"/>
  <c r="C130" i="21"/>
  <c r="F236" i="21"/>
  <c r="J11" i="21"/>
  <c r="N16" i="21"/>
  <c r="G107" i="21"/>
  <c r="J16" i="21"/>
  <c r="E102" i="21"/>
  <c r="G109" i="21"/>
  <c r="F100" i="21"/>
  <c r="F39" i="21"/>
  <c r="F140" i="21"/>
  <c r="G135" i="21"/>
  <c r="J12" i="21"/>
  <c r="J28" i="21"/>
  <c r="B29" i="21"/>
  <c r="E142" i="21"/>
  <c r="B52" i="21"/>
  <c r="D57" i="21"/>
  <c r="H110" i="21"/>
  <c r="B113" i="21"/>
  <c r="B104" i="21"/>
  <c r="E150" i="21"/>
  <c r="G148" i="21"/>
  <c r="F120" i="21"/>
  <c r="E130" i="21"/>
  <c r="C51" i="21"/>
  <c r="B237" i="21"/>
  <c r="H143" i="21"/>
  <c r="G149" i="21"/>
  <c r="H52" i="21"/>
  <c r="F44" i="21"/>
  <c r="H119" i="21"/>
  <c r="D46" i="21"/>
  <c r="C112" i="21"/>
  <c r="H140" i="21"/>
  <c r="F105" i="21"/>
  <c r="J14" i="21"/>
  <c r="E56" i="21"/>
  <c r="D21" i="21"/>
  <c r="D134" i="21"/>
  <c r="F232" i="21"/>
  <c r="F139" i="21"/>
  <c r="E114" i="21"/>
  <c r="H24" i="21"/>
  <c r="B18" i="21"/>
  <c r="B144" i="21"/>
  <c r="L26" i="21"/>
  <c r="F110" i="21"/>
  <c r="E120" i="21"/>
  <c r="D58" i="21"/>
  <c r="F222" i="21"/>
  <c r="F28" i="21"/>
  <c r="E53" i="21"/>
  <c r="J27" i="21"/>
  <c r="D9" i="21"/>
  <c r="L14" i="21"/>
  <c r="H135" i="21"/>
  <c r="E133" i="21"/>
  <c r="D145" i="21"/>
  <c r="F107" i="21"/>
  <c r="D28" i="21"/>
  <c r="B112" i="21"/>
  <c r="C133" i="21"/>
  <c r="F9" i="21"/>
  <c r="E41" i="21"/>
  <c r="C41" i="21"/>
  <c r="F53" i="21"/>
  <c r="D232" i="21"/>
  <c r="J26" i="21"/>
  <c r="B228" i="21"/>
  <c r="C145" i="21"/>
  <c r="C102" i="21"/>
  <c r="F58" i="21"/>
  <c r="B57" i="21"/>
  <c r="C148" i="21"/>
  <c r="D119" i="21"/>
  <c r="D233" i="21"/>
  <c r="D53" i="21"/>
  <c r="D18" i="21"/>
  <c r="D48" i="21"/>
  <c r="N9" i="21"/>
  <c r="L19" i="21"/>
  <c r="D147" i="21"/>
  <c r="B139" i="21"/>
  <c r="H108" i="21"/>
  <c r="B224" i="21"/>
  <c r="F12" i="21"/>
  <c r="H27" i="21"/>
  <c r="C138" i="21"/>
  <c r="F27" i="21"/>
  <c r="F234" i="21"/>
  <c r="H39" i="21"/>
  <c r="B150" i="21"/>
  <c r="F145" i="21"/>
  <c r="B236" i="21"/>
  <c r="B226" i="21"/>
  <c r="D39" i="21"/>
  <c r="H142" i="21"/>
  <c r="D107" i="21"/>
  <c r="B44" i="21"/>
  <c r="C143" i="21"/>
  <c r="L23" i="21"/>
  <c r="B140" i="21"/>
  <c r="D234" i="21"/>
  <c r="N24" i="21"/>
  <c r="H149" i="21"/>
  <c r="B145" i="21"/>
  <c r="F103" i="21"/>
  <c r="C110" i="21"/>
  <c r="F102" i="21"/>
  <c r="F144" i="21"/>
  <c r="F56" i="21"/>
  <c r="B9" i="21"/>
  <c r="N29" i="21"/>
  <c r="H115" i="21"/>
  <c r="C59" i="21"/>
  <c r="J22" i="21"/>
  <c r="D235" i="21"/>
  <c r="D222" i="21"/>
  <c r="D226" i="21"/>
  <c r="D229" i="21"/>
  <c r="H109" i="21"/>
  <c r="F142" i="21"/>
  <c r="G114" i="21"/>
  <c r="D12" i="21"/>
  <c r="B22" i="21"/>
  <c r="B28" i="21"/>
  <c r="E149" i="21"/>
  <c r="G140" i="21"/>
  <c r="H17" i="21"/>
  <c r="H43" i="21"/>
  <c r="G54" i="21"/>
  <c r="G113" i="21"/>
  <c r="F133" i="21"/>
  <c r="F147" i="21"/>
  <c r="F109" i="21"/>
  <c r="E138" i="21"/>
  <c r="H16" i="21"/>
  <c r="H114" i="21"/>
  <c r="C140" i="21"/>
  <c r="F13" i="21"/>
  <c r="E115" i="21"/>
  <c r="H11" i="21"/>
  <c r="H19" i="21"/>
  <c r="B225" i="21"/>
  <c r="J21" i="21"/>
  <c r="D51" i="21"/>
  <c r="H104" i="21"/>
  <c r="E100" i="21"/>
  <c r="N11" i="21"/>
  <c r="E139" i="21"/>
  <c r="G103" i="21"/>
  <c r="G139" i="21"/>
  <c r="F17" i="21"/>
  <c r="F233" i="21"/>
  <c r="D149" i="21"/>
  <c r="L22" i="21"/>
  <c r="D220" i="21"/>
  <c r="F150" i="21"/>
  <c r="B118" i="21"/>
  <c r="C119" i="21"/>
  <c r="N17" i="21"/>
  <c r="H59" i="21"/>
  <c r="L17" i="21"/>
  <c r="B148" i="21"/>
  <c r="F223" i="21"/>
  <c r="D120" i="21"/>
  <c r="F149" i="21"/>
  <c r="B229" i="21"/>
  <c r="B43" i="21"/>
  <c r="F143" i="21"/>
  <c r="F11" i="21"/>
  <c r="D52" i="21"/>
  <c r="D135" i="21"/>
  <c r="F21" i="21"/>
  <c r="H13" i="21"/>
  <c r="E47" i="21"/>
  <c r="B231" i="21"/>
  <c r="E52" i="21"/>
  <c r="D105" i="21"/>
  <c r="F237" i="21"/>
  <c r="B143" i="21"/>
  <c r="L29" i="21"/>
  <c r="C149" i="21"/>
  <c r="F57" i="21"/>
  <c r="G110" i="21"/>
  <c r="B48" i="21"/>
  <c r="D59" i="21"/>
  <c r="J17" i="21"/>
  <c r="B105" i="21"/>
  <c r="L24" i="21"/>
  <c r="D27" i="21"/>
  <c r="F113" i="21"/>
  <c r="B24" i="21"/>
  <c r="D150" i="21"/>
  <c r="B56" i="21"/>
  <c r="B142" i="21"/>
  <c r="F228" i="21"/>
  <c r="G43" i="21"/>
  <c r="G133" i="21"/>
  <c r="B130" i="21"/>
  <c r="B12" i="21"/>
  <c r="D14" i="21"/>
  <c r="B147" i="21"/>
  <c r="N18" i="21"/>
  <c r="N19" i="21"/>
  <c r="C58" i="21"/>
  <c r="F19" i="21"/>
  <c r="L9" i="21"/>
  <c r="B19" i="21"/>
  <c r="F224" i="21"/>
  <c r="F26" i="21"/>
  <c r="E104" i="21"/>
  <c r="C117" i="21"/>
  <c r="B42" i="21"/>
  <c r="F18" i="21"/>
  <c r="B234" i="21"/>
  <c r="N13" i="21"/>
  <c r="B26" i="21"/>
  <c r="N12" i="21"/>
  <c r="E137" i="21"/>
  <c r="G42" i="21"/>
  <c r="D42" i="21"/>
  <c r="E134" i="21"/>
  <c r="C120" i="21"/>
  <c r="D237" i="21"/>
  <c r="E145" i="21"/>
  <c r="F231" i="21"/>
  <c r="D228" i="21"/>
  <c r="H117" i="21"/>
  <c r="D24" i="21"/>
  <c r="N22" i="21"/>
  <c r="F148" i="21"/>
  <c r="H29" i="21"/>
  <c r="D227" i="21"/>
  <c r="G49" i="21"/>
  <c r="G120" i="21"/>
  <c r="J9" i="21"/>
  <c r="D26" i="21"/>
  <c r="C48" i="21"/>
  <c r="D103" i="21"/>
  <c r="D104" i="21"/>
  <c r="D231" i="21"/>
  <c r="G115" i="21"/>
  <c r="B138" i="21"/>
  <c r="H47" i="21"/>
  <c r="E46" i="21"/>
  <c r="G134" i="21"/>
  <c r="H148" i="21"/>
  <c r="C107" i="21"/>
  <c r="G147" i="21"/>
  <c r="J24" i="21"/>
  <c r="G143" i="21"/>
  <c r="F51" i="21"/>
  <c r="G145" i="21"/>
  <c r="L21" i="21"/>
  <c r="E119" i="21"/>
  <c r="F226" i="21"/>
  <c r="D130" i="21"/>
  <c r="B23" i="21"/>
  <c r="C132" i="21"/>
  <c r="H138" i="21"/>
  <c r="C104" i="21"/>
  <c r="B222" i="21"/>
  <c r="G119" i="21"/>
  <c r="D110" i="21"/>
  <c r="C56" i="21"/>
  <c r="D138" i="21"/>
  <c r="D54" i="21"/>
  <c r="E143" i="21"/>
  <c r="F227" i="21"/>
  <c r="D115" i="21"/>
  <c r="D17" i="21"/>
  <c r="H12" i="21"/>
  <c r="H132" i="21"/>
  <c r="D102" i="21"/>
  <c r="E108" i="21"/>
  <c r="J19" i="21"/>
  <c r="D109" i="21"/>
  <c r="B235" i="21"/>
  <c r="N27" i="21"/>
  <c r="H102" i="21"/>
  <c r="H107" i="21"/>
  <c r="C147" i="21"/>
  <c r="D56" i="21"/>
  <c r="B13" i="21"/>
  <c r="E132" i="21"/>
  <c r="D19" i="21"/>
  <c r="H105" i="21"/>
  <c r="F137" i="21"/>
  <c r="D142" i="21"/>
  <c r="G142" i="21"/>
  <c r="E144" i="21"/>
  <c r="L16" i="21"/>
  <c r="C44" i="21"/>
  <c r="N28" i="21"/>
  <c r="C137" i="21"/>
  <c r="E43" i="21"/>
  <c r="H147" i="21"/>
  <c r="E135" i="21"/>
  <c r="B51" i="21"/>
  <c r="D16" i="21"/>
  <c r="F119" i="21"/>
  <c r="F59" i="21"/>
  <c r="D113" i="21"/>
  <c r="E113" i="21"/>
  <c r="F220" i="21"/>
  <c r="H144" i="21"/>
  <c r="E39" i="21"/>
  <c r="E118" i="21"/>
  <c r="B134" i="21"/>
  <c r="E48" i="21"/>
  <c r="H46" i="21"/>
  <c r="D140" i="21"/>
  <c r="H58" i="21"/>
  <c r="B46" i="21"/>
  <c r="D108" i="21"/>
  <c r="H120" i="21"/>
  <c r="H28" i="21"/>
  <c r="C135" i="21"/>
  <c r="G138" i="21"/>
  <c r="B49" i="21"/>
  <c r="C57" i="21"/>
  <c r="C103" i="21"/>
  <c r="E51" i="21"/>
  <c r="D133" i="21"/>
  <c r="H21" i="21"/>
  <c r="H9" i="21"/>
  <c r="H103" i="21"/>
  <c r="F47" i="21"/>
  <c r="D230" i="21"/>
  <c r="D13" i="21"/>
  <c r="F49" i="21"/>
  <c r="B59" i="21"/>
  <c r="E117" i="21"/>
  <c r="F104" i="21"/>
  <c r="C139" i="21"/>
  <c r="C42" i="21"/>
  <c r="C43" i="21"/>
  <c r="G53" i="21"/>
  <c r="E103" i="21"/>
  <c r="D224" i="21"/>
  <c r="B227" i="21"/>
  <c r="B58" i="21"/>
  <c r="B47" i="21"/>
  <c r="B149" i="21"/>
  <c r="H18" i="21"/>
  <c r="B117" i="21"/>
  <c r="B102" i="21"/>
  <c r="C100" i="21"/>
  <c r="E54" i="21"/>
  <c r="C134" i="21"/>
  <c r="C150" i="21"/>
  <c r="F16" i="21"/>
  <c r="C142" i="21"/>
  <c r="E49" i="21"/>
  <c r="B39" i="21"/>
  <c r="H22" i="21"/>
  <c r="E147" i="21"/>
  <c r="C114" i="21"/>
  <c r="G41" i="21"/>
  <c r="D23" i="21"/>
  <c r="B107" i="21"/>
  <c r="D22" i="21"/>
  <c r="J18" i="21"/>
  <c r="G118" i="21"/>
  <c r="H49" i="21"/>
  <c r="F115" i="21"/>
  <c r="B223" i="21"/>
  <c r="N26" i="21"/>
  <c r="D114" i="21"/>
  <c r="D11" i="21"/>
  <c r="L28" i="21"/>
  <c r="N23" i="21"/>
  <c r="E59" i="21"/>
  <c r="G44" i="21"/>
  <c r="D132" i="21"/>
  <c r="F22" i="21"/>
  <c r="B132" i="21"/>
  <c r="B14" i="21"/>
  <c r="E112" i="21"/>
  <c r="G130" i="21"/>
  <c r="H118" i="21"/>
  <c r="B100" i="21"/>
  <c r="F230" i="21"/>
  <c r="G100" i="21"/>
  <c r="E44" i="21"/>
  <c r="F235" i="21"/>
  <c r="C53" i="21"/>
  <c r="D47" i="21"/>
  <c r="F135" i="21"/>
  <c r="H134" i="21"/>
  <c r="G144" i="21"/>
  <c r="H112" i="21"/>
  <c r="F112" i="21"/>
  <c r="H54" i="21"/>
  <c r="F134" i="21"/>
  <c r="F117" i="21"/>
  <c r="F24" i="21"/>
  <c r="F43" i="21"/>
  <c r="G59" i="21"/>
  <c r="H56" i="21"/>
  <c r="D139" i="21"/>
  <c r="E42" i="21"/>
  <c r="G39" i="21"/>
  <c r="G56" i="21"/>
  <c r="B120" i="21"/>
  <c r="H14" i="21"/>
  <c r="F54" i="21"/>
  <c r="F130" i="21"/>
  <c r="F118" i="21"/>
  <c r="G117" i="21"/>
  <c r="F48" i="21"/>
  <c r="F172" i="21" l="1"/>
  <c r="AL175" i="14"/>
  <c r="D80" i="14"/>
  <c r="G87" i="21"/>
  <c r="AB231" i="14"/>
  <c r="F195" i="14"/>
  <c r="AF195" i="14" s="1"/>
  <c r="H168" i="21"/>
  <c r="D193" i="14"/>
  <c r="AE193" i="14" s="1"/>
  <c r="H169" i="21"/>
  <c r="B79" i="14"/>
  <c r="F73" i="14"/>
  <c r="D210" i="21"/>
  <c r="J168" i="14"/>
  <c r="AI168" i="14" s="1"/>
  <c r="B165" i="14"/>
  <c r="AD165" i="14" s="1"/>
  <c r="H178" i="14"/>
  <c r="AG178" i="14" s="1"/>
  <c r="F164" i="14"/>
  <c r="AF164" i="14" s="1"/>
  <c r="J164" i="14"/>
  <c r="AI164" i="14" s="1"/>
  <c r="H75" i="14"/>
  <c r="D173" i="21"/>
  <c r="F160" i="21"/>
  <c r="B180" i="21"/>
  <c r="AK163" i="14"/>
  <c r="AK193" i="14"/>
  <c r="D78" i="21"/>
  <c r="AA236" i="14"/>
  <c r="W236" i="14"/>
  <c r="AK164" i="14"/>
  <c r="C89" i="14"/>
  <c r="AN176" i="14"/>
  <c r="G84" i="21"/>
  <c r="AK195" i="14"/>
  <c r="H87" i="21"/>
  <c r="B208" i="21"/>
  <c r="AL173" i="14"/>
  <c r="AM171" i="14"/>
  <c r="H163" i="14"/>
  <c r="AG163" i="14" s="1"/>
  <c r="C72" i="14"/>
  <c r="AA226" i="14"/>
  <c r="W226" i="14"/>
  <c r="F87" i="21"/>
  <c r="G83" i="14"/>
  <c r="E84" i="14"/>
  <c r="B198" i="21"/>
  <c r="AN174" i="14"/>
  <c r="J160" i="21"/>
  <c r="Z237" i="14"/>
  <c r="V237" i="14"/>
  <c r="H175" i="21"/>
  <c r="J161" i="14"/>
  <c r="G85" i="14"/>
  <c r="J178" i="21"/>
  <c r="B172" i="21"/>
  <c r="AP181" i="14"/>
  <c r="D180" i="14"/>
  <c r="H179" i="14"/>
  <c r="E80" i="14"/>
  <c r="U226" i="14"/>
  <c r="H162" i="21"/>
  <c r="W237" i="14"/>
  <c r="AA237" i="14"/>
  <c r="H78" i="14"/>
  <c r="AP168" i="14"/>
  <c r="H170" i="21"/>
  <c r="E74" i="14"/>
  <c r="C70" i="14"/>
  <c r="AN164" i="14"/>
  <c r="D163" i="14"/>
  <c r="AE163" i="14" s="1"/>
  <c r="AP174" i="14"/>
  <c r="AN175" i="14"/>
  <c r="AL171" i="14"/>
  <c r="D206" i="14"/>
  <c r="AE206" i="14" s="1"/>
  <c r="F165" i="21"/>
  <c r="AJ211" i="14"/>
  <c r="F177" i="21"/>
  <c r="E70" i="14"/>
  <c r="F163" i="21"/>
  <c r="H230" i="14"/>
  <c r="X230" i="14"/>
  <c r="D166" i="14"/>
  <c r="AE166" i="14" s="1"/>
  <c r="AN165" i="14"/>
  <c r="G79" i="21"/>
  <c r="D168" i="21"/>
  <c r="D209" i="21"/>
  <c r="D90" i="14"/>
  <c r="G79" i="14"/>
  <c r="F162" i="21"/>
  <c r="AB237" i="14"/>
  <c r="D170" i="21"/>
  <c r="D205" i="14"/>
  <c r="AE205" i="14" s="1"/>
  <c r="D82" i="14"/>
  <c r="AL181" i="14"/>
  <c r="J170" i="14"/>
  <c r="AI170" i="14" s="1"/>
  <c r="C82" i="14"/>
  <c r="B194" i="14"/>
  <c r="AD194" i="14" s="1"/>
  <c r="D170" i="14"/>
  <c r="AE170" i="14" s="1"/>
  <c r="J179" i="14"/>
  <c r="AI179" i="14" s="1"/>
  <c r="AK170" i="14"/>
  <c r="G72" i="14"/>
  <c r="F82" i="21"/>
  <c r="J162" i="21"/>
  <c r="V224" i="14"/>
  <c r="Z224" i="14"/>
  <c r="F70" i="21"/>
  <c r="E88" i="21"/>
  <c r="B195" i="14"/>
  <c r="AD195" i="14" s="1"/>
  <c r="H166" i="14"/>
  <c r="AG166" i="14" s="1"/>
  <c r="AK173" i="14"/>
  <c r="J177" i="21"/>
  <c r="F173" i="21"/>
  <c r="H230" i="21"/>
  <c r="D205" i="21"/>
  <c r="J163" i="14"/>
  <c r="AI163" i="14" s="1"/>
  <c r="V232" i="14"/>
  <c r="Z232" i="14"/>
  <c r="D84" i="14"/>
  <c r="G73" i="21"/>
  <c r="F80" i="14"/>
  <c r="D169" i="21"/>
  <c r="J169" i="14"/>
  <c r="AI169" i="14" s="1"/>
  <c r="F179" i="21"/>
  <c r="E89" i="21"/>
  <c r="B168" i="21"/>
  <c r="AP169" i="14"/>
  <c r="AN163" i="14"/>
  <c r="F79" i="14"/>
  <c r="AP178" i="14"/>
  <c r="H167" i="21"/>
  <c r="E88" i="14"/>
  <c r="W233" i="14"/>
  <c r="AA233" i="14"/>
  <c r="B193" i="21"/>
  <c r="AJ201" i="14"/>
  <c r="B82" i="21"/>
  <c r="G75" i="21"/>
  <c r="V226" i="14"/>
  <c r="Z226" i="14"/>
  <c r="Z228" i="14"/>
  <c r="V228" i="14"/>
  <c r="F84" i="21"/>
  <c r="E75" i="14"/>
  <c r="B206" i="14"/>
  <c r="AD206" i="14" s="1"/>
  <c r="F211" i="14"/>
  <c r="AF211" i="14" s="1"/>
  <c r="H74" i="14"/>
  <c r="AK209" i="14"/>
  <c r="D192" i="21"/>
  <c r="H89" i="14"/>
  <c r="U222" i="14"/>
  <c r="J166" i="14"/>
  <c r="AI166" i="14" s="1"/>
  <c r="B162" i="21"/>
  <c r="F171" i="14"/>
  <c r="AF171" i="14" s="1"/>
  <c r="AJ194" i="14"/>
  <c r="J181" i="14"/>
  <c r="AI181" i="14" s="1"/>
  <c r="B74" i="14"/>
  <c r="D180" i="21"/>
  <c r="F88" i="14"/>
  <c r="B179" i="14"/>
  <c r="J178" i="14"/>
  <c r="AI178" i="14" s="1"/>
  <c r="B205" i="14"/>
  <c r="AD205" i="14" s="1"/>
  <c r="D197" i="21"/>
  <c r="H78" i="21"/>
  <c r="J165" i="21"/>
  <c r="H160" i="21"/>
  <c r="E72" i="14"/>
  <c r="G74" i="14"/>
  <c r="B197" i="21"/>
  <c r="Z229" i="14"/>
  <c r="V229" i="14"/>
  <c r="F168" i="14"/>
  <c r="AF168" i="14" s="1"/>
  <c r="AP179" i="14"/>
  <c r="X232" i="14"/>
  <c r="H232" i="14"/>
  <c r="E85" i="21"/>
  <c r="E82" i="21"/>
  <c r="D83" i="14"/>
  <c r="E77" i="14"/>
  <c r="B168" i="14"/>
  <c r="AD168" i="14" s="1"/>
  <c r="AK194" i="14"/>
  <c r="F79" i="21"/>
  <c r="C83" i="21"/>
  <c r="C72" i="21"/>
  <c r="Z225" i="14"/>
  <c r="V225" i="14"/>
  <c r="D85" i="21"/>
  <c r="F194" i="14"/>
  <c r="AF194" i="14" s="1"/>
  <c r="D164" i="14"/>
  <c r="AE164" i="14" s="1"/>
  <c r="J169" i="21"/>
  <c r="H161" i="14"/>
  <c r="U235" i="14"/>
  <c r="B78" i="21"/>
  <c r="G87" i="14"/>
  <c r="AK206" i="14"/>
  <c r="G88" i="14"/>
  <c r="AA232" i="14"/>
  <c r="W232" i="14"/>
  <c r="AK203" i="14"/>
  <c r="F203" i="14"/>
  <c r="AF203" i="14" s="1"/>
  <c r="F164" i="21"/>
  <c r="E73" i="14"/>
  <c r="F181" i="14"/>
  <c r="AF181" i="14" s="1"/>
  <c r="F206" i="14"/>
  <c r="AF206" i="14" s="1"/>
  <c r="F169" i="21"/>
  <c r="C74" i="21"/>
  <c r="D167" i="21"/>
  <c r="AK166" i="14"/>
  <c r="H181" i="14"/>
  <c r="AG181" i="14" s="1"/>
  <c r="F180" i="21"/>
  <c r="AK210" i="14"/>
  <c r="D200" i="21"/>
  <c r="F201" i="14"/>
  <c r="AF201" i="14" s="1"/>
  <c r="B179" i="21"/>
  <c r="J175" i="14"/>
  <c r="AI175" i="14" s="1"/>
  <c r="AJ206" i="14"/>
  <c r="C88" i="14"/>
  <c r="D77" i="21"/>
  <c r="F179" i="14"/>
  <c r="H85" i="21"/>
  <c r="B79" i="21"/>
  <c r="F196" i="14"/>
  <c r="AF196" i="14" s="1"/>
  <c r="E90" i="14"/>
  <c r="AL168" i="14"/>
  <c r="H236" i="21"/>
  <c r="F208" i="14"/>
  <c r="AF208" i="14" s="1"/>
  <c r="B72" i="14"/>
  <c r="AP165" i="14"/>
  <c r="G80" i="21"/>
  <c r="B181" i="14"/>
  <c r="AD181" i="14" s="1"/>
  <c r="F178" i="14"/>
  <c r="AF178" i="14" s="1"/>
  <c r="B85" i="14"/>
  <c r="AK165" i="14"/>
  <c r="V234" i="14"/>
  <c r="Z234" i="14"/>
  <c r="AM178" i="14"/>
  <c r="B209" i="21"/>
  <c r="H232" i="21"/>
  <c r="D87" i="14"/>
  <c r="B205" i="21"/>
  <c r="H70" i="14"/>
  <c r="J176" i="14"/>
  <c r="AI176" i="14" s="1"/>
  <c r="B170" i="14"/>
  <c r="AD170" i="14" s="1"/>
  <c r="D196" i="14"/>
  <c r="AE196" i="14" s="1"/>
  <c r="AP163" i="14"/>
  <c r="D195" i="21"/>
  <c r="D73" i="14"/>
  <c r="E87" i="21"/>
  <c r="Z227" i="14"/>
  <c r="V227" i="14"/>
  <c r="B178" i="14"/>
  <c r="AD178" i="14" s="1"/>
  <c r="C89" i="21"/>
  <c r="F78" i="21"/>
  <c r="B169" i="21"/>
  <c r="B164" i="14"/>
  <c r="AD164" i="14" s="1"/>
  <c r="C73" i="21"/>
  <c r="G82" i="21"/>
  <c r="AP180" i="14"/>
  <c r="E89" i="14"/>
  <c r="G85" i="21"/>
  <c r="U237" i="14"/>
  <c r="AB239" i="14"/>
  <c r="B208" i="14"/>
  <c r="AD208" i="14" s="1"/>
  <c r="E78" i="21"/>
  <c r="B209" i="14"/>
  <c r="AD209" i="14" s="1"/>
  <c r="B170" i="21"/>
  <c r="B174" i="14"/>
  <c r="AD174" i="14" s="1"/>
  <c r="D194" i="21"/>
  <c r="H73" i="14"/>
  <c r="X234" i="14"/>
  <c r="H234" i="14"/>
  <c r="H174" i="14"/>
  <c r="AG174" i="14" s="1"/>
  <c r="AJ205" i="14"/>
  <c r="AB234" i="14"/>
  <c r="E74" i="21"/>
  <c r="B173" i="14"/>
  <c r="AD173" i="14" s="1"/>
  <c r="AN171" i="14"/>
  <c r="F88" i="21"/>
  <c r="V238" i="14"/>
  <c r="Z238" i="14"/>
  <c r="B201" i="14"/>
  <c r="AD201" i="14" s="1"/>
  <c r="F83" i="14"/>
  <c r="AB236" i="14"/>
  <c r="D208" i="21"/>
  <c r="D78" i="14"/>
  <c r="B195" i="21"/>
  <c r="D80" i="21"/>
  <c r="H172" i="21"/>
  <c r="U234" i="14"/>
  <c r="H233" i="21"/>
  <c r="AL174" i="14"/>
  <c r="H235" i="21"/>
  <c r="AJ195" i="14"/>
  <c r="H180" i="14"/>
  <c r="C82" i="21"/>
  <c r="H85" i="14"/>
  <c r="E80" i="21"/>
  <c r="J173" i="21"/>
  <c r="B193" i="14"/>
  <c r="AD193" i="14" s="1"/>
  <c r="B70" i="21"/>
  <c r="H164" i="21"/>
  <c r="H239" i="14"/>
  <c r="X239" i="14"/>
  <c r="C70" i="21"/>
  <c r="H237" i="21"/>
  <c r="D198" i="21"/>
  <c r="H163" i="21"/>
  <c r="H83" i="21"/>
  <c r="U229" i="14"/>
  <c r="Z235" i="14"/>
  <c r="V235" i="14"/>
  <c r="F90" i="14"/>
  <c r="AB227" i="14"/>
  <c r="J167" i="21"/>
  <c r="E79" i="14"/>
  <c r="H164" i="14"/>
  <c r="AG164" i="14" s="1"/>
  <c r="H228" i="14"/>
  <c r="X228" i="14"/>
  <c r="J168" i="21"/>
  <c r="AJ198" i="14"/>
  <c r="E75" i="21"/>
  <c r="D70" i="21"/>
  <c r="C85" i="14"/>
  <c r="B191" i="14"/>
  <c r="H173" i="14"/>
  <c r="AG173" i="14" s="1"/>
  <c r="J174" i="21"/>
  <c r="AL178" i="14"/>
  <c r="AA231" i="14"/>
  <c r="W231" i="14"/>
  <c r="B82" i="14"/>
  <c r="AL170" i="14"/>
  <c r="J179" i="21"/>
  <c r="H165" i="21"/>
  <c r="W239" i="14"/>
  <c r="AA239" i="14"/>
  <c r="AK208" i="14"/>
  <c r="D88" i="21"/>
  <c r="U238" i="14"/>
  <c r="D85" i="14"/>
  <c r="B200" i="14"/>
  <c r="AD200" i="14" s="1"/>
  <c r="G74" i="21"/>
  <c r="W225" i="14"/>
  <c r="AA225" i="14"/>
  <c r="F77" i="21"/>
  <c r="G78" i="14"/>
  <c r="H173" i="21"/>
  <c r="B75" i="14"/>
  <c r="D171" i="14"/>
  <c r="AE171" i="14" s="1"/>
  <c r="AM176" i="14"/>
  <c r="AN181" i="14"/>
  <c r="H229" i="14"/>
  <c r="X229" i="14"/>
  <c r="C75" i="21"/>
  <c r="F75" i="14"/>
  <c r="F209" i="14"/>
  <c r="AF209" i="14" s="1"/>
  <c r="H169" i="14"/>
  <c r="AG169" i="14" s="1"/>
  <c r="D181" i="14"/>
  <c r="AE181" i="14" s="1"/>
  <c r="E83" i="21"/>
  <c r="AK201" i="14"/>
  <c r="G77" i="14"/>
  <c r="AM181" i="14"/>
  <c r="AN169" i="14"/>
  <c r="D201" i="14"/>
  <c r="AE201" i="14" s="1"/>
  <c r="W234" i="14"/>
  <c r="AA234" i="14"/>
  <c r="G89" i="21"/>
  <c r="F173" i="14"/>
  <c r="AF173" i="14" s="1"/>
  <c r="D191" i="14"/>
  <c r="AB222" i="14"/>
  <c r="D164" i="21"/>
  <c r="AK196" i="14"/>
  <c r="C84" i="14"/>
  <c r="AP164" i="14"/>
  <c r="AM170" i="14"/>
  <c r="D204" i="21"/>
  <c r="G70" i="14"/>
  <c r="F198" i="14"/>
  <c r="AF198" i="14" s="1"/>
  <c r="F90" i="21"/>
  <c r="H89" i="21"/>
  <c r="B204" i="14"/>
  <c r="AD204" i="14" s="1"/>
  <c r="AN166" i="14"/>
  <c r="C78" i="14"/>
  <c r="B203" i="14"/>
  <c r="AD203" i="14" s="1"/>
  <c r="E82" i="14"/>
  <c r="J180" i="14"/>
  <c r="AI180" i="14" s="1"/>
  <c r="B87" i="21"/>
  <c r="V230" i="14"/>
  <c r="Z230" i="14"/>
  <c r="E72" i="21"/>
  <c r="H235" i="14"/>
  <c r="X235" i="14"/>
  <c r="B73" i="14"/>
  <c r="AP166" i="14"/>
  <c r="B84" i="21"/>
  <c r="AM173" i="14"/>
  <c r="G70" i="21"/>
  <c r="B203" i="21"/>
  <c r="H170" i="14"/>
  <c r="AG170" i="14" s="1"/>
  <c r="B88" i="21"/>
  <c r="AN173" i="14"/>
  <c r="B199" i="21"/>
  <c r="H77" i="21"/>
  <c r="F84" i="14"/>
  <c r="D161" i="14"/>
  <c r="D75" i="21"/>
  <c r="F85" i="21"/>
  <c r="F178" i="21"/>
  <c r="C73" i="14"/>
  <c r="U233" i="14"/>
  <c r="G80" i="14"/>
  <c r="X233" i="14"/>
  <c r="H233" i="14"/>
  <c r="D174" i="14"/>
  <c r="AE174" i="14" s="1"/>
  <c r="F80" i="21"/>
  <c r="D165" i="21"/>
  <c r="B175" i="21"/>
  <c r="H174" i="21"/>
  <c r="H238" i="14"/>
  <c r="X238" i="14"/>
  <c r="AL165" i="14"/>
  <c r="AM164" i="14"/>
  <c r="AM175" i="14"/>
  <c r="C87" i="21"/>
  <c r="B89" i="21"/>
  <c r="E83" i="14"/>
  <c r="AK200" i="14"/>
  <c r="F75" i="21"/>
  <c r="F174" i="21"/>
  <c r="U230" i="14"/>
  <c r="D169" i="14"/>
  <c r="AE169" i="14" s="1"/>
  <c r="B160" i="21"/>
  <c r="D200" i="14"/>
  <c r="AE200" i="14" s="1"/>
  <c r="E78" i="14"/>
  <c r="B169" i="14"/>
  <c r="AD169" i="14" s="1"/>
  <c r="F180" i="14"/>
  <c r="B77" i="21"/>
  <c r="D162" i="21"/>
  <c r="C75" i="14"/>
  <c r="H222" i="21"/>
  <c r="H225" i="14"/>
  <c r="X225" i="14"/>
  <c r="F170" i="21"/>
  <c r="F205" i="14"/>
  <c r="AF205" i="14" s="1"/>
  <c r="H224" i="14"/>
  <c r="X224" i="14"/>
  <c r="AJ196" i="14"/>
  <c r="B80" i="21"/>
  <c r="H70" i="21"/>
  <c r="B200" i="21"/>
  <c r="AB232" i="14"/>
  <c r="D204" i="14"/>
  <c r="AE204" i="14" s="1"/>
  <c r="G82" i="14"/>
  <c r="B75" i="21"/>
  <c r="AB224" i="14"/>
  <c r="AK211" i="14"/>
  <c r="F166" i="14"/>
  <c r="AF166" i="14" s="1"/>
  <c r="F210" i="14"/>
  <c r="AF210" i="14" s="1"/>
  <c r="H165" i="14"/>
  <c r="AG165" i="14" s="1"/>
  <c r="G89" i="14"/>
  <c r="F89" i="21"/>
  <c r="F167" i="21"/>
  <c r="D72" i="14"/>
  <c r="F200" i="14"/>
  <c r="AF200" i="14" s="1"/>
  <c r="F165" i="14"/>
  <c r="AF165" i="14" s="1"/>
  <c r="J174" i="14"/>
  <c r="AI174" i="14" s="1"/>
  <c r="AL169" i="14"/>
  <c r="H84" i="14"/>
  <c r="H79" i="14"/>
  <c r="Z231" i="14"/>
  <c r="V231" i="14"/>
  <c r="B210" i="14"/>
  <c r="AD210" i="14" s="1"/>
  <c r="B163" i="14"/>
  <c r="AD163" i="14" s="1"/>
  <c r="E77" i="21"/>
  <c r="B72" i="21"/>
  <c r="D74" i="14"/>
  <c r="C74" i="14"/>
  <c r="D175" i="21"/>
  <c r="AK176" i="14"/>
  <c r="AA235" i="14"/>
  <c r="W235" i="14"/>
  <c r="J164" i="21"/>
  <c r="E87" i="14"/>
  <c r="B85" i="21"/>
  <c r="H234" i="21"/>
  <c r="C90" i="21"/>
  <c r="F74" i="21"/>
  <c r="J163" i="21"/>
  <c r="H226" i="14"/>
  <c r="X226" i="14"/>
  <c r="U228" i="14"/>
  <c r="D87" i="21"/>
  <c r="AN178" i="14"/>
  <c r="AM166" i="14"/>
  <c r="F161" i="14"/>
  <c r="H225" i="21"/>
  <c r="AP175" i="14"/>
  <c r="AM163" i="14"/>
  <c r="J180" i="21"/>
  <c r="D83" i="21"/>
  <c r="AK198" i="14"/>
  <c r="D190" i="21"/>
  <c r="AL163" i="14"/>
  <c r="B192" i="21"/>
  <c r="X222" i="14"/>
  <c r="H222" i="14"/>
  <c r="H73" i="21"/>
  <c r="AB229" i="14"/>
  <c r="AK169" i="14"/>
  <c r="D193" i="21"/>
  <c r="D70" i="14"/>
  <c r="B161" i="14"/>
  <c r="D174" i="21"/>
  <c r="AN170" i="14"/>
  <c r="F85" i="14"/>
  <c r="B78" i="14"/>
  <c r="AL164" i="14"/>
  <c r="B163" i="21"/>
  <c r="H177" i="21"/>
  <c r="AA227" i="14"/>
  <c r="W227" i="14"/>
  <c r="AK174" i="14"/>
  <c r="AP170" i="14"/>
  <c r="H227" i="21"/>
  <c r="X227" i="14"/>
  <c r="H227" i="14"/>
  <c r="U232" i="14"/>
  <c r="F72" i="21"/>
  <c r="AK199" i="14"/>
  <c r="AK181" i="14"/>
  <c r="D168" i="14"/>
  <c r="AE168" i="14" s="1"/>
  <c r="F168" i="21"/>
  <c r="H77" i="14"/>
  <c r="AK168" i="14"/>
  <c r="D173" i="14"/>
  <c r="AE173" i="14" s="1"/>
  <c r="F89" i="14"/>
  <c r="B167" i="21"/>
  <c r="D176" i="14"/>
  <c r="AE176" i="14" s="1"/>
  <c r="AB228" i="14"/>
  <c r="G78" i="21"/>
  <c r="H87" i="14"/>
  <c r="H72" i="14"/>
  <c r="D79" i="21"/>
  <c r="F176" i="14"/>
  <c r="AF176" i="14" s="1"/>
  <c r="W228" i="14"/>
  <c r="AA228" i="14"/>
  <c r="AJ210" i="14"/>
  <c r="X237" i="14"/>
  <c r="H237" i="14"/>
  <c r="H180" i="21"/>
  <c r="B194" i="21"/>
  <c r="D163" i="21"/>
  <c r="H74" i="21"/>
  <c r="D195" i="14"/>
  <c r="AE195" i="14" s="1"/>
  <c r="AJ193" i="14"/>
  <c r="D179" i="14"/>
  <c r="U227" i="14"/>
  <c r="C78" i="21"/>
  <c r="H83" i="14"/>
  <c r="D202" i="21"/>
  <c r="U239" i="14"/>
  <c r="D172" i="21"/>
  <c r="D72" i="21"/>
  <c r="B196" i="14"/>
  <c r="AD196" i="14" s="1"/>
  <c r="H223" i="21"/>
  <c r="D88" i="14"/>
  <c r="B199" i="14"/>
  <c r="AD199" i="14" s="1"/>
  <c r="F175" i="14"/>
  <c r="AF175" i="14" s="1"/>
  <c r="B88" i="14"/>
  <c r="B77" i="14"/>
  <c r="F72" i="14"/>
  <c r="E79" i="21"/>
  <c r="H229" i="21"/>
  <c r="H75" i="21"/>
  <c r="D198" i="14"/>
  <c r="AE198" i="14" s="1"/>
  <c r="F199" i="14"/>
  <c r="AF199" i="14" s="1"/>
  <c r="B211" i="14"/>
  <c r="AD211" i="14" s="1"/>
  <c r="H88" i="14"/>
  <c r="B178" i="21"/>
  <c r="D209" i="14"/>
  <c r="AE209" i="14" s="1"/>
  <c r="C77" i="21"/>
  <c r="F83" i="21"/>
  <c r="AJ209" i="14"/>
  <c r="V239" i="14"/>
  <c r="Z239" i="14"/>
  <c r="F191" i="14"/>
  <c r="AL166" i="14"/>
  <c r="AK175" i="14"/>
  <c r="AB235" i="14"/>
  <c r="AM174" i="14"/>
  <c r="C80" i="14"/>
  <c r="C84" i="21"/>
  <c r="D199" i="21"/>
  <c r="AA230" i="14"/>
  <c r="W230" i="14"/>
  <c r="B84" i="14"/>
  <c r="F175" i="21"/>
  <c r="J175" i="21"/>
  <c r="F73" i="21"/>
  <c r="G90" i="21"/>
  <c r="H228" i="21"/>
  <c r="F204" i="14"/>
  <c r="AF204" i="14" s="1"/>
  <c r="H220" i="21"/>
  <c r="D82" i="21"/>
  <c r="B166" i="14"/>
  <c r="AD166" i="14" s="1"/>
  <c r="AM165" i="14"/>
  <c r="H82" i="21"/>
  <c r="B180" i="14"/>
  <c r="D207" i="21"/>
  <c r="G83" i="21"/>
  <c r="AB226" i="14"/>
  <c r="B198" i="14"/>
  <c r="AD198" i="14" s="1"/>
  <c r="X231" i="14"/>
  <c r="H231" i="14"/>
  <c r="F74" i="14"/>
  <c r="D194" i="14"/>
  <c r="AE194" i="14" s="1"/>
  <c r="H171" i="14"/>
  <c r="AG171" i="14" s="1"/>
  <c r="D210" i="14"/>
  <c r="AE210" i="14" s="1"/>
  <c r="H178" i="21"/>
  <c r="V233" i="14"/>
  <c r="Z233" i="14"/>
  <c r="F70" i="14"/>
  <c r="AL176" i="14"/>
  <c r="D211" i="14"/>
  <c r="AE211" i="14" s="1"/>
  <c r="W229" i="14"/>
  <c r="AA229" i="14"/>
  <c r="H236" i="14"/>
  <c r="X236" i="14"/>
  <c r="V236" i="14"/>
  <c r="Z236" i="14"/>
  <c r="G75" i="14"/>
  <c r="C83" i="14"/>
  <c r="B90" i="21"/>
  <c r="AN168" i="14"/>
  <c r="H90" i="21"/>
  <c r="D160" i="21"/>
  <c r="F77" i="14"/>
  <c r="U225" i="14"/>
  <c r="AK178" i="14"/>
  <c r="C77" i="14"/>
  <c r="F82" i="14"/>
  <c r="B174" i="21"/>
  <c r="B207" i="21"/>
  <c r="AK204" i="14"/>
  <c r="B89" i="14"/>
  <c r="D77" i="14"/>
  <c r="D165" i="14"/>
  <c r="AE165" i="14" s="1"/>
  <c r="B204" i="21"/>
  <c r="AM168" i="14"/>
  <c r="H226" i="21"/>
  <c r="AJ199" i="14"/>
  <c r="D178" i="14"/>
  <c r="AE178" i="14" s="1"/>
  <c r="AJ200" i="14"/>
  <c r="F78" i="14"/>
  <c r="G90" i="14"/>
  <c r="AJ204" i="14"/>
  <c r="B87" i="14"/>
  <c r="H80" i="21"/>
  <c r="D203" i="21"/>
  <c r="H90" i="14"/>
  <c r="D203" i="14"/>
  <c r="AE203" i="14" s="1"/>
  <c r="C88" i="21"/>
  <c r="AM169" i="14"/>
  <c r="Z222" i="14"/>
  <c r="V222" i="14"/>
  <c r="D84" i="21"/>
  <c r="B164" i="21"/>
  <c r="E70" i="21"/>
  <c r="B70" i="14"/>
  <c r="H82" i="14"/>
  <c r="H175" i="14"/>
  <c r="AG175" i="14" s="1"/>
  <c r="F193" i="14"/>
  <c r="AF193" i="14" s="1"/>
  <c r="D179" i="21"/>
  <c r="H88" i="21"/>
  <c r="C90" i="14"/>
  <c r="C80" i="21"/>
  <c r="D73" i="21"/>
  <c r="J173" i="14"/>
  <c r="AI173" i="14" s="1"/>
  <c r="D89" i="21"/>
  <c r="C79" i="14"/>
  <c r="H176" i="14"/>
  <c r="AG176" i="14" s="1"/>
  <c r="U236" i="14"/>
  <c r="F174" i="14"/>
  <c r="AF174" i="14" s="1"/>
  <c r="B74" i="21"/>
  <c r="D75" i="14"/>
  <c r="AB238" i="14"/>
  <c r="J165" i="14"/>
  <c r="AI165" i="14" s="1"/>
  <c r="H231" i="21"/>
  <c r="AP171" i="14"/>
  <c r="D74" i="21"/>
  <c r="G77" i="21"/>
  <c r="B83" i="21"/>
  <c r="H224" i="21"/>
  <c r="C87" i="14"/>
  <c r="H79" i="21"/>
  <c r="E85" i="14"/>
  <c r="H72" i="21"/>
  <c r="F87" i="14"/>
  <c r="B90" i="14"/>
  <c r="B171" i="14"/>
  <c r="AD171" i="14" s="1"/>
  <c r="J172" i="21"/>
  <c r="U231" i="14"/>
  <c r="W238" i="14"/>
  <c r="AA238" i="14"/>
  <c r="F163" i="14"/>
  <c r="AF163" i="14" s="1"/>
  <c r="B177" i="21"/>
  <c r="D175" i="14"/>
  <c r="AE175" i="14" s="1"/>
  <c r="C79" i="21"/>
  <c r="E90" i="21"/>
  <c r="AP176" i="14"/>
  <c r="D89" i="14"/>
  <c r="U224" i="14"/>
  <c r="D199" i="14"/>
  <c r="AE199" i="14" s="1"/>
  <c r="AK171" i="14"/>
  <c r="B83" i="14"/>
  <c r="B73" i="21"/>
  <c r="B165" i="21"/>
  <c r="C85" i="21"/>
  <c r="D79" i="14"/>
  <c r="AK205" i="14"/>
  <c r="G84" i="14"/>
  <c r="AP173" i="14"/>
  <c r="H179" i="21"/>
  <c r="AJ208" i="14"/>
  <c r="E73" i="21"/>
  <c r="G72" i="21"/>
  <c r="H84" i="21"/>
  <c r="H80" i="14"/>
  <c r="AJ203" i="14"/>
  <c r="B202" i="21"/>
  <c r="AB225" i="14"/>
  <c r="B176" i="14"/>
  <c r="AD176" i="14" s="1"/>
  <c r="AA222" i="14"/>
  <c r="W222" i="14"/>
  <c r="G88" i="21"/>
  <c r="J170" i="21"/>
  <c r="D177" i="21"/>
  <c r="G73" i="14"/>
  <c r="E84" i="21"/>
  <c r="B210" i="21"/>
  <c r="B173" i="21"/>
  <c r="F170" i="14"/>
  <c r="AF170" i="14" s="1"/>
  <c r="F169" i="14"/>
  <c r="AF169" i="14" s="1"/>
  <c r="D90" i="21"/>
  <c r="D208" i="14"/>
  <c r="AE208" i="14" s="1"/>
  <c r="B190" i="21"/>
  <c r="D178" i="21"/>
  <c r="AB230" i="14"/>
  <c r="AB233" i="14"/>
  <c r="J171" i="14"/>
  <c r="AI171" i="14" s="1"/>
  <c r="B175" i="14"/>
  <c r="AD175" i="14" s="1"/>
  <c r="B80" i="14"/>
  <c r="H168" i="14"/>
  <c r="AG168" i="14" s="1"/>
  <c r="AM161" i="14" l="1"/>
  <c r="AK161" i="14"/>
  <c r="AC230" i="14"/>
  <c r="Y230" i="14"/>
  <c r="Y225" i="14"/>
  <c r="AC225" i="14"/>
  <c r="AC237" i="14"/>
  <c r="Y237" i="14"/>
  <c r="Y224" i="14"/>
  <c r="AC224" i="14"/>
  <c r="Y233" i="14"/>
  <c r="AC233" i="14"/>
  <c r="AI161" i="14"/>
  <c r="AE191" i="14"/>
  <c r="AD191" i="14"/>
  <c r="AK191" i="14"/>
  <c r="AJ191" i="14"/>
  <c r="AF191" i="14"/>
  <c r="AC229" i="14"/>
  <c r="Y229" i="14"/>
  <c r="Y234" i="14"/>
  <c r="AC234" i="14"/>
  <c r="AC232" i="14"/>
  <c r="Y232" i="14"/>
  <c r="AE161" i="14"/>
  <c r="Y238" i="14"/>
  <c r="AC238" i="14"/>
  <c r="AF161" i="14"/>
  <c r="Y226" i="14"/>
  <c r="AC226" i="14"/>
  <c r="AG161" i="14"/>
  <c r="AL161" i="14"/>
  <c r="AC235" i="14"/>
  <c r="Y235" i="14"/>
  <c r="Y239" i="14"/>
  <c r="AC239" i="14"/>
  <c r="Y236" i="14"/>
  <c r="AC236" i="14"/>
  <c r="Y222" i="14"/>
  <c r="AC222" i="14"/>
  <c r="AD161" i="14"/>
  <c r="AN161" i="14"/>
  <c r="AC231" i="14"/>
  <c r="Y231" i="14"/>
  <c r="Y227" i="14"/>
  <c r="AC227" i="14"/>
  <c r="AC228" i="14"/>
  <c r="Y228" i="14"/>
  <c r="AP161" i="14"/>
</calcChain>
</file>

<file path=xl/comments1.xml><?xml version="1.0" encoding="utf-8"?>
<comments xmlns="http://schemas.openxmlformats.org/spreadsheetml/2006/main">
  <authors>
    <author>jmarks</author>
  </authors>
  <commentList>
    <comment ref="C10" authorId="0">
      <text>
        <r>
          <rPr>
            <b/>
            <sz val="10"/>
            <color indexed="81"/>
            <rFont val="Tahoma"/>
            <family val="2"/>
          </rPr>
          <t>jmarks:</t>
        </r>
        <r>
          <rPr>
            <sz val="10"/>
            <color indexed="81"/>
            <rFont val="Tahoma"/>
            <family val="2"/>
          </rPr>
          <t xml:space="preserve">
Formula for regional figure to use when all states report.</t>
        </r>
      </text>
    </comment>
    <comment ref="E10" authorId="0">
      <text>
        <r>
          <rPr>
            <b/>
            <sz val="10"/>
            <color indexed="81"/>
            <rFont val="Tahoma"/>
            <family val="2"/>
          </rPr>
          <t>jmarks:</t>
        </r>
        <r>
          <rPr>
            <sz val="10"/>
            <color indexed="81"/>
            <rFont val="Tahoma"/>
            <family val="2"/>
          </rPr>
          <t xml:space="preserve">
Formula for regional figure to use when all states report.</t>
        </r>
      </text>
    </comment>
    <comment ref="G10" authorId="0">
      <text>
        <r>
          <rPr>
            <b/>
            <sz val="10"/>
            <color indexed="81"/>
            <rFont val="Tahoma"/>
            <family val="2"/>
          </rPr>
          <t>jmarks:</t>
        </r>
        <r>
          <rPr>
            <sz val="10"/>
            <color indexed="81"/>
            <rFont val="Tahoma"/>
            <family val="2"/>
          </rPr>
          <t xml:space="preserve">
Formula for regional figure to use when all states report.</t>
        </r>
      </text>
    </comment>
    <comment ref="I10" authorId="0">
      <text>
        <r>
          <rPr>
            <b/>
            <sz val="10"/>
            <color indexed="81"/>
            <rFont val="Tahoma"/>
            <family val="2"/>
          </rPr>
          <t>jmarks:</t>
        </r>
        <r>
          <rPr>
            <sz val="10"/>
            <color indexed="81"/>
            <rFont val="Tahoma"/>
            <family val="2"/>
          </rPr>
          <t xml:space="preserve">
Formula for regional figure to use when all states report.</t>
        </r>
      </text>
    </comment>
    <comment ref="K10" authorId="0">
      <text>
        <r>
          <rPr>
            <b/>
            <sz val="10"/>
            <color indexed="81"/>
            <rFont val="Tahoma"/>
            <family val="2"/>
          </rPr>
          <t>jmarks:</t>
        </r>
        <r>
          <rPr>
            <sz val="10"/>
            <color indexed="81"/>
            <rFont val="Tahoma"/>
            <family val="2"/>
          </rPr>
          <t xml:space="preserve">
Formula for regional figure to use when all states report.</t>
        </r>
      </text>
    </comment>
    <comment ref="M10" authorId="0">
      <text>
        <r>
          <rPr>
            <b/>
            <sz val="10"/>
            <color indexed="81"/>
            <rFont val="Tahoma"/>
            <family val="2"/>
          </rPr>
          <t>jmarks:</t>
        </r>
        <r>
          <rPr>
            <sz val="10"/>
            <color indexed="81"/>
            <rFont val="Tahoma"/>
            <family val="2"/>
          </rPr>
          <t xml:space="preserve">
Formula for regional figure to use when all states report.</t>
        </r>
      </text>
    </comment>
    <comment ref="O10" authorId="0">
      <text>
        <r>
          <rPr>
            <b/>
            <sz val="10"/>
            <color indexed="81"/>
            <rFont val="Tahoma"/>
            <family val="2"/>
          </rPr>
          <t>jmarks:</t>
        </r>
        <r>
          <rPr>
            <sz val="10"/>
            <color indexed="81"/>
            <rFont val="Tahoma"/>
            <family val="2"/>
          </rPr>
          <t xml:space="preserve">
Formula for regional figure to use when all states report.</t>
        </r>
      </text>
    </comment>
    <comment ref="A162" authorId="0">
      <text>
        <r>
          <rPr>
            <b/>
            <sz val="10"/>
            <color indexed="81"/>
            <rFont val="Tahoma"/>
            <family val="2"/>
          </rPr>
          <t>jmarks:</t>
        </r>
        <r>
          <rPr>
            <sz val="10"/>
            <color indexed="81"/>
            <rFont val="Tahoma"/>
            <family val="2"/>
          </rPr>
          <t xml:space="preserve">
Formulas for regional figures to use when all states report.</t>
        </r>
      </text>
    </comment>
    <comment ref="AE179" authorId="0">
      <text>
        <r>
          <rPr>
            <b/>
            <sz val="8"/>
            <color indexed="81"/>
            <rFont val="Tahoma"/>
            <family val="2"/>
          </rPr>
          <t>jmarks:</t>
        </r>
        <r>
          <rPr>
            <sz val="8"/>
            <color indexed="81"/>
            <rFont val="Tahoma"/>
            <family val="2"/>
          </rPr>
          <t xml:space="preserve">
differs to match grouping of funding data</t>
        </r>
      </text>
    </comment>
    <comment ref="AF179" authorId="0">
      <text>
        <r>
          <rPr>
            <b/>
            <sz val="8"/>
            <color indexed="81"/>
            <rFont val="Tahoma"/>
            <family val="2"/>
          </rPr>
          <t>jmarks:</t>
        </r>
        <r>
          <rPr>
            <sz val="8"/>
            <color indexed="81"/>
            <rFont val="Tahoma"/>
            <family val="2"/>
          </rPr>
          <t xml:space="preserve">
differs to match grouping of funding data</t>
        </r>
      </text>
    </comment>
    <comment ref="AG179" authorId="0">
      <text>
        <r>
          <rPr>
            <b/>
            <sz val="8"/>
            <color indexed="81"/>
            <rFont val="Tahoma"/>
            <family val="2"/>
          </rPr>
          <t>jmarks:</t>
        </r>
        <r>
          <rPr>
            <sz val="8"/>
            <color indexed="81"/>
            <rFont val="Tahoma"/>
            <family val="2"/>
          </rPr>
          <t xml:space="preserve">
differs to match grouping of funding data</t>
        </r>
      </text>
    </comment>
    <comment ref="AL179" authorId="0">
      <text>
        <r>
          <rPr>
            <b/>
            <sz val="8"/>
            <color indexed="81"/>
            <rFont val="Tahoma"/>
            <family val="2"/>
          </rPr>
          <t>jmarks:</t>
        </r>
        <r>
          <rPr>
            <sz val="8"/>
            <color indexed="81"/>
            <rFont val="Tahoma"/>
            <family val="2"/>
          </rPr>
          <t xml:space="preserve">
differs to match grouping of funding data</t>
        </r>
      </text>
    </comment>
    <comment ref="AM179" authorId="0">
      <text>
        <r>
          <rPr>
            <b/>
            <sz val="8"/>
            <color indexed="81"/>
            <rFont val="Tahoma"/>
            <family val="2"/>
          </rPr>
          <t>jmarks:</t>
        </r>
        <r>
          <rPr>
            <sz val="8"/>
            <color indexed="81"/>
            <rFont val="Tahoma"/>
            <family val="2"/>
          </rPr>
          <t xml:space="preserve">
differs to match grouping of funding data</t>
        </r>
      </text>
    </comment>
    <comment ref="AN179" authorId="0">
      <text>
        <r>
          <rPr>
            <b/>
            <sz val="8"/>
            <color indexed="81"/>
            <rFont val="Tahoma"/>
            <family val="2"/>
          </rPr>
          <t>jmarks:</t>
        </r>
        <r>
          <rPr>
            <sz val="8"/>
            <color indexed="81"/>
            <rFont val="Tahoma"/>
            <family val="2"/>
          </rPr>
          <t xml:space="preserve">
differs to match grouping of funding data</t>
        </r>
      </text>
    </comment>
    <comment ref="AG180" authorId="0">
      <text>
        <r>
          <rPr>
            <b/>
            <sz val="8"/>
            <color indexed="81"/>
            <rFont val="Tahoma"/>
            <family val="2"/>
          </rPr>
          <t>jmarks:</t>
        </r>
        <r>
          <rPr>
            <sz val="8"/>
            <color indexed="81"/>
            <rFont val="Tahoma"/>
            <family val="2"/>
          </rPr>
          <t xml:space="preserve">
Since R.Bland is the only campus for which funding is identified, the R.B. FTE are manually put in this column.</t>
        </r>
      </text>
    </comment>
    <comment ref="AH180" authorId="0">
      <text>
        <r>
          <rPr>
            <b/>
            <sz val="8"/>
            <color indexed="81"/>
            <rFont val="Tahoma"/>
            <family val="2"/>
          </rPr>
          <t>jmarks:</t>
        </r>
        <r>
          <rPr>
            <sz val="8"/>
            <color indexed="81"/>
            <rFont val="Tahoma"/>
            <family val="2"/>
          </rPr>
          <t xml:space="preserve">
differs to match grouping of funding dat</t>
        </r>
      </text>
    </comment>
    <comment ref="AN180" authorId="0">
      <text>
        <r>
          <rPr>
            <b/>
            <sz val="8"/>
            <color indexed="81"/>
            <rFont val="Tahoma"/>
            <family val="2"/>
          </rPr>
          <t>jmarks:</t>
        </r>
        <r>
          <rPr>
            <sz val="8"/>
            <color indexed="81"/>
            <rFont val="Tahoma"/>
            <family val="2"/>
          </rPr>
          <t xml:space="preserve">
Since R.Bland is the only campus for which funding is identified, the R.B. FTE are manually put in this column.</t>
        </r>
      </text>
    </comment>
    <comment ref="A192" authorId="0">
      <text>
        <r>
          <rPr>
            <b/>
            <sz val="10"/>
            <color indexed="81"/>
            <rFont val="Tahoma"/>
            <family val="2"/>
          </rPr>
          <t>jmarks:</t>
        </r>
        <r>
          <rPr>
            <sz val="10"/>
            <color indexed="81"/>
            <rFont val="Tahoma"/>
            <family val="2"/>
          </rPr>
          <t xml:space="preserve">
Formulas for regional figures to use when all states report.</t>
        </r>
      </text>
    </comment>
  </commentList>
</comments>
</file>

<file path=xl/comments2.xml><?xml version="1.0" encoding="utf-8"?>
<comments xmlns="http://schemas.openxmlformats.org/spreadsheetml/2006/main">
  <authors>
    <author>jmarks</author>
  </authors>
  <commentList>
    <comment ref="A1" authorId="0">
      <text>
        <r>
          <rPr>
            <b/>
            <sz val="10"/>
            <color indexed="81"/>
            <rFont val="Tahoma"/>
            <family val="2"/>
          </rPr>
          <t>jmarks:</t>
        </r>
        <r>
          <rPr>
            <sz val="10"/>
            <color indexed="81"/>
            <rFont val="Tahoma"/>
            <family val="2"/>
          </rPr>
          <t xml:space="preserve">
This set of prior year tables are calculated based on institutional classification as of the current year.</t>
        </r>
      </text>
    </comment>
    <comment ref="C10" authorId="0">
      <text>
        <r>
          <rPr>
            <b/>
            <sz val="10"/>
            <color indexed="81"/>
            <rFont val="Tahoma"/>
            <family val="2"/>
          </rPr>
          <t>jmarks:</t>
        </r>
        <r>
          <rPr>
            <sz val="10"/>
            <color indexed="81"/>
            <rFont val="Tahoma"/>
            <family val="2"/>
          </rPr>
          <t xml:space="preserve">
Formula for regional figure to use when all states report.</t>
        </r>
      </text>
    </comment>
    <comment ref="E10" authorId="0">
      <text>
        <r>
          <rPr>
            <b/>
            <sz val="10"/>
            <color indexed="81"/>
            <rFont val="Tahoma"/>
            <family val="2"/>
          </rPr>
          <t>jmarks:</t>
        </r>
        <r>
          <rPr>
            <sz val="10"/>
            <color indexed="81"/>
            <rFont val="Tahoma"/>
            <family val="2"/>
          </rPr>
          <t xml:space="preserve">
Formula for regional figure to use when all states report.</t>
        </r>
      </text>
    </comment>
    <comment ref="G10" authorId="0">
      <text>
        <r>
          <rPr>
            <b/>
            <sz val="10"/>
            <color indexed="81"/>
            <rFont val="Tahoma"/>
            <family val="2"/>
          </rPr>
          <t>jmarks:</t>
        </r>
        <r>
          <rPr>
            <sz val="10"/>
            <color indexed="81"/>
            <rFont val="Tahoma"/>
            <family val="2"/>
          </rPr>
          <t xml:space="preserve">
Formula for regional figure to use when all states report.</t>
        </r>
      </text>
    </comment>
    <comment ref="I10" authorId="0">
      <text>
        <r>
          <rPr>
            <b/>
            <sz val="10"/>
            <color indexed="81"/>
            <rFont val="Tahoma"/>
            <family val="2"/>
          </rPr>
          <t>jmarks:</t>
        </r>
        <r>
          <rPr>
            <sz val="10"/>
            <color indexed="81"/>
            <rFont val="Tahoma"/>
            <family val="2"/>
          </rPr>
          <t xml:space="preserve">
Formula for regional figure to use when all states report.</t>
        </r>
      </text>
    </comment>
    <comment ref="K10" authorId="0">
      <text>
        <r>
          <rPr>
            <b/>
            <sz val="10"/>
            <color indexed="81"/>
            <rFont val="Tahoma"/>
            <family val="2"/>
          </rPr>
          <t>jmarks:</t>
        </r>
        <r>
          <rPr>
            <sz val="10"/>
            <color indexed="81"/>
            <rFont val="Tahoma"/>
            <family val="2"/>
          </rPr>
          <t xml:space="preserve">
Formula for regional figure to use when all states report.</t>
        </r>
      </text>
    </comment>
    <comment ref="M10" authorId="0">
      <text>
        <r>
          <rPr>
            <b/>
            <sz val="10"/>
            <color indexed="81"/>
            <rFont val="Tahoma"/>
            <family val="2"/>
          </rPr>
          <t>jmarks:</t>
        </r>
        <r>
          <rPr>
            <sz val="10"/>
            <color indexed="81"/>
            <rFont val="Tahoma"/>
            <family val="2"/>
          </rPr>
          <t xml:space="preserve">
Formula for regional figure to use when all states report.</t>
        </r>
      </text>
    </comment>
    <comment ref="O10" authorId="0">
      <text>
        <r>
          <rPr>
            <b/>
            <sz val="10"/>
            <color indexed="81"/>
            <rFont val="Tahoma"/>
            <family val="2"/>
          </rPr>
          <t>jmarks:</t>
        </r>
        <r>
          <rPr>
            <sz val="10"/>
            <color indexed="81"/>
            <rFont val="Tahoma"/>
            <family val="2"/>
          </rPr>
          <t xml:space="preserve">
Formula for regional figure to use when all states report.</t>
        </r>
      </text>
    </comment>
    <comment ref="A161" authorId="0">
      <text>
        <r>
          <rPr>
            <b/>
            <sz val="10"/>
            <color indexed="81"/>
            <rFont val="Tahoma"/>
            <family val="2"/>
          </rPr>
          <t>jmarks:</t>
        </r>
        <r>
          <rPr>
            <sz val="10"/>
            <color indexed="81"/>
            <rFont val="Tahoma"/>
            <family val="2"/>
          </rPr>
          <t xml:space="preserve">
Formulas for regional figures to use when all states report.</t>
        </r>
      </text>
    </comment>
    <comment ref="A191" authorId="0">
      <text>
        <r>
          <rPr>
            <b/>
            <sz val="10"/>
            <color indexed="81"/>
            <rFont val="Tahoma"/>
            <family val="2"/>
          </rPr>
          <t>jmarks:</t>
        </r>
        <r>
          <rPr>
            <sz val="10"/>
            <color indexed="81"/>
            <rFont val="Tahoma"/>
            <family val="2"/>
          </rPr>
          <t xml:space="preserve">
Formulas for regional figures to use when all states report.</t>
        </r>
      </text>
    </comment>
  </commentList>
</comments>
</file>

<file path=xl/comments3.xml><?xml version="1.0" encoding="utf-8"?>
<comments xmlns="http://schemas.openxmlformats.org/spreadsheetml/2006/main">
  <authors>
    <author>mloverde</author>
    <author>jmarks</author>
    <author>Alicia A. Diaz</author>
    <author>Bailey, Mike  (CPE)</author>
    <author>mevilsiz</author>
    <author>ingogliaj</author>
  </authors>
  <commentList>
    <comment ref="Q4" authorId="0">
      <text>
        <r>
          <rPr>
            <b/>
            <sz val="10"/>
            <color indexed="81"/>
            <rFont val="Tahoma"/>
            <family val="2"/>
          </rPr>
          <t>jmarks: Formula must "fit" term code: /30 for semesters; /45 for quarters</t>
        </r>
      </text>
    </comment>
    <comment ref="V4" authorId="1">
      <text>
        <r>
          <rPr>
            <b/>
            <sz val="10"/>
            <color indexed="81"/>
            <rFont val="Tahoma"/>
            <family val="2"/>
          </rPr>
          <t>jmarks:</t>
        </r>
        <r>
          <rPr>
            <sz val="10"/>
            <color indexed="81"/>
            <rFont val="Tahoma"/>
            <family val="2"/>
          </rPr>
          <t xml:space="preserve">
To perform weighted averages, totals can only be included when h.s. student data present.</t>
        </r>
      </text>
    </comment>
    <comment ref="AG4" authorId="0">
      <text>
        <r>
          <rPr>
            <b/>
            <sz val="10"/>
            <color indexed="81"/>
            <rFont val="Tahoma"/>
            <family val="2"/>
          </rPr>
          <t>jmarks: Formula must "fit" term code: /30 for semesters; /45 for quarters</t>
        </r>
      </text>
    </comment>
    <comment ref="AL4" authorId="1">
      <text>
        <r>
          <rPr>
            <b/>
            <sz val="10"/>
            <color indexed="81"/>
            <rFont val="Tahoma"/>
            <family val="2"/>
          </rPr>
          <t>jmarks:</t>
        </r>
        <r>
          <rPr>
            <sz val="10"/>
            <color indexed="81"/>
            <rFont val="Tahoma"/>
            <family val="2"/>
          </rPr>
          <t xml:space="preserve">
To perform weighted averages, totals can only be included when h.s. student data present.</t>
        </r>
      </text>
    </comment>
    <comment ref="AW4" authorId="0">
      <text>
        <r>
          <rPr>
            <b/>
            <sz val="10"/>
            <color indexed="81"/>
            <rFont val="Tahoma"/>
            <family val="2"/>
          </rPr>
          <t>jmarks: Formula must "fit" term code: /30 for semesters; /45 for quarters</t>
        </r>
      </text>
    </comment>
    <comment ref="V6" authorId="1">
      <text>
        <r>
          <rPr>
            <b/>
            <sz val="10"/>
            <color indexed="81"/>
            <rFont val="Tahoma"/>
            <family val="2"/>
          </rPr>
          <t>jmarks:</t>
        </r>
        <r>
          <rPr>
            <sz val="10"/>
            <color indexed="81"/>
            <rFont val="Tahoma"/>
            <family val="2"/>
          </rPr>
          <t xml:space="preserve">
To perform weighted averages, totals can only be included when h.s. student data present.</t>
        </r>
      </text>
    </comment>
    <comment ref="AL6" authorId="1">
      <text>
        <r>
          <rPr>
            <b/>
            <sz val="10"/>
            <color indexed="81"/>
            <rFont val="Tahoma"/>
            <family val="2"/>
          </rPr>
          <t>jmarks:</t>
        </r>
        <r>
          <rPr>
            <sz val="10"/>
            <color indexed="81"/>
            <rFont val="Tahoma"/>
            <family val="2"/>
          </rPr>
          <t xml:space="preserve">
To perform weighted averages, totals can only be included when h.s. student data present.</t>
        </r>
      </text>
    </comment>
    <comment ref="D20" authorId="2">
      <text>
        <r>
          <rPr>
            <b/>
            <sz val="8"/>
            <color indexed="81"/>
            <rFont val="Tahoma"/>
            <family val="2"/>
          </rPr>
          <t>No Freshmen, Upper Level school - will not have data in every section.</t>
        </r>
      </text>
    </comment>
    <comment ref="AP182" authorId="3">
      <text>
        <r>
          <rPr>
            <b/>
            <sz val="8"/>
            <color indexed="81"/>
            <rFont val="Tahoma"/>
            <family val="2"/>
          </rPr>
          <t>Originally reported as 1,499.</t>
        </r>
        <r>
          <rPr>
            <sz val="8"/>
            <color indexed="81"/>
            <rFont val="Tahoma"/>
            <family val="2"/>
          </rPr>
          <t xml:space="preserve">
</t>
        </r>
      </text>
    </comment>
    <comment ref="B203" authorId="4">
      <text>
        <r>
          <rPr>
            <b/>
            <sz val="8"/>
            <color indexed="81"/>
            <rFont val="Tahoma"/>
            <family val="2"/>
          </rPr>
          <t>mevilsiz:</t>
        </r>
        <r>
          <rPr>
            <sz val="8"/>
            <color indexed="81"/>
            <rFont val="Tahoma"/>
            <family val="2"/>
          </rPr>
          <t xml:space="preserve">
Formerly Bowling Green Technical College</t>
        </r>
      </text>
    </comment>
    <comment ref="F205" authorId="1">
      <text>
        <r>
          <rPr>
            <b/>
            <sz val="9"/>
            <color indexed="81"/>
            <rFont val="Tahoma"/>
            <family val="2"/>
          </rPr>
          <t>jmarks:</t>
        </r>
        <r>
          <rPr>
            <sz val="9"/>
            <color indexed="81"/>
            <rFont val="Tahoma"/>
            <family val="2"/>
          </rPr>
          <t xml:space="preserve">
But use same formulas as semester for FTE since each term is 8 hours for full-time</t>
        </r>
      </text>
    </comment>
    <comment ref="U286" authorId="1">
      <text>
        <r>
          <rPr>
            <b/>
            <sz val="9"/>
            <color indexed="81"/>
            <rFont val="Tahoma"/>
            <family val="2"/>
          </rPr>
          <t>BH:</t>
        </r>
        <r>
          <rPr>
            <sz val="9"/>
            <color indexed="81"/>
            <rFont val="Tahoma"/>
            <family val="2"/>
          </rPr>
          <t xml:space="preserve">
Hours by Students Still in High School is based on students enrolled in specifically designated programs such as Early College High School or Middle College High School , not on course-taking by individual students enrolled in high school</t>
        </r>
      </text>
    </comment>
    <comment ref="A301" authorId="1">
      <text>
        <r>
          <rPr>
            <b/>
            <sz val="10"/>
            <color indexed="81"/>
            <rFont val="Tahoma"/>
            <family val="2"/>
          </rPr>
          <t xml:space="preserve">jmarks: </t>
        </r>
        <r>
          <rPr>
            <sz val="10"/>
            <color indexed="81"/>
            <rFont val="Tahoma"/>
            <family val="2"/>
          </rPr>
          <t>General note for all NC CCs: Beginning with the 2010-11 classfication new formulae were used to more accurately account for courses using contact hours rather than credit hours. The overall effect is to lower the calculated credit hour count and thus the FTE counts. This is, in effect, a recalibration and a number of instutitons have been reclassified as a result.</t>
        </r>
      </text>
    </comment>
    <comment ref="K301" authorId="5">
      <text>
        <r>
          <rPr>
            <b/>
            <sz val="9"/>
            <color indexed="81"/>
            <rFont val="Tahoma"/>
            <family val="2"/>
          </rPr>
          <t>ingogliaj:</t>
        </r>
        <r>
          <rPr>
            <sz val="9"/>
            <color indexed="81"/>
            <rFont val="Tahoma"/>
            <family val="2"/>
          </rPr>
          <t xml:space="preserve">
census date is 10%
</t>
        </r>
      </text>
    </comment>
  </commentList>
</comments>
</file>

<file path=xl/connections.xml><?xml version="1.0" encoding="utf-8"?>
<connections xmlns="http://schemas.openxmlformats.org/spreadsheetml/2006/main">
  <connection id="1" name="CH11ug1" type="6" refreshedVersion="4" background="1" saveData="1">
    <textPr codePage="437" sourceFile="\\THECB-AUVFS41\UserDoc$\MeadDD\My Documents\My SAS Files\SREB\QWK04245\Page4\CH11ug1.txt">
      <textFields>
        <textField/>
      </textFields>
    </textPr>
  </connection>
  <connection id="2" name="CH11ug2" type="6" refreshedVersion="4" background="1" saveData="1">
    <textPr codePage="437" sourceFile="\\THECB-AUVFS41\UserDoc$\MeadDD\My Documents\My SAS Files\SREB\QWK04245\Page4\CH11ug2.txt">
      <textFields>
        <textField/>
      </textFields>
    </textPr>
  </connection>
  <connection id="3" name="CH11ug3" type="6" refreshedVersion="4" background="1" saveData="1">
    <textPr codePage="437" sourceFile="\\THECB-AUVFS41\UserDoc$\MeadDD\My Documents\My SAS Files\SREB\QWK04245\Page4\CH11ug3.txt">
      <textFields>
        <textField/>
      </textFields>
    </textPr>
  </connection>
  <connection id="4" name="CH11ug4" type="6" refreshedVersion="4" background="1" saveData="1">
    <textPr codePage="437" sourceFile="\\THECB-AUVFS41\UserDoc$\MeadDD\My Documents\My SAS Files\SREB\QWK04245\Page4\CH11ug4.txt">
      <textFields>
        <textField/>
      </textFields>
    </textPr>
  </connection>
  <connection id="5" name="Dual07" type="6" refreshedVersion="3" deleted="1" background="1" saveData="1">
    <textPr codePage="437" sourceFile="\\CBNA42\UserDoc$\meaddd\My Documents\My SAS Files\SREB\QWK03256\Dual07.txt">
      <textFields>
        <textField/>
      </textFields>
    </textPr>
  </connection>
  <connection id="6" name="Dual08" type="6" refreshedVersion="3" deleted="1" background="1" saveData="1">
    <textPr codePage="437" sourceFile="\\CBNA42\UserDoc$\meaddd\My Documents\My SAS Files\SREB\QWK03256\Dual08.txt">
      <textFields>
        <textField/>
      </textFields>
    </textPr>
  </connection>
  <connection id="7" name="Dual11" type="6" refreshedVersion="4" background="1" saveData="1">
    <textPr codePage="437" sourceFile="\\THECB-AUVFS41\UserDoc$\MeadDD\My Documents\My SAS Files\SREB\QWK04245\Page4\Dual11.txt">
      <textFields>
        <textField/>
      </textFields>
    </textPr>
  </connection>
  <connection id="8" name="JrCH08ug1" type="6" refreshedVersion="3" deleted="1" background="1" saveData="1">
    <textPr codePage="437" sourceFile="\\CBNA42\UserDoc$\meaddd\My Documents\My SAS Files\SREB\QWK03256\JrCH08ug1.txt">
      <textFields>
        <textField/>
      </textFields>
    </textPr>
  </connection>
  <connection id="9" name="JrCH08ug2" type="6" refreshedVersion="3" deleted="1" background="1" saveData="1">
    <textPr codePage="437" sourceFile="\\CBNA42\UserDoc$\meaddd\My Documents\My SAS Files\SREB\QWK03256\JrCH08ug2.txt">
      <textFields>
        <textField/>
      </textFields>
    </textPr>
  </connection>
  <connection id="10" name="JrCH08ug3" type="6" refreshedVersion="3" deleted="1" background="1" saveData="1">
    <textPr codePage="437" sourceFile="\\CBNA42\UserDoc$\meaddd\My Documents\My SAS Files\SREB\QWK03256\JrCH08ug3.txt">
      <textFields>
        <textField/>
      </textFields>
    </textPr>
  </connection>
  <connection id="11" name="JrCH08ug4" type="6" refreshedVersion="3" deleted="1" background="1" saveData="1">
    <textPr codePage="437" sourceFile="\\CBNA42\UserDoc$\meaddd\My Documents\My SAS Files\SREB\QWK03256\JrCH08ug4.txt">
      <textFields>
        <textField/>
      </textFields>
    </textPr>
  </connection>
  <connection id="12" name="JrSCH08ug1" type="6" refreshedVersion="3" deleted="1" background="1" saveData="1">
    <textPr codePage="437" sourceFile="\\CBNA42\UserDoc$\meaddd\My Documents\My SAS Files\SREB\QWK03256\JrSCH08ug1.txt">
      <textFields>
        <textField/>
      </textFields>
    </textPr>
  </connection>
  <connection id="13" name="JrSCH08ug2" type="6" refreshedVersion="3" deleted="1" background="1" saveData="1">
    <textPr codePage="437" sourceFile="\\CBNA42\UserDoc$\meaddd\My Documents\My SAS Files\SREB\QWK03256\JrSCH08ug2.txt">
      <textFields>
        <textField/>
      </textFields>
    </textPr>
  </connection>
  <connection id="14" name="JrSCH08ug3" type="6" refreshedVersion="3" deleted="1" background="1" saveData="1">
    <textPr codePage="437" sourceFile="\\CBNA42\UserDoc$\meaddd\My Documents\My SAS Files\SREB\QWK03256\JrSCH08ug3.txt">
      <textFields>
        <textField/>
      </textFields>
    </textPr>
  </connection>
  <connection id="15" name="JrSCH08ug4" type="6" refreshedVersion="3" deleted="1" background="1" saveData="1">
    <textPr codePage="437" sourceFile="\\CBNA42\UserDoc$\meaddd\My Documents\My SAS Files\SREB\QWK03256\JrSCH08ug4.txt">
      <textFields>
        <textField/>
      </textFields>
    </textPr>
  </connection>
  <connection id="16" name="SrSCH08gr2" type="6" refreshedVersion="3" deleted="1" background="1" saveData="1">
    <textPr codePage="437" sourceFile="\\CBNA42\UserDoc$\meaddd\My Documents\My SAS Files\SREB\QWK03256\SrSCH08gr2.txt">
      <textFields>
        <textField/>
      </textFields>
    </textPr>
  </connection>
  <connection id="17" name="SrSCH08gr3" type="6" refreshedVersion="3" deleted="1" background="1" saveData="1">
    <textPr codePage="437" sourceFile="\\CBNA42\UserDoc$\meaddd\My Documents\My SAS Files\SREB\QWK03256\SrSCH08gr3.txt">
      <textFields>
        <textField/>
      </textFields>
    </textPr>
  </connection>
  <connection id="18" name="SrSCH08gr4" type="6" refreshedVersion="3" deleted="1" background="1" saveData="1">
    <textPr codePage="437" sourceFile="\\CBNA42\UserDoc$\meaddd\My Documents\My SAS Files\SREB\QWK03256\SrSCH08gr4.txt">
      <textFields>
        <textField/>
      </textFields>
    </textPr>
  </connection>
  <connection id="19" name="SrSCH08ug2" type="6" refreshedVersion="3" deleted="1" background="1" saveData="1">
    <textPr codePage="437" sourceFile="\\CBNA42\UserDoc$\meaddd\My Documents\My SAS Files\SREB\QWK03256\SrSCH08ug2.txt">
      <textFields>
        <textField/>
      </textFields>
    </textPr>
  </connection>
  <connection id="20" name="SrSCH08ug3" type="6" refreshedVersion="3" deleted="1" background="1" saveData="1">
    <textPr codePage="437" sourceFile="\\CBNA42\UserDoc$\meaddd\My Documents\My SAS Files\SREB\QWK03256\SrSCH08ug3.txt">
      <textFields>
        <textField/>
      </textFields>
    </textPr>
  </connection>
  <connection id="21" name="SrSCH08ug4" type="6" refreshedVersion="3" deleted="1" background="1" saveData="1">
    <textPr codePage="437" sourceFile="\\CBNA42\UserDoc$\meaddd\My Documents\My SAS Files\SREB\QWK03256\SrSCH08ug4.txt">
      <textFields>
        <textField/>
      </textFields>
    </textPr>
  </connection>
</connections>
</file>

<file path=xl/sharedStrings.xml><?xml version="1.0" encoding="utf-8"?>
<sst xmlns="http://schemas.openxmlformats.org/spreadsheetml/2006/main" count="3834" uniqueCount="995">
  <si>
    <t>All Two Year</t>
  </si>
  <si>
    <t>All Technical</t>
  </si>
  <si>
    <t>Old Percent by H.S. Students</t>
  </si>
  <si>
    <t>All Four Year</t>
  </si>
  <si>
    <t>Points change</t>
  </si>
  <si>
    <t>"9" minus "9b"</t>
  </si>
  <si>
    <t>10 minus 10b</t>
  </si>
  <si>
    <t>#Change from prior year</t>
  </si>
  <si>
    <t>Grand Total FTE - Old</t>
  </si>
  <si>
    <t>Total Grand Total FTE - Old</t>
  </si>
  <si>
    <t>Sum of Old-Total UGH</t>
  </si>
  <si>
    <t>Sum of New-Total UGH</t>
  </si>
  <si>
    <t>Total Sum of Old-Total UGH</t>
  </si>
  <si>
    <t>Total Sum of New-Total UGH</t>
  </si>
  <si>
    <t>Sum of Old-Total HSH</t>
  </si>
  <si>
    <t>Sum of New-Total HSH</t>
  </si>
  <si>
    <t>Sum of Old-HS % of Total</t>
  </si>
  <si>
    <t>Sum of New-HS % of Total</t>
  </si>
  <si>
    <t>Total Sum of Old-Total HSH</t>
  </si>
  <si>
    <t>Total Sum of New-Total HSH</t>
  </si>
  <si>
    <t>Total Sum of Old-HS % of Total</t>
  </si>
  <si>
    <t>Total Sum of New-HS % of Total</t>
  </si>
  <si>
    <t>Percent by Students Still in High School</t>
  </si>
  <si>
    <t>Technical Total</t>
  </si>
  <si>
    <t>Technical</t>
  </si>
  <si>
    <t>12</t>
  </si>
  <si>
    <t>Grand
Total FTE</t>
  </si>
  <si>
    <t>Size Unknown</t>
  </si>
  <si>
    <t xml:space="preserve"> </t>
  </si>
  <si>
    <t>Public Four-Year Universities, Two-Year Colleges</t>
  </si>
  <si>
    <t>All</t>
  </si>
  <si>
    <t>TOTAL</t>
  </si>
  <si>
    <t>Full-Year Full-Time-Equivalent Undergraduate Enrollment</t>
  </si>
  <si>
    <t>Full-Year Full-Time-Equivalent Graduate Enrollment</t>
  </si>
  <si>
    <t>Full-Year Full-Time-Equivalent Credit-Hour Enrollment</t>
  </si>
  <si>
    <t>Full-Year Full-Time-Equivalent Contact-Hour Enrollment</t>
  </si>
  <si>
    <t>Total Full-Year Full-Time-Equivalent Enrollment</t>
  </si>
  <si>
    <t>Extra sub-totals to use with funding data.</t>
  </si>
  <si>
    <t>OLD</t>
  </si>
  <si>
    <t>Totals for Per FTE Funding Calculation</t>
  </si>
  <si>
    <t>Prior year for Highlights report</t>
  </si>
  <si>
    <t>sem</t>
  </si>
  <si>
    <t>Category2</t>
  </si>
  <si>
    <t>Old-Total Undg CH</t>
  </si>
  <si>
    <t>Old-Total Undg CH FTE</t>
  </si>
  <si>
    <t>Technical Institutes or Colleges</t>
  </si>
  <si>
    <t>Old-Term Code</t>
  </si>
  <si>
    <t>New-Term Code</t>
  </si>
  <si>
    <t>Old-Total Undg SCH</t>
  </si>
  <si>
    <t>New-Total Undg SCH</t>
  </si>
  <si>
    <t>New-Total Undg CH</t>
  </si>
  <si>
    <t>Old-Total Grad SCH</t>
  </si>
  <si>
    <t>New-Total Grad SCH</t>
  </si>
  <si>
    <t>Old-Total Grad FTE</t>
  </si>
  <si>
    <t>New-Total Grad FTE</t>
  </si>
  <si>
    <t>Old-Total Undg SCH FTE</t>
  </si>
  <si>
    <t>New-Total Undg SCH FTE</t>
  </si>
  <si>
    <t>New-Total Undg CH FTE</t>
  </si>
  <si>
    <t>Data</t>
  </si>
  <si>
    <t>Grand Total</t>
  </si>
  <si>
    <t>Old Grand Total FTE</t>
  </si>
  <si>
    <t>New Grand Total FTE</t>
  </si>
  <si>
    <t>Four-Year</t>
  </si>
  <si>
    <t xml:space="preserve"> Two-Year</t>
  </si>
  <si>
    <t>SREB states</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</si>
  <si>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</si>
  <si>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</si>
  <si>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</si>
  <si>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</si>
  <si>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</si>
  <si>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</si>
  <si>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</si>
  <si>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</si>
  <si>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</si>
  <si>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</si>
  <si>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</si>
  <si>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</si>
  <si>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</si>
  <si>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</si>
  <si>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</si>
  <si>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 xml:space="preserve"> Undergrad Contact Hour FTE - New</t>
  </si>
  <si>
    <t>Total  Undergrad Contact Hour FTE - New</t>
  </si>
  <si>
    <t xml:space="preserve"> Undergrad Contact Hour FTE - Old</t>
  </si>
  <si>
    <t>Total  Undergrad Contact Hour FTE - Old</t>
  </si>
  <si>
    <t>Undergrad Student Credit Hour FTE - New</t>
  </si>
  <si>
    <t>Total Undergrad Student Credit Hour FTE - New</t>
  </si>
  <si>
    <t>Undergrad Student Credit Hour  FTE - Old</t>
  </si>
  <si>
    <t>Total Undergrad Student Credit Hour  FTE - Old</t>
  </si>
  <si>
    <t>Graduate FTE - Old</t>
  </si>
  <si>
    <t>Total Graduate FTE - Old</t>
  </si>
  <si>
    <t>Graduate FTE - New</t>
  </si>
  <si>
    <t>Total Graduate FTE - New</t>
  </si>
  <si>
    <t xml:space="preserve"> % Change Graduate  FTE</t>
  </si>
  <si>
    <t>Total  % Change Graduate  FTE</t>
  </si>
  <si>
    <t>Grand Total FTE - New</t>
  </si>
  <si>
    <t>Total Grand Total FTE - New</t>
  </si>
  <si>
    <t xml:space="preserve"> % Change Grand Total FTE</t>
  </si>
  <si>
    <t>Total  % Change Grand Total FTE</t>
  </si>
  <si>
    <t xml:space="preserve"> % Change Undergrad SCH FTE</t>
  </si>
  <si>
    <t>Total  % Change Undergrad SCH FTE</t>
  </si>
  <si>
    <t xml:space="preserve"> % Change Undergrad CH FTE</t>
  </si>
  <si>
    <t>Total  % Change Undergrad CH FTE</t>
  </si>
  <si>
    <t>Delaware</t>
  </si>
  <si>
    <t>Institution</t>
  </si>
  <si>
    <t>Category</t>
  </si>
  <si>
    <t>State</t>
  </si>
  <si>
    <t>IPEDS ID #</t>
  </si>
  <si>
    <t>Undergraduate Credit Hours</t>
  </si>
  <si>
    <t>Undergraduate Contact Hours</t>
  </si>
  <si>
    <t>Graduate Credit Hours</t>
  </si>
  <si>
    <t>Calculated</t>
  </si>
  <si>
    <t>Winter</t>
  </si>
  <si>
    <t>Spring</t>
  </si>
  <si>
    <t>Summer</t>
  </si>
  <si>
    <t>Fall</t>
  </si>
  <si>
    <t>old-Winter Undg SCH</t>
  </si>
  <si>
    <t>new-Winter Undg SCH</t>
  </si>
  <si>
    <t>old-Spring Undg SCH</t>
  </si>
  <si>
    <t>new-Spring Undg SCH</t>
  </si>
  <si>
    <t>old-Summer Undg SCH</t>
  </si>
  <si>
    <t>new-Summer Undg SCH</t>
  </si>
  <si>
    <t>old-Fall Undg SCH</t>
  </si>
  <si>
    <t>new-Fall Undg SCH</t>
  </si>
  <si>
    <t>old-Winter Undg CH</t>
  </si>
  <si>
    <t>new-Winter Undg CH</t>
  </si>
  <si>
    <t>old-Spring Undg CH</t>
  </si>
  <si>
    <t>new-Spring Undg CH</t>
  </si>
  <si>
    <t>old-Summer Undg CH</t>
  </si>
  <si>
    <t>new-Summer Undg CH</t>
  </si>
  <si>
    <t>old-Fall Undg CH</t>
  </si>
  <si>
    <t>new-Fall Undg CH</t>
  </si>
  <si>
    <t>old-Winter Grad SCH</t>
  </si>
  <si>
    <t>new-Winter Grad SCH</t>
  </si>
  <si>
    <t>old-Spring Grad SCH</t>
  </si>
  <si>
    <t>new-Spring Grad SCH</t>
  </si>
  <si>
    <t>old-Summer Grad SCH</t>
  </si>
  <si>
    <t>new-Summer Grad SCH</t>
  </si>
  <si>
    <t>old-Fall Grad SCH</t>
  </si>
  <si>
    <t>new-Fall Grad SCH</t>
  </si>
  <si>
    <t>FTE</t>
  </si>
  <si>
    <t>With Bachelor's</t>
  </si>
  <si>
    <t>%Change from prior year</t>
  </si>
  <si>
    <t>GA</t>
  </si>
  <si>
    <t>Total</t>
  </si>
  <si>
    <t>NEW</t>
  </si>
  <si>
    <t>10b</t>
  </si>
  <si>
    <t>Old-Total HS SCH</t>
  </si>
  <si>
    <t>New-Total HS SCH</t>
  </si>
  <si>
    <t>Old-Total HS CH</t>
  </si>
  <si>
    <t>New-Total HS CH</t>
  </si>
  <si>
    <t>For use in FB 37 and DE Highlights</t>
  </si>
  <si>
    <r>
      <rPr>
        <b/>
        <sz val="10"/>
        <rFont val="Arial"/>
        <family val="2"/>
      </rPr>
      <t>Old</t>
    </r>
    <r>
      <rPr>
        <sz val="10"/>
        <rFont val="Arial"/>
        <family val="2"/>
      </rPr>
      <t xml:space="preserve"> % by H.S. Students</t>
    </r>
  </si>
  <si>
    <t>Hours taken by students still in high school (dual enrollment, joint enrollment, early college, etc.)</t>
  </si>
  <si>
    <t>For use in DE Highlights and Fact Book</t>
  </si>
  <si>
    <t>Two Year 1</t>
  </si>
  <si>
    <t>Four-Year 1</t>
  </si>
  <si>
    <t>w/ Bachelor's</t>
  </si>
  <si>
    <t>Technical 1</t>
  </si>
  <si>
    <t>Old-Total Undg SCH2</t>
  </si>
  <si>
    <t>New-Total Undg SCH2</t>
  </si>
  <si>
    <t>Old-Total Undg CH2</t>
  </si>
  <si>
    <t>New-Total Undg CH2</t>
  </si>
  <si>
    <t>—</t>
  </si>
  <si>
    <t>Table 80</t>
  </si>
  <si>
    <t>Table 81</t>
  </si>
  <si>
    <t>Table 82</t>
  </si>
  <si>
    <t>Table 83</t>
  </si>
  <si>
    <t>Table 84</t>
  </si>
  <si>
    <t>Table 85</t>
  </si>
  <si>
    <t>Table 86</t>
  </si>
  <si>
    <t>Public Two-Year Colleges and Technical Institutes or Colleges</t>
  </si>
  <si>
    <t>=+GETPIVOTDATA("Sum of New-HS % of Total",'Pivot-HS Student % of Undergrad'!$A$3,"Category",1,"Category2","Four-Year")</t>
  </si>
  <si>
    <t>=+GETPIVOTDATA("Sum of New-HS % of Total",'Pivot-HS Student % of Undergrad'!$A$3,"Category",2,"Category2","Four-Year")</t>
  </si>
  <si>
    <t>=+GETPIVOTDATA("Sum of New-HS % of Total",'Pivot-HS Student % of Undergrad'!$A$3,"Category",3,"Category2","Four-Year")</t>
  </si>
  <si>
    <t>=+GETPIVOTDATA("Sum of New-HS % of Total",'Pivot-HS Student % of Undergrad'!$A$3,"Category",4,"Category2","Four-Year")</t>
  </si>
  <si>
    <t>=+GETPIVOTDATA("Sum of New-HS % of Total",'Pivot-HS Student % of Undergrad'!$A$3,"Category",5,"Category2","Four-Year")</t>
  </si>
  <si>
    <t>=+GETPIVOTDATA("Sum of New-HS % of Total",'Pivot-HS Student % of Undergrad'!$A$3,"Category",6,"Category2","Four-Year")</t>
  </si>
  <si>
    <t>=+GETPIVOTDATA("Sum of New-HS % of Total",'Pivot-HS Student % of Undergrad'!$A$3,"Category2","Group1")</t>
  </si>
  <si>
    <t>=+GETPIVOTDATA("Sum of New-HS % of Total",'Pivot-HS Student % of Undergrad'!$A$3,"Category",7,"Category2","Two-Year")</t>
  </si>
  <si>
    <t>=+GETPIVOTDATA("Sum of New-HS % of Total",'Pivot-HS Student % of Undergrad'!$A$3,"Category",8,"Category2","Two-Year")</t>
  </si>
  <si>
    <t>=+GETPIVOTDATA("Sum of New-HS % of Total",'Pivot-HS Student % of Undergrad'!$A$3,"Category",9,"Category2","Two-Year")</t>
  </si>
  <si>
    <t>=+GETPIVOTDATA("Sum of New-HS % of Total",'Pivot-HS Student % of Undergrad'!$A$3,"Category",10,"Category2","Two-Year")</t>
  </si>
  <si>
    <t>=+GETPIVOTDATA("Sum of New-HS % of Total",'Pivot-HS Student % of Undergrad'!$A$3,"Category2","Group2")</t>
  </si>
  <si>
    <t>=+GETPIVOTDATA("Sum of New-HS % of Total",'Pivot-HS Student % of Undergrad'!$A$3,"Category",12,"Category2","Technical")</t>
  </si>
  <si>
    <t>=+GETPIVOTDATA("Sum of New-HS % of Total",'Pivot-HS Student % of Undergrad'!$A$3,"Category",13,"Category2","Technical")</t>
  </si>
  <si>
    <t>=+GETPIVOTDATA("Sum of New-HS % of Total",'Pivot-HS Student % of Undergrad'!$A$3,"Category2","Group3")</t>
  </si>
  <si>
    <t>=+GETPIVOTDATA("Sum of Old-HS % of Total",'Pivot-HS Student % of Undergrad'!$A$3,"Category",12,"Category2","Technical")</t>
  </si>
  <si>
    <t>=+GETPIVOTDATA("Sum of Old-HS % of Total",'Pivot-HS Student % of Undergrad'!$A$3,"Category",13,"Category2","Technical")</t>
  </si>
  <si>
    <t>=+GETPIVOTDATA("Sum of Old-HS % of Total",'Pivot-HS Student % of Undergrad'!$A$3,"Category2","Group3")</t>
  </si>
  <si>
    <t>IPEDS #</t>
  </si>
  <si>
    <t>Semester or Quarter</t>
  </si>
  <si>
    <t>Total Hours</t>
  </si>
  <si>
    <t>Total Hours for HS % of Total Calculation</t>
  </si>
  <si>
    <t>Note</t>
  </si>
  <si>
    <r>
      <t>……….</t>
    </r>
    <r>
      <rPr>
        <b/>
        <sz val="14"/>
        <color rgb="FFC00000"/>
        <rFont val="Arial"/>
        <family val="2"/>
      </rPr>
      <t>Discontinued but still used for summary info and Fact Book</t>
    </r>
    <r>
      <rPr>
        <b/>
        <sz val="14"/>
        <rFont val="Arial"/>
        <family val="2"/>
      </rPr>
      <t>-----</t>
    </r>
  </si>
  <si>
    <r>
      <t>………. "86B"</t>
    </r>
    <r>
      <rPr>
        <b/>
        <sz val="14"/>
        <color rgb="FFC00000"/>
        <rFont val="Arial"/>
        <family val="2"/>
      </rPr>
      <t>Discontinued but still used for summary info and Fact Book</t>
    </r>
    <r>
      <rPr>
        <b/>
        <sz val="14"/>
        <rFont val="Arial"/>
        <family val="2"/>
      </rPr>
      <t>-------see sections to right---------------&gt;&gt;&gt;&gt;&gt;&gt;&gt;&gt;</t>
    </r>
  </si>
  <si>
    <t>for use in Highlights and Fact Book</t>
  </si>
  <si>
    <t>"8" minus "8b"</t>
  </si>
  <si>
    <t>OLD for funding</t>
  </si>
  <si>
    <t>New for funding</t>
  </si>
  <si>
    <t xml:space="preserve">Part 4: Credit/Contact Hours </t>
  </si>
  <si>
    <r>
      <t xml:space="preserve">Data Columns:  </t>
    </r>
    <r>
      <rPr>
        <sz val="10"/>
        <rFont val="Arial"/>
        <family val="2"/>
      </rPr>
      <t xml:space="preserve">White = New Data, Peach = Old Data, Purple/Grey = Calculated Data. </t>
    </r>
    <r>
      <rPr>
        <b/>
        <sz val="10"/>
        <rFont val="Arial"/>
        <family val="2"/>
      </rPr>
      <t xml:space="preserve"> Please highlight changes in YELLOW</t>
    </r>
  </si>
  <si>
    <t>Comments:  Please look for comments and answer questions; add comments as needed</t>
  </si>
  <si>
    <t>Classification Notes</t>
  </si>
  <si>
    <t>Albany Technical College</t>
  </si>
  <si>
    <t>Altamaha Technical College</t>
  </si>
  <si>
    <t>Athens Technical College</t>
  </si>
  <si>
    <t>Atlanta Technical College</t>
  </si>
  <si>
    <t>Augusta Technical College</t>
  </si>
  <si>
    <t>Central Georgia Technical College</t>
  </si>
  <si>
    <t>Chattahoochee Technical College</t>
  </si>
  <si>
    <t>Columbus Technical College</t>
  </si>
  <si>
    <t>Georgia Northwestern Technical College</t>
  </si>
  <si>
    <t>Georgia Piedmont Technical College</t>
  </si>
  <si>
    <t>Gwinnett Technical College</t>
  </si>
  <si>
    <t>Lanier Technical College</t>
  </si>
  <si>
    <t>Middle Georgia Technical College</t>
  </si>
  <si>
    <t>Moultrie Technical College</t>
  </si>
  <si>
    <t>North Georgia Technical College</t>
  </si>
  <si>
    <t>Ogeechee Technical College</t>
  </si>
  <si>
    <t>Okefenokee Technical College</t>
  </si>
  <si>
    <t>Savannah Technical College</t>
  </si>
  <si>
    <t>South Georgia Technical College</t>
  </si>
  <si>
    <t>Southeastern Technical College</t>
  </si>
  <si>
    <t>Southern Crescent Technical College</t>
  </si>
  <si>
    <t>Southwest Georgia Technical College</t>
  </si>
  <si>
    <t>West Georgia Technical College</t>
  </si>
  <si>
    <t>Wiregrass Georgia Technical College</t>
  </si>
  <si>
    <t>Oconee Fall Line Technical College</t>
  </si>
  <si>
    <t xml:space="preserve"> HS Percentage-point Change</t>
  </si>
  <si>
    <t>Total  HS Percentage-point Change</t>
  </si>
  <si>
    <t>Do not use regional figures until all states participate in the H.S. hour survey.</t>
  </si>
  <si>
    <t>=+GETPIVOTDATA("Sum of Old-HS % of Total",'Pivot-HS Student % of Undergrad'!$A$3,"Category",7,"Category2","Two-Year")</t>
  </si>
  <si>
    <t>Public Four-Year Institutions, 2011-12</t>
  </si>
  <si>
    <t>Public Two-Year Colleges and Technical Institutes or Colleges, 2011-12</t>
  </si>
  <si>
    <t>Public Two-Year Colleges, 2011-12</t>
  </si>
  <si>
    <t>=+GETPIVOTDATA("Sum of Old-HS % of Total",'Pivot-HS Student % of Undergrad'!$A$3,"Category",1,"Category2","Four-Year")</t>
  </si>
  <si>
    <t>=+GETPIVOTDATA("Sum of Old-HS % of Total",'Pivot-HS Student % of Undergrad'!$A$3,"Category",2,"Category2","Four-Year")</t>
  </si>
  <si>
    <t>=+GETPIVOTDATA("Sum of Old-HS % of Total",'Pivot-HS Student % of Undergrad'!$A$3,"Category",3,"Category2","Four-Year")</t>
  </si>
  <si>
    <t>=+GETPIVOTDATA("Sum of Old-HS % of Total",'Pivot-HS Student % of Undergrad'!$A$3,"Category",4,"Category2","Four-Year")</t>
  </si>
  <si>
    <t>=+GETPIVOTDATA("Sum of Old-HS % of Total",'Pivot-HS Student % of Undergrad'!$A$3,"Category",5,"Category2","Four-Year")</t>
  </si>
  <si>
    <t>=+GETPIVOTDATA("Sum of Old-HS % of Total",'Pivot-HS Student % of Undergrad'!$A$3,"Category",6,"Category2","Four-Year")</t>
  </si>
  <si>
    <t>=+GETPIVOTDATA("Sum of Old-HS % of Total",'Pivot-HS Student % of Undergrad'!$A$3,"Category2","Four-Year")</t>
  </si>
  <si>
    <t>=+GETPIVOTDATA("Sum of Old-HS % of Total",'Pivot-HS Student % of Undergrad'!$A$3,"Category",8,"Category2","Two-Year")</t>
  </si>
  <si>
    <t>=+GETPIVOTDATA("Sum of Old-HS % of Total",'Pivot-HS Student % of Undergrad'!$A$3,"Category",9,"Category2","Two-Year")</t>
  </si>
  <si>
    <t>=+GETPIVOTDATA("Sum of Old-HS % of Total",'Pivot-HS Student % of Undergrad'!$A$3,"Category",10,"Category2","Two-Year")</t>
  </si>
  <si>
    <t>=+GETPIVOTDATA("Sum of Old-HS % of Total",'Pivot-HS Student % of Undergrad'!$A$3,"Category2","Two-Year")</t>
  </si>
  <si>
    <t xml:space="preserve">Notes:  Full-year full-time-equivalent (FTE) undergraduate enrollment for 2010-11 is estimated by taking the credit hours from calendar year 2010 (i.e. winter, spring, summer and fall terms of 2010) and by dividing total undergraduate semester credit hours by 30; total undergraduate quarter hours by 45; total undergraduate contact hours by 900 (the equivalent of a 30 hour week); total graduate semester credit hours by 24; and total graduate quarter hours by 36. </t>
  </si>
  <si>
    <t>Public Technical Institutes or Colleges, 2011-12</t>
  </si>
  <si>
    <t xml:space="preserve"> and Technical Institutes or Colleges, 2011-12</t>
  </si>
  <si>
    <t xml:space="preserve">Notes:  Full-year full-time-equivalent (FTE) undergraduate enrollment for 2011-12 is estimated by taking the credit hours from calendar year 2011 (i.e. winter, spring, summer and fall terms of 2011) and by dividing total undergraduate semester credit hours by 30; total undergraduate quarter hours by 45; total undergraduate contact hours by 900 (the equivalent of a 30 hour week); total graduate semester credit hours by 24; and total graduate quarter hours by 36. </t>
  </si>
  <si>
    <t>KY</t>
  </si>
  <si>
    <t>University of Kentucky</t>
  </si>
  <si>
    <t>University of Louisville</t>
  </si>
  <si>
    <t xml:space="preserve">Eastern Kentucky University </t>
  </si>
  <si>
    <t xml:space="preserve">Morehead State University </t>
  </si>
  <si>
    <t xml:space="preserve">Murray State University </t>
  </si>
  <si>
    <t xml:space="preserve">Western Kentucky University </t>
  </si>
  <si>
    <t xml:space="preserve">Kentucky State University </t>
  </si>
  <si>
    <t xml:space="preserve">Northern Kentucky University </t>
  </si>
  <si>
    <t>Bluegrass Community and Technical College</t>
  </si>
  <si>
    <t xml:space="preserve">Jefferson Community and Technical College </t>
  </si>
  <si>
    <t>Ashland Community and Technical College</t>
  </si>
  <si>
    <t xml:space="preserve">Big Sandy Community and Technical College </t>
  </si>
  <si>
    <t xml:space="preserve">Elizabethtown Community and Technical College </t>
  </si>
  <si>
    <t xml:space="preserve">Hopkinsville Community College </t>
  </si>
  <si>
    <t>Madisonville Community College</t>
  </si>
  <si>
    <t xml:space="preserve">Maysville Community and Technical College </t>
  </si>
  <si>
    <t xml:space="preserve">Owensboro Community and Technical College </t>
  </si>
  <si>
    <t xml:space="preserve">Somerset Community and Technical College </t>
  </si>
  <si>
    <t>Southeast Kentucky Community and Technical College</t>
  </si>
  <si>
    <t>West Kentucky Community and Technical College</t>
  </si>
  <si>
    <t>Hazard Community and Technical College</t>
  </si>
  <si>
    <t xml:space="preserve">Henderson Community College </t>
  </si>
  <si>
    <t>Gateway Community and Technical College</t>
  </si>
  <si>
    <t>Four-Year Total</t>
  </si>
  <si>
    <t>Two-Year</t>
  </si>
  <si>
    <t>Two-Year Total</t>
  </si>
  <si>
    <t>8</t>
  </si>
  <si>
    <t>9</t>
  </si>
  <si>
    <t>10</t>
  </si>
  <si>
    <t>AL</t>
  </si>
  <si>
    <t>Auburn University</t>
  </si>
  <si>
    <t xml:space="preserve">University of Alabama </t>
  </si>
  <si>
    <t>University of Alabama at Birmingham</t>
  </si>
  <si>
    <t>University of Alabama in Huntsville</t>
  </si>
  <si>
    <t>Alabama Agricultural &amp; Mechanical University</t>
  </si>
  <si>
    <t xml:space="preserve">Jacksonville State University </t>
  </si>
  <si>
    <t>Troy University</t>
  </si>
  <si>
    <t>University of South Alabama</t>
  </si>
  <si>
    <t xml:space="preserve">Alabama State University </t>
  </si>
  <si>
    <t>Auburn University at Montgomery</t>
  </si>
  <si>
    <t>University of North Alabama</t>
  </si>
  <si>
    <t>University of Montevallo</t>
  </si>
  <si>
    <t>University of West Alabama</t>
  </si>
  <si>
    <t>Athens State University</t>
  </si>
  <si>
    <t>Gadsden State Community College</t>
  </si>
  <si>
    <t>Jefferson State Community College</t>
  </si>
  <si>
    <t xml:space="preserve">John C. Calhoun State Community College </t>
  </si>
  <si>
    <t>Wallace Community College - Hanceville</t>
  </si>
  <si>
    <t>Bevill State Community College</t>
  </si>
  <si>
    <t>Bishop State Community College</t>
  </si>
  <si>
    <t>Central Alabama Community College</t>
  </si>
  <si>
    <r>
      <t>Enterprise</t>
    </r>
    <r>
      <rPr>
        <sz val="10"/>
        <rFont val="Arial"/>
        <family val="2"/>
      </rPr>
      <t xml:space="preserve"> State Community College</t>
    </r>
  </si>
  <si>
    <t>George C. Wallace State Community College - Dothan</t>
  </si>
  <si>
    <t>James H. Faulkner State Community College</t>
  </si>
  <si>
    <t xml:space="preserve">Lawson State Community College </t>
  </si>
  <si>
    <t xml:space="preserve">Northeast Alabama State Community College </t>
  </si>
  <si>
    <t>Northwest-Shoals Community College</t>
  </si>
  <si>
    <t>Shelton State Community College</t>
  </si>
  <si>
    <t>Southern Union State Community College</t>
  </si>
  <si>
    <t>Alabama Southern Community College</t>
  </si>
  <si>
    <t xml:space="preserve">Chattahoochee Valley State Community College </t>
  </si>
  <si>
    <t>George Corley Wallace State Community College - Selma</t>
  </si>
  <si>
    <t>Jefferson Davis Community College</t>
  </si>
  <si>
    <t xml:space="preserve">Lurleen B. Wallace Community College </t>
  </si>
  <si>
    <t xml:space="preserve">Snead State Community College </t>
  </si>
  <si>
    <t xml:space="preserve">Trenholm State Technical College </t>
  </si>
  <si>
    <t xml:space="preserve">J.F. Drake State Technical College </t>
  </si>
  <si>
    <t xml:space="preserve">J.F. Ingram State Technical College </t>
  </si>
  <si>
    <t xml:space="preserve">Reid State Technical College </t>
  </si>
  <si>
    <t>Met the criteria for Two-Year 2 in 2012-13.</t>
  </si>
  <si>
    <t>Met the criteria for Two-Year 3 in 2012-13.</t>
  </si>
  <si>
    <t>Reclassified: met the criteria for Four-Year 2 in 2010-11, 2011-12, and 2012-13.</t>
  </si>
  <si>
    <t>13</t>
  </si>
  <si>
    <t>LA</t>
  </si>
  <si>
    <t>Louisiana State University and A&amp;M College</t>
  </si>
  <si>
    <t xml:space="preserve">Louisiana Tech University </t>
  </si>
  <si>
    <t>quar</t>
  </si>
  <si>
    <t>University of Louisiana at Lafayette</t>
  </si>
  <si>
    <t>University of New Orleans</t>
  </si>
  <si>
    <t xml:space="preserve">Southeastern Louisiana University </t>
  </si>
  <si>
    <t xml:space="preserve">Southern University and A&amp;M College at Baton Rouge </t>
  </si>
  <si>
    <t>University of Louisiana at Monroe</t>
  </si>
  <si>
    <t>Grambling State University</t>
  </si>
  <si>
    <t>Louisiana State University in Shreveport</t>
  </si>
  <si>
    <t>McNeese State University</t>
  </si>
  <si>
    <t xml:space="preserve">Nicholls State University </t>
  </si>
  <si>
    <t>Northwestern State University</t>
  </si>
  <si>
    <t>Southern University at New Orleans</t>
  </si>
  <si>
    <t>Louisiana State University at Alexandria</t>
  </si>
  <si>
    <t>Baton Rouge Community College</t>
  </si>
  <si>
    <t xml:space="preserve">Delgado Community College </t>
  </si>
  <si>
    <t>Bossier Parish Community College</t>
  </si>
  <si>
    <t>Louisiana State University at Eunice</t>
  </si>
  <si>
    <t>South Louisiana Community College</t>
  </si>
  <si>
    <t>Louisiana Delta Community College</t>
  </si>
  <si>
    <t>Nunez Community College</t>
  </si>
  <si>
    <t>River Parishes Community College</t>
  </si>
  <si>
    <t>Southern University in Shreveport</t>
  </si>
  <si>
    <t>Acadiana Technical College</t>
  </si>
  <si>
    <t>Capital Area Technical College</t>
  </si>
  <si>
    <t>Central LA Technical College</t>
  </si>
  <si>
    <t>L.E. Fletcher Technical Community College</t>
  </si>
  <si>
    <t>Northeast Technical College</t>
  </si>
  <si>
    <t>Northshore Technical College</t>
  </si>
  <si>
    <t>Northwest LA Technical College</t>
  </si>
  <si>
    <t>South Central LA Technical College</t>
  </si>
  <si>
    <t>Sowela Technical Community College</t>
  </si>
  <si>
    <t>Met the criteria for Four-Year 2 in 2012-13.</t>
  </si>
  <si>
    <t>Met the criteria for Four-Year 5 in 2012-13.</t>
  </si>
  <si>
    <t>Reclassified: met the criteria for Two-Year 1 in 2010-11, 2011-12, and 2012-13.</t>
  </si>
  <si>
    <t>Met the criteria for Two-Year 1 in 2012-13.</t>
  </si>
  <si>
    <t>Met the criteria for Two-Year 2 in 2011-12 and 2012-13.</t>
  </si>
  <si>
    <t>NC</t>
  </si>
  <si>
    <t xml:space="preserve">North Carolina State University </t>
  </si>
  <si>
    <t xml:space="preserve">University of North Carolina at Chapel Hill </t>
  </si>
  <si>
    <t>University of North Carolina at Greensboro</t>
  </si>
  <si>
    <t>University of North Carolina at Charlotte</t>
  </si>
  <si>
    <t xml:space="preserve">Appalachian State University </t>
  </si>
  <si>
    <t xml:space="preserve">East Carolina University </t>
  </si>
  <si>
    <t>North Carolina A&amp;T State University</t>
  </si>
  <si>
    <t xml:space="preserve">North Carolina Central University </t>
  </si>
  <si>
    <t>University of North Carolina at Wilmington</t>
  </si>
  <si>
    <t xml:space="preserve">Western Carolina University </t>
  </si>
  <si>
    <t xml:space="preserve">Fayetteville State University </t>
  </si>
  <si>
    <t>University of North Carolina at Pembroke</t>
  </si>
  <si>
    <t xml:space="preserve">Winston-Salem State University </t>
  </si>
  <si>
    <t xml:space="preserve">Elizabeth City State University </t>
  </si>
  <si>
    <t>University of North Carolina at Asheville</t>
  </si>
  <si>
    <t>Met the criteria for Four-Year 1 in 2012-13.</t>
  </si>
  <si>
    <t xml:space="preserve">Georgia State University </t>
  </si>
  <si>
    <t>University of Georgia</t>
  </si>
  <si>
    <t>Georgia Institute of Technology</t>
  </si>
  <si>
    <t>Georgia Southern University</t>
  </si>
  <si>
    <t>University of West Georgia</t>
  </si>
  <si>
    <t xml:space="preserve">Valdosta State University </t>
  </si>
  <si>
    <t xml:space="preserve">Albany State University </t>
  </si>
  <si>
    <t>Armstrong Atlantic State University</t>
  </si>
  <si>
    <t>Columbus State University</t>
  </si>
  <si>
    <t>Georgia College and State University</t>
  </si>
  <si>
    <t>Kennesaw State University</t>
  </si>
  <si>
    <t>Augusta State University</t>
  </si>
  <si>
    <t>Clayton State University</t>
  </si>
  <si>
    <t>Fort Valley State University</t>
  </si>
  <si>
    <t>Georgia Southwestern State University</t>
  </si>
  <si>
    <t>North Georgia College and State University</t>
  </si>
  <si>
    <t>Savannah State University</t>
  </si>
  <si>
    <t>Georgia Gwinnett College</t>
  </si>
  <si>
    <t xml:space="preserve">Macon State College </t>
  </si>
  <si>
    <t xml:space="preserve">Dalton State College </t>
  </si>
  <si>
    <t xml:space="preserve">Gainesville State College </t>
  </si>
  <si>
    <t xml:space="preserve">Gordon College </t>
  </si>
  <si>
    <t xml:space="preserve">Georgia Perimeter College </t>
  </si>
  <si>
    <t xml:space="preserve">Abraham Baldwin Agricultural College </t>
  </si>
  <si>
    <t>Atlanta Metropolitan College</t>
  </si>
  <si>
    <t xml:space="preserve">Bainbridge College </t>
  </si>
  <si>
    <t xml:space="preserve">College of Coastal Georgia </t>
  </si>
  <si>
    <t xml:space="preserve">Darton College </t>
  </si>
  <si>
    <t>East Georgia College</t>
  </si>
  <si>
    <t>Georgia Highlands College</t>
  </si>
  <si>
    <t xml:space="preserve">Middle Georgia College </t>
  </si>
  <si>
    <t xml:space="preserve">South Georgia College </t>
  </si>
  <si>
    <t xml:space="preserve">Waycross College </t>
  </si>
  <si>
    <t>Met the criteria for Four-Year 3 in 2011-12 and 2012-13.</t>
  </si>
  <si>
    <t>Reclassified: met the criteria for Four-Year 4 in 2010-11, 2011-12, and 2012-13.</t>
  </si>
  <si>
    <t>Met the criteria for Four-Year 4 in 2012-13.</t>
  </si>
  <si>
    <t xml:space="preserve">Met the criteria for Two-Year with Bachelor's in 2011-12 and 2012-13. </t>
  </si>
  <si>
    <t>7</t>
  </si>
  <si>
    <t>Met the criteria for Four-Year 6 in 2011-12 and 2012-13.</t>
  </si>
  <si>
    <t>MS</t>
  </si>
  <si>
    <t>Mississippi State University</t>
  </si>
  <si>
    <t>University of Southern Mississippi</t>
  </si>
  <si>
    <t xml:space="preserve">Jackson State University </t>
  </si>
  <si>
    <t>University of Mississippi</t>
  </si>
  <si>
    <t>Alcorn State University</t>
  </si>
  <si>
    <t>Delta State University</t>
  </si>
  <si>
    <t>Mississippi Valley State University</t>
  </si>
  <si>
    <t>Mississippi University for Women</t>
  </si>
  <si>
    <t>WV</t>
  </si>
  <si>
    <t>West Virginia University</t>
  </si>
  <si>
    <t xml:space="preserve">Marshall University </t>
  </si>
  <si>
    <t>Fairmont State University</t>
  </si>
  <si>
    <t xml:space="preserve">Shepherd University </t>
  </si>
  <si>
    <t xml:space="preserve">Bluefield State College </t>
  </si>
  <si>
    <t xml:space="preserve">Concord University </t>
  </si>
  <si>
    <t xml:space="preserve">Glenville State College </t>
  </si>
  <si>
    <t>West Liberty University</t>
  </si>
  <si>
    <t xml:space="preserve">West Virginia State University </t>
  </si>
  <si>
    <t>West Virginia University Institute of Technology</t>
  </si>
  <si>
    <t>Potomac State College of West Virginia University</t>
  </si>
  <si>
    <t>West Virginia University at Parkersburg</t>
  </si>
  <si>
    <t>West Virginia Northern Community College</t>
  </si>
  <si>
    <t>Blue Ridge Community &amp; Technical College</t>
  </si>
  <si>
    <t>Bridgemont Community &amp; Technical College</t>
  </si>
  <si>
    <t>Eastern West Virginia Community &amp; Technical College</t>
  </si>
  <si>
    <t>Kanawha Valley Community &amp; Technical College</t>
  </si>
  <si>
    <t>Mountwest Community &amp; Technical College</t>
  </si>
  <si>
    <t>New River Community &amp; Technical College</t>
  </si>
  <si>
    <t>Pierpont Community &amp; Technical College</t>
  </si>
  <si>
    <t xml:space="preserve">Southern West Virginia Community &amp; Technical College </t>
  </si>
  <si>
    <t>Reclassified: met criteria for Two-Year 2 in 2010-11, 2011-12, and 2012-13.</t>
  </si>
  <si>
    <t>OK</t>
  </si>
  <si>
    <t xml:space="preserve">Canadian Valley Technology Center                 </t>
  </si>
  <si>
    <t xml:space="preserve">Francis Tuttle Technology Center                  </t>
  </si>
  <si>
    <t xml:space="preserve">Metro Technology Centers                          </t>
  </si>
  <si>
    <t xml:space="preserve">Autry Technology Center                           </t>
  </si>
  <si>
    <t xml:space="preserve">Caddo Kiowa Technology Center                     </t>
  </si>
  <si>
    <t xml:space="preserve">Central Technology Center                         </t>
  </si>
  <si>
    <t xml:space="preserve">Chisholm Trail Technology Center                  </t>
  </si>
  <si>
    <t xml:space="preserve">Eastern Oklahoma County Technology Center         </t>
  </si>
  <si>
    <t xml:space="preserve">Gordon Cooper Technology Center                   </t>
  </si>
  <si>
    <t xml:space="preserve">Great Plains Technology Center                    </t>
  </si>
  <si>
    <t xml:space="preserve">Green Country Technology Center                   </t>
  </si>
  <si>
    <t xml:space="preserve">High Plains Technology Center                     </t>
  </si>
  <si>
    <t xml:space="preserve">Indian Capital Technology Center-Muskogee         </t>
  </si>
  <si>
    <t xml:space="preserve">Indian Capital Technology Center-Sallisaw         </t>
  </si>
  <si>
    <t xml:space="preserve">Indian Capital Technology Center-Stilwell         </t>
  </si>
  <si>
    <t xml:space="preserve">Indian Capital Technology Center-Tahlequah        </t>
  </si>
  <si>
    <t xml:space="preserve">Kiamichi Technology Center-Atoka                  </t>
  </si>
  <si>
    <t xml:space="preserve">Kiamichi Technology Center-Durant                 </t>
  </si>
  <si>
    <t xml:space="preserve">Kiamichi Technology Center-Hugo                   </t>
  </si>
  <si>
    <t xml:space="preserve">Kiamichi Technology Center-Idabel                 </t>
  </si>
  <si>
    <t xml:space="preserve">Kiamichi Technology Center-McAlester              </t>
  </si>
  <si>
    <t xml:space="preserve">Kiamichi Technology Center-Poteau                 </t>
  </si>
  <si>
    <t xml:space="preserve">Kiamichi Technology Center-Spiro                  </t>
  </si>
  <si>
    <t xml:space="preserve">Kiamichi Technology Center-Stigler                </t>
  </si>
  <si>
    <t xml:space="preserve">Kiamichi Technology Center-Talihina               </t>
  </si>
  <si>
    <t xml:space="preserve">Meridian Technology Center                        </t>
  </si>
  <si>
    <t xml:space="preserve">Mid-America Technology Center                     </t>
  </si>
  <si>
    <t xml:space="preserve">Mid-Del Technology Center                         </t>
  </si>
  <si>
    <t xml:space="preserve">Moore Norman Technology Center                    </t>
  </si>
  <si>
    <t xml:space="preserve">Northeast Technology Center-Afton                 </t>
  </si>
  <si>
    <t>Northeast Technology Center-Claremore</t>
  </si>
  <si>
    <t xml:space="preserve">New institution no longer in start up phase. </t>
  </si>
  <si>
    <t>456560</t>
  </si>
  <si>
    <t xml:space="preserve">Northeast Technology Center-Kansas                </t>
  </si>
  <si>
    <t xml:space="preserve">Northeast Technology Center-Pryor                 </t>
  </si>
  <si>
    <t xml:space="preserve">Northwest Technology Center-Alva                  </t>
  </si>
  <si>
    <t xml:space="preserve">Northwest Technology Center-Fairview              </t>
  </si>
  <si>
    <t xml:space="preserve">Pioneer Technology Center                         </t>
  </si>
  <si>
    <t xml:space="preserve">Pontotoc Technology Center                        </t>
  </si>
  <si>
    <t xml:space="preserve">Red River Technology Center                       </t>
  </si>
  <si>
    <t xml:space="preserve">Southern Oklahoma Technology Center               </t>
  </si>
  <si>
    <t xml:space="preserve">Southwest Technology Center                       </t>
  </si>
  <si>
    <t xml:space="preserve">Tri County Technology Center                      </t>
  </si>
  <si>
    <t xml:space="preserve">Tulsa County Area Voc Tech School Dist 18-Peoria  </t>
  </si>
  <si>
    <t xml:space="preserve">Tulsa Technology Center-Broken Arrow Campus       </t>
  </si>
  <si>
    <t xml:space="preserve">Tulsa Technology Center-Lemley Campus             </t>
  </si>
  <si>
    <t xml:space="preserve">Tulsa Technology Center-Riverside Campus          </t>
  </si>
  <si>
    <t xml:space="preserve">Wes Watkins Technology Center                     </t>
  </si>
  <si>
    <t xml:space="preserve">Western Technology Center                         </t>
  </si>
  <si>
    <t>Oklahoma State University Main Campus</t>
  </si>
  <si>
    <t>University of Oklahoma Norman Campus</t>
  </si>
  <si>
    <t>Northeastern State University</t>
  </si>
  <si>
    <t>University of Central Oklahoma</t>
  </si>
  <si>
    <t xml:space="preserve">Cameron University </t>
  </si>
  <si>
    <t xml:space="preserve">East Central University </t>
  </si>
  <si>
    <t>Langston University</t>
  </si>
  <si>
    <t xml:space="preserve">Northwestern Oklahoma State University </t>
  </si>
  <si>
    <t xml:space="preserve">Southeastern Oklahoma State University </t>
  </si>
  <si>
    <t>Southwestern Oklahoma State University</t>
  </si>
  <si>
    <t xml:space="preserve">Oklahoma Panhandle State University </t>
  </si>
  <si>
    <t>Rogers State University</t>
  </si>
  <si>
    <t>University of Science and Arts of Oklahoma</t>
  </si>
  <si>
    <t xml:space="preserve">Oklahoma State University Technical Branch-Okmulgee </t>
  </si>
  <si>
    <t xml:space="preserve">Oklahoma State University-Oklahoma City </t>
  </si>
  <si>
    <t xml:space="preserve">Oklahoma City Community College </t>
  </si>
  <si>
    <t xml:space="preserve">Rose State College </t>
  </si>
  <si>
    <t xml:space="preserve">Tulsa Community College </t>
  </si>
  <si>
    <t xml:space="preserve">Northern Oklahoma College </t>
  </si>
  <si>
    <t>Carl Albert State College</t>
  </si>
  <si>
    <t xml:space="preserve">Connors State College </t>
  </si>
  <si>
    <t xml:space="preserve">Eastern Oklahoma State College </t>
  </si>
  <si>
    <t xml:space="preserve">Murray State College </t>
  </si>
  <si>
    <t xml:space="preserve">Northeastern Oklahoma A &amp; M College </t>
  </si>
  <si>
    <t>Redlands Community College</t>
  </si>
  <si>
    <t xml:space="preserve">Seminole State College </t>
  </si>
  <si>
    <t xml:space="preserve">Western Oklahoma State College </t>
  </si>
  <si>
    <t>Met the criteria for Two-Year 2 institution in 2012-13.</t>
  </si>
  <si>
    <t>Met the criteria for Two-Year 1 institution in 2012-13.</t>
  </si>
  <si>
    <t>Reclassified: met the criteria for Two-Year 2 institution in 2010-11, 2011-12, and 2012-13.</t>
  </si>
  <si>
    <t>Met the criteria for Two-Year 2 institution in 2011-12 and 2012-13.</t>
  </si>
  <si>
    <t>TX</t>
  </si>
  <si>
    <t xml:space="preserve">Texas A&amp;M University </t>
  </si>
  <si>
    <t xml:space="preserve">Texas Tech University </t>
  </si>
  <si>
    <t>University of Houston</t>
  </si>
  <si>
    <t>University of North Texas</t>
  </si>
  <si>
    <t>University of Texas at Arlington</t>
  </si>
  <si>
    <t>University of Texas at Austin</t>
  </si>
  <si>
    <t>University of Texas at Dallas</t>
  </si>
  <si>
    <t>Texas Woman's University</t>
  </si>
  <si>
    <t>University of Texas at El Paso</t>
  </si>
  <si>
    <t>University of Texas at San Antonio</t>
  </si>
  <si>
    <t>Angelo State University</t>
  </si>
  <si>
    <t>Lamar University</t>
  </si>
  <si>
    <t>Midwestern State University</t>
  </si>
  <si>
    <t>Prairie View A&amp;M University</t>
  </si>
  <si>
    <t xml:space="preserve">Sam Houston State University </t>
  </si>
  <si>
    <t>Stephen F. Austin State University</t>
  </si>
  <si>
    <t xml:space="preserve">Sul Ross State University </t>
  </si>
  <si>
    <t>Tarleton State University</t>
  </si>
  <si>
    <t>Texas A&amp;M International University</t>
  </si>
  <si>
    <t>Texas A&amp;M University-Commerce</t>
  </si>
  <si>
    <t xml:space="preserve">Texas A&amp;M University-Corpus Christi </t>
  </si>
  <si>
    <t>Texas A&amp;M University-Kingsville</t>
  </si>
  <si>
    <t xml:space="preserve">Texas Southern University </t>
  </si>
  <si>
    <t>Texas State University-San Marcos</t>
  </si>
  <si>
    <t xml:space="preserve">University of Houston-Clear Lake </t>
  </si>
  <si>
    <t>University of Texas at Brownsville</t>
  </si>
  <si>
    <t>University of Texas at Tyler</t>
  </si>
  <si>
    <t>University of Texas of the Permian Basin</t>
  </si>
  <si>
    <t>University of Texas-Pan American</t>
  </si>
  <si>
    <t>West Texas A&amp;M University</t>
  </si>
  <si>
    <t>Texas A&amp;M -Texarkana</t>
  </si>
  <si>
    <t>University of Houston-Victoria</t>
  </si>
  <si>
    <t>Sul Ross State University-Rio Grande College</t>
  </si>
  <si>
    <t>228501B</t>
  </si>
  <si>
    <t>University of Houston-Downtown</t>
  </si>
  <si>
    <t>Texas A&amp;M University at Galveston</t>
  </si>
  <si>
    <t xml:space="preserve">Brazosport College </t>
  </si>
  <si>
    <t xml:space="preserve">Midland College </t>
  </si>
  <si>
    <t>South Texas College</t>
  </si>
  <si>
    <t xml:space="preserve">Amarillo College </t>
  </si>
  <si>
    <t xml:space="preserve">Austin Community College </t>
  </si>
  <si>
    <t xml:space="preserve">Blinn College </t>
  </si>
  <si>
    <t>Brookhaven College  (DCCCD)</t>
  </si>
  <si>
    <t xml:space="preserve">Central Texas College </t>
  </si>
  <si>
    <t>Collin County Community College District</t>
  </si>
  <si>
    <t xml:space="preserve">Del Mar College </t>
  </si>
  <si>
    <t>Eastfield College  (DCCCD)</t>
  </si>
  <si>
    <t>El Centro College  (DCCCD)</t>
  </si>
  <si>
    <t>El Paso County Community College District</t>
  </si>
  <si>
    <t>Houston Community College</t>
  </si>
  <si>
    <t xml:space="preserve">Kilgore College </t>
  </si>
  <si>
    <t xml:space="preserve">Laredo Community College </t>
  </si>
  <si>
    <t>Lone Star College System District</t>
  </si>
  <si>
    <t xml:space="preserve">McLennan Community College </t>
  </si>
  <si>
    <t xml:space="preserve">Navarro College </t>
  </si>
  <si>
    <t>North Central Texas Community College</t>
  </si>
  <si>
    <t>North Lake College  (DCCCD)</t>
  </si>
  <si>
    <t>Northwest Vista College (ACCD)</t>
  </si>
  <si>
    <t>Palo Alto College  (ACCD)</t>
  </si>
  <si>
    <t>Richland College  (DCCCD)</t>
  </si>
  <si>
    <t>San Antonio College (ACCD)</t>
  </si>
  <si>
    <t>San Jacinto College</t>
  </si>
  <si>
    <t xml:space="preserve">South Plains College </t>
  </si>
  <si>
    <t>St. Philip's College  (ACCD)</t>
  </si>
  <si>
    <t>Tarrant County College</t>
  </si>
  <si>
    <t xml:space="preserve">Texas Southmost College </t>
  </si>
  <si>
    <t>Texas State Technical College-Waco</t>
  </si>
  <si>
    <t>Trinity Valley Community College</t>
  </si>
  <si>
    <t xml:space="preserve">Tyler Junior College </t>
  </si>
  <si>
    <t xml:space="preserve">Alvin Community College </t>
  </si>
  <si>
    <t xml:space="preserve">Angelina College </t>
  </si>
  <si>
    <t>Cedar Valley College  (DCCCD)</t>
  </si>
  <si>
    <t>Cisco Junior College</t>
  </si>
  <si>
    <t>Coastal Bend College</t>
  </si>
  <si>
    <t>College of the Mainland</t>
  </si>
  <si>
    <t xml:space="preserve">Grayson County College </t>
  </si>
  <si>
    <t>Hill College</t>
  </si>
  <si>
    <t>Howard College (HCJCD)</t>
  </si>
  <si>
    <t>Lamar Institute of Technology</t>
  </si>
  <si>
    <t xml:space="preserve">Lee College </t>
  </si>
  <si>
    <t>Mountain View College  (DCCCD)</t>
  </si>
  <si>
    <t xml:space="preserve">Northeast Texas Community College </t>
  </si>
  <si>
    <t xml:space="preserve">Odessa College </t>
  </si>
  <si>
    <t>Paris Junior College</t>
  </si>
  <si>
    <t xml:space="preserve">Southwest Texas Junior College </t>
  </si>
  <si>
    <t xml:space="preserve">Temple College </t>
  </si>
  <si>
    <t xml:space="preserve">Texarkana College </t>
  </si>
  <si>
    <t xml:space="preserve">Texas State Technical College-Harlingen </t>
  </si>
  <si>
    <t xml:space="preserve">Vernon College </t>
  </si>
  <si>
    <t xml:space="preserve">Victoria College </t>
  </si>
  <si>
    <t xml:space="preserve">Weatherford College </t>
  </si>
  <si>
    <t xml:space="preserve">Wharton County Junior College </t>
  </si>
  <si>
    <t xml:space="preserve">Clarendon College </t>
  </si>
  <si>
    <t xml:space="preserve">Frank Phillips College </t>
  </si>
  <si>
    <t xml:space="preserve">Galveston College </t>
  </si>
  <si>
    <t>Lamar State College-Orange</t>
  </si>
  <si>
    <t>Lamar State College-Port Arthur</t>
  </si>
  <si>
    <t>Northeast Lakeview College (ACCD)</t>
  </si>
  <si>
    <t>???</t>
  </si>
  <si>
    <t>Panola College</t>
  </si>
  <si>
    <t xml:space="preserve">Ranger College </t>
  </si>
  <si>
    <t>Southwest Collegiate Institute for the Deaf (HCJCD)</t>
  </si>
  <si>
    <t>Texas State Technical College-Marshall</t>
  </si>
  <si>
    <t>Texas State Technical College-West Texas</t>
  </si>
  <si>
    <t xml:space="preserve">Western Texas College </t>
  </si>
  <si>
    <t>Texas A &amp; M University - Central Texas</t>
  </si>
  <si>
    <t>Texas A &amp; M University - San Antonio</t>
  </si>
  <si>
    <t>University of North Texas at Dallas</t>
  </si>
  <si>
    <t>New fall 2009. No degrees yet granted.</t>
  </si>
  <si>
    <t>Alamo Community College District (ACCD)</t>
  </si>
  <si>
    <t>08b</t>
  </si>
  <si>
    <t>Dallas County Community College District (DCCD)</t>
  </si>
  <si>
    <t>09b</t>
  </si>
  <si>
    <t>Howard County Community/Junior College District (HCJCD)</t>
  </si>
  <si>
    <t>Reclassified: Met the criteria for Four-Year 4 in 2010-11, 2011-12, and 2012-13.</t>
  </si>
  <si>
    <t>Reclassified: Met the criteria for Four-Year 5 in 2010-11, 2011-12, and 2012-13.</t>
  </si>
  <si>
    <t>Met criteria for Two-Year 2 in 2012-13.</t>
  </si>
  <si>
    <t>Reclassified: Met the criteria for Two-Year 2 in 2010-11, 2011-12, and 2012-13.</t>
  </si>
  <si>
    <t>TN</t>
  </si>
  <si>
    <t>University of Memphis</t>
  </si>
  <si>
    <t>University of Tennessee, Knoxville</t>
  </si>
  <si>
    <t xml:space="preserve">Tennessee State University </t>
  </si>
  <si>
    <t xml:space="preserve">Austin Peay State University </t>
  </si>
  <si>
    <t xml:space="preserve">East Tennessee State University </t>
  </si>
  <si>
    <t xml:space="preserve">Middle Tennessee State University </t>
  </si>
  <si>
    <t xml:space="preserve">Tennessee Technological University </t>
  </si>
  <si>
    <t>University of Tennessee at Chattanooga</t>
  </si>
  <si>
    <t>University of Tennessee at Martin</t>
  </si>
  <si>
    <t xml:space="preserve">Chattanooga State Technical Community College </t>
  </si>
  <si>
    <t>Nashville State Technical Community College</t>
  </si>
  <si>
    <t>Pellissippi State Technical Community College</t>
  </si>
  <si>
    <t>Southwest Tennessee Community College</t>
  </si>
  <si>
    <t xml:space="preserve">Volunteer State Community College </t>
  </si>
  <si>
    <t xml:space="preserve">Cleveland State Community College </t>
  </si>
  <si>
    <t xml:space="preserve">Columbia State Community College </t>
  </si>
  <si>
    <t xml:space="preserve">Dyersburg State Community College </t>
  </si>
  <si>
    <t xml:space="preserve">Jackson State Community College </t>
  </si>
  <si>
    <t xml:space="preserve">Motlow State Community College </t>
  </si>
  <si>
    <t>Northeast State Technical Community College</t>
  </si>
  <si>
    <t xml:space="preserve">Roane State Community College </t>
  </si>
  <si>
    <t xml:space="preserve">Walters State Community College </t>
  </si>
  <si>
    <t>Tennessee Technology Center at Athens</t>
  </si>
  <si>
    <t>Tennessee Technology Center at Chattanooga</t>
  </si>
  <si>
    <t>219824B</t>
  </si>
  <si>
    <t>Tennessee Technology Center at Covington</t>
  </si>
  <si>
    <t>Tennessee Technology Center at Crossville</t>
  </si>
  <si>
    <t>Tennessee Technology Center at Crump</t>
  </si>
  <si>
    <t>Tennessee Technology Center at Dickson</t>
  </si>
  <si>
    <t>Tennessee Technology Center at Elizabethton</t>
  </si>
  <si>
    <t>Tennessee Technology Center at Harriman</t>
  </si>
  <si>
    <t>Tennessee Technology Center at Hartsville</t>
  </si>
  <si>
    <t>Tennessee Technology Center at Hohenwald</t>
  </si>
  <si>
    <t>Tennessee Technology Center at Jacksboro</t>
  </si>
  <si>
    <t>Tennessee Technology Center at Jackson</t>
  </si>
  <si>
    <t>Tennessee Technology Center at Knoxville</t>
  </si>
  <si>
    <t>Tennessee Technology Center at Livingston</t>
  </si>
  <si>
    <t>Tennessee Technology Center at McKenzie</t>
  </si>
  <si>
    <t>Tennessee Technology Center at McMinnville</t>
  </si>
  <si>
    <t>Tennessee Technology Center at Memphis</t>
  </si>
  <si>
    <t>Tennessee Technology Center at Morristown</t>
  </si>
  <si>
    <t>Tennessee Technology Center at Murfreesboro</t>
  </si>
  <si>
    <t>Tennessee Technology Center at Nashville</t>
  </si>
  <si>
    <t>Tennessee Technology Center at Newbern</t>
  </si>
  <si>
    <t>Tennessee Technology Center at Oneida</t>
  </si>
  <si>
    <t>Tennessee Technology Center at Paris</t>
  </si>
  <si>
    <t>Tennessee Technology Center at Pulaski</t>
  </si>
  <si>
    <t>Tennessee Technology Center at Ripley</t>
  </si>
  <si>
    <t>Tennessee Technology Center at Shelbyville</t>
  </si>
  <si>
    <t>Tennessee Technology Center at Whiteville</t>
  </si>
  <si>
    <t>Reclassified: Met the criteria for Technical Institute or College 1 in 2010-11, 2011-12, and 2012-13.</t>
  </si>
  <si>
    <t>AR</t>
  </si>
  <si>
    <t>University of Arkansas, Fayetteville</t>
  </si>
  <si>
    <t>Arkansas State University</t>
  </si>
  <si>
    <t>University of Arkansas at Little Rock</t>
  </si>
  <si>
    <t xml:space="preserve">University of Central Arkansas </t>
  </si>
  <si>
    <t>Arkansas Tech University</t>
  </si>
  <si>
    <t>Henderson State University</t>
  </si>
  <si>
    <t>Southern Arkansas University</t>
  </si>
  <si>
    <t>University of Arkansas at Monticello</t>
  </si>
  <si>
    <t>University of Arkansas at Fort Smith</t>
  </si>
  <si>
    <t>University of Arkansas at Pine Bluff</t>
  </si>
  <si>
    <t xml:space="preserve">Northwest Arkansas Community College </t>
  </si>
  <si>
    <t>Pulaski Technical College</t>
  </si>
  <si>
    <t>Arkansas State University-Beebe</t>
  </si>
  <si>
    <t>National Park Community College</t>
  </si>
  <si>
    <t>Arkansas Northeastern College</t>
  </si>
  <si>
    <t>Arkansas State University Mountain Home</t>
  </si>
  <si>
    <t>Arkansas State University-Newport</t>
  </si>
  <si>
    <t>Black River Technical College</t>
  </si>
  <si>
    <t>College of the Ouachitas</t>
  </si>
  <si>
    <t>Cossatot Community College of the University of Arkansas</t>
  </si>
  <si>
    <t xml:space="preserve">East Arkansas Community College </t>
  </si>
  <si>
    <t xml:space="preserve">Mid-South Community College </t>
  </si>
  <si>
    <t>North Arkansas College</t>
  </si>
  <si>
    <t xml:space="preserve">Ozarka College </t>
  </si>
  <si>
    <t>Phillips Community College of the Univ of Arkansas</t>
  </si>
  <si>
    <t xml:space="preserve">Rich Mountain Community College </t>
  </si>
  <si>
    <t>South Arkansas Community College</t>
  </si>
  <si>
    <t>Southeast Arkansas College</t>
  </si>
  <si>
    <t>Southern Arkansas University Tech</t>
  </si>
  <si>
    <t>University of Arkansas Community College at Batesville</t>
  </si>
  <si>
    <t>University of Arkansas Community College at Hope</t>
  </si>
  <si>
    <t>University of Arkansas Community College at Morrilton</t>
  </si>
  <si>
    <t>Reclassified: met the criteria for Four-Year 3 in 2010-11, 2011-12 and 2012-13.</t>
  </si>
  <si>
    <t>11</t>
  </si>
  <si>
    <t>11 Total</t>
  </si>
  <si>
    <t>99 Total</t>
  </si>
  <si>
    <t>08b Total</t>
  </si>
  <si>
    <t>09b Total</t>
  </si>
  <si>
    <t>10b Total</t>
  </si>
  <si>
    <t>Asheville-Buncombe Technical Community College</t>
  </si>
  <si>
    <t>Cape Fear Community College</t>
  </si>
  <si>
    <t xml:space="preserve">Central Piedmont Community College </t>
  </si>
  <si>
    <t>Fayetteville Technical Community College</t>
  </si>
  <si>
    <t>Forsyth Technical Community College</t>
  </si>
  <si>
    <t xml:space="preserve">Gaston College </t>
  </si>
  <si>
    <t>Guilford Technical Community College</t>
  </si>
  <si>
    <t>Pitt Community College</t>
  </si>
  <si>
    <t>Rowan-Cabarrus Community College</t>
  </si>
  <si>
    <t>Wake Technical Community College</t>
  </si>
  <si>
    <t>Alamance Community College</t>
  </si>
  <si>
    <t>Caldwell Community College &amp; Technical Institute</t>
  </si>
  <si>
    <t>Catawba Valley Community College</t>
  </si>
  <si>
    <t>Central Carolina Commuity College</t>
  </si>
  <si>
    <t>Cleveland Community College</t>
  </si>
  <si>
    <t xml:space="preserve">Coastal Carolina Community College </t>
  </si>
  <si>
    <t xml:space="preserve">Craven Community College </t>
  </si>
  <si>
    <t xml:space="preserve">Davidson County Community College </t>
  </si>
  <si>
    <t>Durham Technical Community College</t>
  </si>
  <si>
    <t>Edgecombe Community College</t>
  </si>
  <si>
    <t>Haywood Community College</t>
  </si>
  <si>
    <t xml:space="preserve">Isothermal Community College </t>
  </si>
  <si>
    <t>Johnston Community College</t>
  </si>
  <si>
    <t xml:space="preserve">Lenoir Community College </t>
  </si>
  <si>
    <t xml:space="preserve">Mitchell Community College </t>
  </si>
  <si>
    <t>Nash Community College</t>
  </si>
  <si>
    <t>Randolph Community College</t>
  </si>
  <si>
    <t>Robeson Community College</t>
  </si>
  <si>
    <t xml:space="preserve">Sandhills Community College </t>
  </si>
  <si>
    <t>Stanly Community College</t>
  </si>
  <si>
    <t xml:space="preserve">Surry Community College </t>
  </si>
  <si>
    <t xml:space="preserve">Vance-Granville Community College </t>
  </si>
  <si>
    <t>Wayne Community College</t>
  </si>
  <si>
    <t xml:space="preserve">Western Piedmont Community College </t>
  </si>
  <si>
    <t xml:space="preserve">Wilkes Community College </t>
  </si>
  <si>
    <t xml:space="preserve">Beaufort County Community College </t>
  </si>
  <si>
    <t>Bladen Community College</t>
  </si>
  <si>
    <t>Blue Ridge Community College</t>
  </si>
  <si>
    <t>Brunswick Community College</t>
  </si>
  <si>
    <t>Carteret Community College</t>
  </si>
  <si>
    <t>College of the Albemarle</t>
  </si>
  <si>
    <t xml:space="preserve">Halifax Community College </t>
  </si>
  <si>
    <t>James Sprunt Community College</t>
  </si>
  <si>
    <t xml:space="preserve">Martin Community College </t>
  </si>
  <si>
    <t>Mayland Community College</t>
  </si>
  <si>
    <t>McDowell Technical Community College</t>
  </si>
  <si>
    <t>Montgomery Community College</t>
  </si>
  <si>
    <t>Pamlico Community College</t>
  </si>
  <si>
    <t>Piedmont Community College</t>
  </si>
  <si>
    <t>Richmond Community College</t>
  </si>
  <si>
    <t>Roanoke-Chowan Community College</t>
  </si>
  <si>
    <t xml:space="preserve">Rockingham Community College </t>
  </si>
  <si>
    <t>Sampson Community College</t>
  </si>
  <si>
    <t>South Piedmont Community College</t>
  </si>
  <si>
    <t xml:space="preserve">Southeastern Community College </t>
  </si>
  <si>
    <t xml:space="preserve">Southwestern Community College </t>
  </si>
  <si>
    <t xml:space="preserve">Tri-County Community College </t>
  </si>
  <si>
    <t>Wilson Community College</t>
  </si>
  <si>
    <t>Met the criteria for Two-Year 3 in 2011-12 and 2012-13.</t>
  </si>
  <si>
    <t>FL</t>
  </si>
  <si>
    <t>Florida International University</t>
  </si>
  <si>
    <t xml:space="preserve">Florida State University </t>
  </si>
  <si>
    <t xml:space="preserve">University of Central Florida </t>
  </si>
  <si>
    <t>University of Florida</t>
  </si>
  <si>
    <t xml:space="preserve">University of South Florida </t>
  </si>
  <si>
    <t xml:space="preserve">Florida Atlantic University </t>
  </si>
  <si>
    <t xml:space="preserve">Florida Agricultural &amp; Mechanical University </t>
  </si>
  <si>
    <t>University of North Florida</t>
  </si>
  <si>
    <t>University of West Florida</t>
  </si>
  <si>
    <t>Florida Gulf Coast University</t>
  </si>
  <si>
    <t>New College of Florida</t>
  </si>
  <si>
    <t>Met the criteria for Four-Year 2 in 2011-12 and 2012-13.</t>
  </si>
  <si>
    <t>DE</t>
  </si>
  <si>
    <t>University of Delaware</t>
  </si>
  <si>
    <t>Delaware State University</t>
  </si>
  <si>
    <t>Delaware Technical and Community College--Stanton-Wilmington</t>
  </si>
  <si>
    <t>Delaware Technical and Community College--Owens</t>
  </si>
  <si>
    <t>Delaware Technical and Community College--Terry</t>
  </si>
  <si>
    <t>Southcentral Kentucky Community and Technical College</t>
  </si>
  <si>
    <t>Met the criteria for Four-Year 3 in 2012-13.</t>
  </si>
  <si>
    <t>Reclassified: met the criteria for classification as a Two-Year 2 in 2010-11, 2011-12, and 2012-13.</t>
  </si>
  <si>
    <t>MD</t>
  </si>
  <si>
    <t>University of Maryland College Park</t>
  </si>
  <si>
    <t>Morgan State University</t>
  </si>
  <si>
    <t>University of Maryland, Baltimore County</t>
  </si>
  <si>
    <t xml:space="preserve">Towson University </t>
  </si>
  <si>
    <t xml:space="preserve">Bowie State University </t>
  </si>
  <si>
    <t>Coppin State University</t>
  </si>
  <si>
    <t xml:space="preserve">Frostburg State University </t>
  </si>
  <si>
    <t xml:space="preserve">Salisbury University </t>
  </si>
  <si>
    <t>University of Baltimore</t>
  </si>
  <si>
    <t xml:space="preserve">University of Maryland Eastern Shore </t>
  </si>
  <si>
    <t>Saint Mary's College of Maryland</t>
  </si>
  <si>
    <t xml:space="preserve">Anne Arundel Community College </t>
  </si>
  <si>
    <t>College of Southern Maryland</t>
  </si>
  <si>
    <t>Community College of Baltimore County (all campuses)</t>
  </si>
  <si>
    <t xml:space="preserve">Howard Community College </t>
  </si>
  <si>
    <t>Montgomery College (all campuses)</t>
  </si>
  <si>
    <t xml:space="preserve">Prince George's Community College </t>
  </si>
  <si>
    <t>Allegany College of Maryland</t>
  </si>
  <si>
    <t>Baltimore City Community College</t>
  </si>
  <si>
    <t>Carroll Community College</t>
  </si>
  <si>
    <t xml:space="preserve">Frederick Community College </t>
  </si>
  <si>
    <t xml:space="preserve">Hagerstown Community College </t>
  </si>
  <si>
    <t xml:space="preserve">Harford Community College </t>
  </si>
  <si>
    <t xml:space="preserve">Wor-Wic Community College </t>
  </si>
  <si>
    <t xml:space="preserve">Cecil Community College </t>
  </si>
  <si>
    <t xml:space="preserve">Chesapeake College </t>
  </si>
  <si>
    <t xml:space="preserve">Garrett College </t>
  </si>
  <si>
    <t>Reclassified: met the criteria for Four-Year 5 in 2010-11, 2011-12, and 2012-13.</t>
  </si>
  <si>
    <t>SC</t>
  </si>
  <si>
    <t>Clemson University</t>
  </si>
  <si>
    <t>University of South Carolina-Columbia</t>
  </si>
  <si>
    <t>College of Charleston</t>
  </si>
  <si>
    <t xml:space="preserve">Winthrop University </t>
  </si>
  <si>
    <t xml:space="preserve">The Citadel, the Military College of South Carolina </t>
  </si>
  <si>
    <t>Coastal Carolina University</t>
  </si>
  <si>
    <t xml:space="preserve">Francis Marion University </t>
  </si>
  <si>
    <t xml:space="preserve">South Carolina State University </t>
  </si>
  <si>
    <t>Lander University</t>
  </si>
  <si>
    <t>University of South Carolina-Aiken</t>
  </si>
  <si>
    <t>University of South Carolina-Beaufort</t>
  </si>
  <si>
    <t>University of South Carolina-Upstate</t>
  </si>
  <si>
    <t xml:space="preserve">Greenville Technical College </t>
  </si>
  <si>
    <t xml:space="preserve">Horry-Georgetown Technical College </t>
  </si>
  <si>
    <t xml:space="preserve">Midlands Technical College </t>
  </si>
  <si>
    <t xml:space="preserve">Tri-County Technical College </t>
  </si>
  <si>
    <t xml:space="preserve">Trident Technical College </t>
  </si>
  <si>
    <t xml:space="preserve">Aiken Technical College </t>
  </si>
  <si>
    <t xml:space="preserve">Central Carolina Technical College </t>
  </si>
  <si>
    <t xml:space="preserve">Florence-Darlington Technical College </t>
  </si>
  <si>
    <t xml:space="preserve">Orangeburg-Calhoun Technical College </t>
  </si>
  <si>
    <t xml:space="preserve">Piedmont Technical College </t>
  </si>
  <si>
    <t xml:space="preserve">Spartanburg Community College </t>
  </si>
  <si>
    <t xml:space="preserve">York Technical College </t>
  </si>
  <si>
    <t xml:space="preserve">Denmark Technical College </t>
  </si>
  <si>
    <t xml:space="preserve">Northeastern Technical College </t>
  </si>
  <si>
    <t>Technical College of the Lowcountry</t>
  </si>
  <si>
    <t>University of South Carolina-Lancaster</t>
  </si>
  <si>
    <t>University of South Carolina-Salkehatchie</t>
  </si>
  <si>
    <t>University of South Carolina-Sumter</t>
  </si>
  <si>
    <t>University of South Carolina-Union</t>
  </si>
  <si>
    <t xml:space="preserve">Willamsburg Technical College </t>
  </si>
  <si>
    <t>Reclassified: Met the criteria for Two-year 1 in 2010-11, 2011-12, and 2012-13.</t>
  </si>
  <si>
    <t xml:space="preserve">Chipola College </t>
  </si>
  <si>
    <t xml:space="preserve">Daytona State College </t>
  </si>
  <si>
    <t xml:space="preserve">Edison State College </t>
  </si>
  <si>
    <t>Florida State College at Jacksonville</t>
  </si>
  <si>
    <t xml:space="preserve">Indian River State College </t>
  </si>
  <si>
    <t xml:space="preserve">Miami Dade College </t>
  </si>
  <si>
    <t>Northwest Florida State College</t>
  </si>
  <si>
    <t xml:space="preserve">St. Petersburg College </t>
  </si>
  <si>
    <t xml:space="preserve">Brevard Community College </t>
  </si>
  <si>
    <t xml:space="preserve">Broward College </t>
  </si>
  <si>
    <t>College of Central Florida</t>
  </si>
  <si>
    <t xml:space="preserve">Hillsborough Community College </t>
  </si>
  <si>
    <t xml:space="preserve">Palm Beach State College </t>
  </si>
  <si>
    <t xml:space="preserve">Pasco-Hernando Community College </t>
  </si>
  <si>
    <t xml:space="preserve">Pensacola State College </t>
  </si>
  <si>
    <t xml:space="preserve">Polk State College </t>
  </si>
  <si>
    <t xml:space="preserve">Santa Fe College </t>
  </si>
  <si>
    <t>Seminole State College of Florida</t>
  </si>
  <si>
    <t>State College of Florida, Manatee-Sarasota</t>
  </si>
  <si>
    <t xml:space="preserve">Tallahassee Community College </t>
  </si>
  <si>
    <t xml:space="preserve">Valencia Community College </t>
  </si>
  <si>
    <t>Florida Gateway College</t>
  </si>
  <si>
    <t xml:space="preserve">Gulf Coast Community College </t>
  </si>
  <si>
    <t xml:space="preserve">Lake-Sumter Community College </t>
  </si>
  <si>
    <t xml:space="preserve">South Florida Community College </t>
  </si>
  <si>
    <t xml:space="preserve">St. Johns River Community College </t>
  </si>
  <si>
    <t xml:space="preserve">Florida Keys Community College </t>
  </si>
  <si>
    <t xml:space="preserve">North Florida Community College </t>
  </si>
  <si>
    <t>Met the criteria for Two-Year with Bachelor's in 2011-12 and 2012-13.</t>
  </si>
  <si>
    <t>Met the criteria for Two-Year with Bachelor's in 2012-13.</t>
  </si>
  <si>
    <t>VA</t>
  </si>
  <si>
    <t xml:space="preserve">George Mason University </t>
  </si>
  <si>
    <t xml:space="preserve">Old Dominion University </t>
  </si>
  <si>
    <t>University of Virginia</t>
  </si>
  <si>
    <t xml:space="preserve">Virginia Tech </t>
  </si>
  <si>
    <t>College of William &amp; Mary</t>
  </si>
  <si>
    <t>Virginia Commonwealth University</t>
  </si>
  <si>
    <t xml:space="preserve">James Madison University  </t>
  </si>
  <si>
    <t xml:space="preserve">Norfolk State University </t>
  </si>
  <si>
    <t xml:space="preserve">Longwood University </t>
  </si>
  <si>
    <t>Radford University</t>
  </si>
  <si>
    <t xml:space="preserve">Virginia State University </t>
  </si>
  <si>
    <t>Christopher Newport University</t>
  </si>
  <si>
    <t xml:space="preserve">University of Mary Washington </t>
  </si>
  <si>
    <t xml:space="preserve">University of Virginia's College at Wise </t>
  </si>
  <si>
    <t>J.S. Reynolds Community College</t>
  </si>
  <si>
    <t xml:space="preserve">Northern Virginia Community College </t>
  </si>
  <si>
    <t xml:space="preserve">Thomas Nelson Community College </t>
  </si>
  <si>
    <t xml:space="preserve">Tidewater Community College </t>
  </si>
  <si>
    <t xml:space="preserve">Blue Ridge Community College </t>
  </si>
  <si>
    <t xml:space="preserve">Central Virginia Community College </t>
  </si>
  <si>
    <t xml:space="preserve">Danville Community College </t>
  </si>
  <si>
    <t>Germanna Community College</t>
  </si>
  <si>
    <t>John Tyler Community College</t>
  </si>
  <si>
    <t xml:space="preserve">Lord Fairfax Community College  </t>
  </si>
  <si>
    <t xml:space="preserve">New River Community College </t>
  </si>
  <si>
    <t xml:space="preserve">Patrick Henry Community College </t>
  </si>
  <si>
    <t xml:space="preserve">Piedmont Virginia Community College </t>
  </si>
  <si>
    <t xml:space="preserve">Southside Virginia Community College  </t>
  </si>
  <si>
    <t xml:space="preserve">Southwest Virginia Community College </t>
  </si>
  <si>
    <t xml:space="preserve">Virginia Western Community College </t>
  </si>
  <si>
    <t xml:space="preserve">Wytheville Community College </t>
  </si>
  <si>
    <t xml:space="preserve">D.S. Lancaster Community College </t>
  </si>
  <si>
    <t xml:space="preserve">Eastern Shore Community College  </t>
  </si>
  <si>
    <t>Mountain Empire Community College</t>
  </si>
  <si>
    <t xml:space="preserve">Paul D. Camp Community College  </t>
  </si>
  <si>
    <t xml:space="preserve">Rappahannock Community College  </t>
  </si>
  <si>
    <t xml:space="preserve">Richard Bland College </t>
  </si>
  <si>
    <t xml:space="preserve">Virginia Highlands Community College </t>
  </si>
  <si>
    <t>all 8's</t>
  </si>
  <si>
    <t>all 9's</t>
  </si>
  <si>
    <t>All'10's except R.B.</t>
  </si>
  <si>
    <t>Richard Bland College B</t>
  </si>
  <si>
    <t>All Community Colleges except R. Bland</t>
  </si>
  <si>
    <t>All CC - Bland</t>
  </si>
  <si>
    <t>Met the criteria for Four-Year 4 in 2011-12 and 2012-13.</t>
  </si>
  <si>
    <t>Met the criteria for Two-Year 1 in 2011-12 and 2012-13.</t>
  </si>
  <si>
    <t xml:space="preserve">Hinds Community College </t>
  </si>
  <si>
    <t xml:space="preserve">Itawamba Community College </t>
  </si>
  <si>
    <t xml:space="preserve">Mississippi Gulf Coast Community College </t>
  </si>
  <si>
    <t xml:space="preserve">Northwest Mississippi Community College </t>
  </si>
  <si>
    <t xml:space="preserve">Copiah-Lincoln Community College </t>
  </si>
  <si>
    <t xml:space="preserve">East Central Community College </t>
  </si>
  <si>
    <t xml:space="preserve">East Mississippi Community College </t>
  </si>
  <si>
    <t xml:space="preserve">Holmes Community College </t>
  </si>
  <si>
    <t xml:space="preserve">Jones County Junior College </t>
  </si>
  <si>
    <t xml:space="preserve">Meridian Community College </t>
  </si>
  <si>
    <t xml:space="preserve">Mississippi Delta Community College </t>
  </si>
  <si>
    <t xml:space="preserve">Northeast Mississippi Community College </t>
  </si>
  <si>
    <t xml:space="preserve">Pearl River Community College </t>
  </si>
  <si>
    <t xml:space="preserve">Coahoma Community College </t>
  </si>
  <si>
    <t>Southwest Mississippi Community College</t>
  </si>
  <si>
    <t>Met criteria for Two-Year 1 in 2012-13.</t>
  </si>
  <si>
    <t>Public Four-Year Institutions, 2012-13</t>
  </si>
  <si>
    <t>Public Two-Year Colleges and Technical Institutes or Colleges, 2012-13</t>
  </si>
  <si>
    <t>Public Two-Year Colleges, 2012-13</t>
  </si>
  <si>
    <t>Public Technical Institutes or Colleges, 2012-13</t>
  </si>
  <si>
    <t xml:space="preserve"> and Technical Institutes or Colleges, 2012-13</t>
  </si>
  <si>
    <t>Notes: Full-year full-time-equivalent (FTE) undergraduate enrollment for 2012-13 is estimated by taking the credit hours from calendar year 2012 (i.e. winter, spring, summer and fall terms of 2012) and by dividing total undergraduate semester credit hours by 30 and total undergraduate quarter hours by 45.</t>
  </si>
  <si>
    <t>February 2014</t>
  </si>
  <si>
    <t>Notes: Full-year full-time-equivalent (FTE) graduate enrollment for 2012-13 is estimated by taking the credit hours from calendar year 2012 (i.e. winter, spring, summer and fall terms of 2012) and by dividing total graduate semester credit hours by 24 and total graduate quarter hours by 36.</t>
  </si>
  <si>
    <t>Notes: Full-year full-time-equivalent (FTE) enrollment for 2012-13 is estimated by taking the credit hours from calendar year 2012 (i.e. winter, spring, summer and fall terms of 2012), and by dividing total undergraduate semester credit hours by 30; total undergraduate quarter hours by 45; total graduate semester credit hours by 24; and total graduate quarter hours by 36.</t>
  </si>
  <si>
    <r>
      <t>Notes:  Full-year full-time-equivalent (FTE) undergraduate enrollment for 2012-13 is estimated by taking the credit hours from calendar year 2012 (i.e. winter, spring, summer and fall terms of 2012) and by dividing total undergraduate semester credit hours by 30; total undergraduate contact hours by 900 (the equivalent of a 30 hour week);</t>
    </r>
    <r>
      <rPr>
        <sz val="8"/>
        <color rgb="FFFF0000"/>
        <rFont val="Arial"/>
        <family val="2"/>
      </rPr>
      <t xml:space="preserve"> </t>
    </r>
    <r>
      <rPr>
        <sz val="8"/>
        <color theme="1"/>
        <rFont val="Arial"/>
        <family val="2"/>
      </rPr>
      <t>and total graduate semester credit hours by 24</t>
    </r>
    <r>
      <rPr>
        <sz val="8"/>
        <rFont val="Arial"/>
        <family val="2"/>
      </rPr>
      <t xml:space="preserve">. </t>
    </r>
  </si>
  <si>
    <t xml:space="preserve">Notes:  Full-year full-time-equivalent (FTE) undergraduate enrollment for 2012-13 is estimated by taking the credit hours from calendar year 2012 (i.e. winter, spring, summer and fall terms of 2012) and by dividing total undergraduate semester credit hours by 30; total undergraduate quarter hours by 45; total undergraduate contact hours by 900 (the equivalent of a 30 hour week); total graduate semester credit hours by 24; and total graduate quarter hours by 36. </t>
  </si>
  <si>
    <t>Notes: Full-year full-time-equivalent (FTE) undergraduate enrollment for 2011-12 is estimated by taking the credit hours from calendar year 2011 (i.e. winter, spring, summer and fall terms of 2011) and by dividing total undergraduate semester credit hours by 30 and total undergraduate quarter hours by 45.</t>
  </si>
  <si>
    <t>Notes: Full-year full-time-equivalent (FTE) undergraduate enrollment for 2011-12 is estimated by taking the credit hours from calendar year 2011 (i.e. winter, spring, summer and fall terms of 2011) and by dividing total graduate semester credit hours by 24 and total graduate quarter hours by 36.</t>
  </si>
  <si>
    <t>Notes: Full-year full-time-equivalent (FTE) undergraduate enrollment for 2011-12 is estimated by taking the credit hours from calendar year 2011 (i.e. winter, spring, summer and fall terms of 2011) and by dividing total undergraduate semester credit hours by 30; total undergraduate quarter hours by 45; total graduate semester hours by 24; and total graduate quarter hours by 36.</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</si>
</sst>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_(* \(#,##0.00\);_(* &quot;-&quot;??_);_(@_)"/>
    <numFmt numFmtId="164" formatCode="0_)"/>
    <numFmt numFmtId="165" formatCode="_(* #,##0_);_(* \(#,##0\);_(* &quot;-&quot;??_);_(@_)"/>
    <numFmt numFmtId="166" formatCode="#,##0.0"/>
    <numFmt numFmtId="167" formatCode="General_)"/>
    <numFmt numFmtId="168" formatCode="0.0%"/>
    <numFmt numFmtId="169" formatCode="0.0"/>
    <numFmt numFmtId="170" formatCode="0.000"/>
    <numFmt numFmtId="171" formatCode="#,##0.000"/>
    <numFmt numFmtId="172" formatCode="0.000%"/>
  </numFmts>
  <fonts count="89">
    <font>
      <sz val="8"/>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Garamond"/>
      <family val="3"/>
    </font>
    <font>
      <sz val="12"/>
      <name val="AGaramond"/>
      <family val="1"/>
    </font>
    <font>
      <sz val="8"/>
      <name val="Arial"/>
      <family val="2"/>
    </font>
    <font>
      <sz val="9"/>
      <name val="Arial"/>
      <family val="2"/>
    </font>
    <font>
      <sz val="10"/>
      <name val="Arial"/>
      <family val="2"/>
    </font>
    <font>
      <sz val="14"/>
      <name val="Arial"/>
      <family val="2"/>
    </font>
    <font>
      <sz val="12"/>
      <name val="Arial"/>
      <family val="2"/>
    </font>
    <font>
      <b/>
      <sz val="12"/>
      <name val="Arial"/>
      <family val="2"/>
    </font>
    <font>
      <sz val="8"/>
      <name val="Arial"/>
      <family val="2"/>
    </font>
    <font>
      <b/>
      <sz val="8"/>
      <color indexed="81"/>
      <name val="Tahoma"/>
      <family val="2"/>
    </font>
    <font>
      <sz val="8"/>
      <color indexed="81"/>
      <name val="Tahoma"/>
      <family val="2"/>
    </font>
    <font>
      <b/>
      <sz val="14"/>
      <name val="Arial"/>
      <family val="2"/>
    </font>
    <font>
      <b/>
      <sz val="10"/>
      <name val="Arial"/>
      <family val="2"/>
    </font>
    <font>
      <b/>
      <sz val="9"/>
      <name val="Arial"/>
      <family val="2"/>
    </font>
    <font>
      <b/>
      <sz val="10"/>
      <color indexed="81"/>
      <name val="Tahoma"/>
      <family val="2"/>
    </font>
    <font>
      <sz val="10"/>
      <color indexed="8"/>
      <name val="Arial"/>
      <family val="2"/>
    </font>
    <font>
      <b/>
      <sz val="10"/>
      <color indexed="12"/>
      <name val="Arial"/>
      <family val="2"/>
    </font>
    <font>
      <sz val="10"/>
      <color indexed="10"/>
      <name val="Arial"/>
      <family val="2"/>
    </font>
    <font>
      <sz val="10"/>
      <color indexed="12"/>
      <name val="Arial"/>
      <family val="2"/>
    </font>
    <font>
      <sz val="10"/>
      <color indexed="81"/>
      <name val="Tahoma"/>
      <family val="2"/>
    </font>
    <font>
      <sz val="10"/>
      <color indexed="16"/>
      <name val="Arial"/>
      <family val="2"/>
    </font>
    <font>
      <b/>
      <sz val="9"/>
      <color indexed="12"/>
      <name val="Arial"/>
      <family val="2"/>
    </font>
    <font>
      <sz val="9"/>
      <color indexed="12"/>
      <name val="Arial"/>
      <family val="2"/>
    </font>
    <font>
      <sz val="10"/>
      <name val="Helv"/>
    </font>
    <font>
      <sz val="10"/>
      <name val="Arial"/>
      <family val="2"/>
    </font>
    <font>
      <b/>
      <sz val="10"/>
      <color indexed="8"/>
      <name val="Arial"/>
      <family val="2"/>
    </font>
    <font>
      <b/>
      <sz val="10"/>
      <color rgb="FFC00000"/>
      <name val="ARIAL"/>
      <family val="2"/>
    </font>
    <font>
      <sz val="10"/>
      <color rgb="FFC00000"/>
      <name val="Arial"/>
      <family val="2"/>
    </font>
    <font>
      <sz val="10"/>
      <color indexed="17"/>
      <name val="Arial"/>
      <family val="2"/>
    </font>
    <font>
      <sz val="10"/>
      <color rgb="FF0000FF"/>
      <name val="Arial"/>
      <family val="2"/>
    </font>
    <font>
      <b/>
      <sz val="14"/>
      <color rgb="FFC00000"/>
      <name val="Arial"/>
      <family val="2"/>
    </font>
    <font>
      <sz val="10"/>
      <name val="Calibri"/>
      <family val="2"/>
    </font>
    <font>
      <sz val="10"/>
      <color theme="0"/>
      <name val="Arial"/>
      <family val="2"/>
    </font>
    <font>
      <b/>
      <sz val="10"/>
      <color theme="0"/>
      <name val="Arial"/>
      <family val="2"/>
    </font>
    <font>
      <b/>
      <sz val="10"/>
      <color rgb="FF0000FF"/>
      <name val="Arial"/>
      <family val="2"/>
    </font>
    <font>
      <b/>
      <sz val="12"/>
      <color rgb="FF0000FF"/>
      <name val="Arial"/>
      <family val="2"/>
    </font>
    <font>
      <b/>
      <sz val="14"/>
      <color theme="0"/>
      <name val="Arial"/>
      <family val="2"/>
    </font>
    <font>
      <b/>
      <sz val="8"/>
      <name val="Times New Roman"/>
      <family val="1"/>
    </font>
    <font>
      <b/>
      <sz val="8"/>
      <color rgb="FFC00000"/>
      <name val="Times New Roman"/>
      <family val="1"/>
    </font>
    <font>
      <b/>
      <sz val="10"/>
      <color rgb="FFFF0000"/>
      <name val="Arial"/>
      <family val="2"/>
    </font>
    <font>
      <sz val="10"/>
      <color theme="1"/>
      <name val="Arial"/>
      <family val="2"/>
    </font>
    <font>
      <sz val="11"/>
      <color indexed="8"/>
      <name val="Calibri"/>
      <family val="2"/>
    </font>
    <font>
      <sz val="10"/>
      <name val="Courier"/>
      <family val="3"/>
    </font>
    <font>
      <sz val="12"/>
      <name val="AGaramond"/>
      <family val="1"/>
    </font>
    <font>
      <sz val="10"/>
      <color rgb="FF000000"/>
      <name val="Times New Roman"/>
      <family val="1"/>
    </font>
    <font>
      <sz val="10"/>
      <color rgb="FF000000"/>
      <name val="Times New Roman"/>
      <family val="1"/>
    </font>
    <font>
      <sz val="8"/>
      <color rgb="FFFF0000"/>
      <name val="Arial"/>
      <family val="2"/>
    </font>
    <font>
      <sz val="8"/>
      <color theme="1"/>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AGaramond"/>
    </font>
    <font>
      <sz val="9"/>
      <color indexed="81"/>
      <name val="Tahoma"/>
      <family val="2"/>
    </font>
    <font>
      <b/>
      <sz val="9"/>
      <color indexed="81"/>
      <name val="Tahoma"/>
      <family val="2"/>
    </font>
    <font>
      <sz val="10"/>
      <color indexed="8"/>
      <name val="Times New Roman"/>
      <family val="1"/>
    </font>
    <font>
      <sz val="8"/>
      <name val="Times New Roman"/>
      <family val="1"/>
    </font>
    <font>
      <b/>
      <sz val="8"/>
      <color rgb="FFFF0000"/>
      <name val="Times New Roman"/>
      <family val="1"/>
    </font>
    <font>
      <b/>
      <sz val="11"/>
      <color theme="1"/>
      <name val="Calibri"/>
      <family val="2"/>
      <scheme val="minor"/>
    </font>
    <font>
      <b/>
      <sz val="10"/>
      <color theme="1"/>
      <name val="Arial"/>
      <family val="2"/>
    </font>
    <font>
      <b/>
      <sz val="10"/>
      <name val="Arial, Albany AMT, Helvetica"/>
    </font>
    <font>
      <sz val="10"/>
      <color rgb="FFFFFF00"/>
      <name val="Arial"/>
      <family val="2"/>
    </font>
  </fonts>
  <fills count="67">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1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B2A1C7"/>
        <bgColor indexed="64"/>
      </patternFill>
    </fill>
    <fill>
      <patternFill patternType="solid">
        <fgColor theme="0"/>
        <bgColor indexed="64"/>
      </patternFill>
    </fill>
    <fill>
      <patternFill patternType="solid">
        <fgColor rgb="FFC00000"/>
        <bgColor indexed="64"/>
      </patternFill>
    </fill>
    <fill>
      <patternFill patternType="solid">
        <fgColor indexed="45"/>
        <bgColor indexed="64"/>
      </patternFill>
    </fill>
    <fill>
      <patternFill patternType="solid">
        <fgColor rgb="FFFFFF00"/>
        <bgColor indexed="64"/>
      </patternFill>
    </fill>
    <fill>
      <patternFill patternType="solid">
        <fgColor rgb="FFFF99CC"/>
        <bgColor indexed="64"/>
      </patternFill>
    </fill>
    <fill>
      <patternFill patternType="solid">
        <fgColor rgb="FFCCFFCC"/>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7"/>
        <bgColor indexed="42"/>
      </patternFill>
    </fill>
    <fill>
      <patternFill patternType="solid">
        <fgColor indexed="51"/>
        <bgColor indexed="64"/>
      </patternFill>
    </fill>
    <fill>
      <patternFill patternType="solid">
        <fgColor indexed="51"/>
        <bgColor indexed="42"/>
      </patternFill>
    </fill>
    <fill>
      <patternFill patternType="solid">
        <fgColor rgb="FFFFCC00"/>
        <bgColor indexed="64"/>
      </patternFill>
    </fill>
    <fill>
      <patternFill patternType="solid">
        <fgColor indexed="46"/>
        <bgColor indexed="64"/>
      </patternFill>
    </fill>
    <fill>
      <patternFill patternType="solid">
        <fgColor indexed="44"/>
        <bgColor indexed="64"/>
      </patternFill>
    </fill>
    <fill>
      <patternFill patternType="solid">
        <fgColor indexed="44"/>
        <bgColor indexed="42"/>
      </patternFill>
    </fill>
    <fill>
      <patternFill patternType="solid">
        <fgColor indexed="45"/>
        <bgColor indexed="42"/>
      </patternFill>
    </fill>
    <fill>
      <patternFill patternType="solid">
        <fgColor indexed="42"/>
        <bgColor indexed="42"/>
      </patternFill>
    </fill>
    <fill>
      <patternFill patternType="solid">
        <fgColor indexed="22"/>
        <bgColor indexed="64"/>
      </patternFill>
    </fill>
    <fill>
      <patternFill patternType="solid">
        <fgColor indexed="50"/>
        <bgColor indexed="64"/>
      </patternFill>
    </fill>
    <fill>
      <patternFill patternType="solid">
        <fgColor theme="9" tint="0.79998168889431442"/>
        <bgColor indexed="64"/>
      </patternFill>
    </fill>
    <fill>
      <patternFill patternType="solid">
        <fgColor indexed="49"/>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indexed="43"/>
        <bgColor indexed="64"/>
      </patternFill>
    </fill>
    <fill>
      <patternFill patternType="solid">
        <fgColor indexed="43"/>
        <bgColor indexed="42"/>
      </patternFill>
    </fill>
    <fill>
      <patternFill patternType="solid">
        <fgColor theme="9" tint="0.59996337778862885"/>
        <bgColor indexed="64"/>
      </patternFill>
    </fill>
    <fill>
      <patternFill patternType="solid">
        <fgColor indexed="15"/>
        <bgColor indexed="64"/>
      </patternFill>
    </fill>
    <fill>
      <patternFill patternType="solid">
        <fgColor rgb="FF92D050"/>
        <bgColor indexed="64"/>
      </patternFill>
    </fill>
    <fill>
      <patternFill patternType="solid">
        <fgColor theme="5" tint="0.59999389629810485"/>
        <bgColor indexed="64"/>
      </patternFill>
    </fill>
    <fill>
      <patternFill patternType="solid">
        <fgColor rgb="FF00FFFF"/>
        <bgColor indexed="42"/>
      </patternFill>
    </fill>
    <fill>
      <patternFill patternType="solid">
        <fgColor rgb="FFFFFFCC"/>
        <bgColor indexed="64"/>
      </patternFill>
    </fill>
    <fill>
      <patternFill patternType="solid">
        <fgColor rgb="FFFFC000"/>
        <bgColor indexed="64"/>
      </patternFill>
    </fill>
    <fill>
      <patternFill patternType="solid">
        <fgColor rgb="FF00FFFF"/>
        <bgColor indexed="64"/>
      </patternFill>
    </fill>
    <fill>
      <patternFill patternType="solid">
        <fgColor indexed="15"/>
        <bgColor indexed="42"/>
      </patternFill>
    </fill>
    <fill>
      <patternFill patternType="solid">
        <fgColor rgb="FFFF0000"/>
        <bgColor indexed="64"/>
      </patternFill>
    </fill>
  </fills>
  <borders count="82">
    <border>
      <left/>
      <right/>
      <top/>
      <bottom/>
      <diagonal/>
    </border>
    <border>
      <left style="medium">
        <color indexed="64"/>
      </left>
      <right style="medium">
        <color indexed="64"/>
      </right>
      <top/>
      <bottom/>
      <diagonal/>
    </border>
    <border>
      <left style="thin">
        <color indexed="8"/>
      </left>
      <right/>
      <top style="thin">
        <color indexed="65"/>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8"/>
      </left>
      <right/>
      <top/>
      <bottom/>
      <diagonal/>
    </border>
    <border>
      <left style="thin">
        <color indexed="8"/>
      </left>
      <right/>
      <top/>
      <bottom style="thin">
        <color indexed="64"/>
      </bottom>
      <diagonal/>
    </border>
    <border>
      <left/>
      <right style="thin">
        <color indexed="8"/>
      </right>
      <top/>
      <bottom/>
      <diagonal/>
    </border>
    <border>
      <left/>
      <right style="thin">
        <color indexed="8"/>
      </right>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8"/>
      </top>
      <bottom style="thin">
        <color indexed="64"/>
      </bottom>
      <diagonal/>
    </border>
    <border>
      <left style="thin">
        <color indexed="8"/>
      </left>
      <right/>
      <top style="thin">
        <color indexed="8"/>
      </top>
      <bottom/>
      <diagonal/>
    </border>
    <border>
      <left/>
      <right style="thin">
        <color indexed="8"/>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right style="thin">
        <color indexed="64"/>
      </right>
      <top style="thin">
        <color indexed="64"/>
      </top>
      <bottom/>
      <diagonal/>
    </border>
    <border>
      <left style="thin">
        <color indexed="64"/>
      </left>
      <right/>
      <top style="thin">
        <color indexed="8"/>
      </top>
      <bottom/>
      <diagonal/>
    </border>
    <border>
      <left style="thin">
        <color indexed="64"/>
      </left>
      <right/>
      <top style="thin">
        <color indexed="8"/>
      </top>
      <bottom style="thin">
        <color indexed="8"/>
      </bottom>
      <diagonal/>
    </border>
    <border>
      <left style="double">
        <color indexed="64"/>
      </left>
      <right/>
      <top style="thin">
        <color indexed="64"/>
      </top>
      <bottom style="thin">
        <color indexed="64"/>
      </bottom>
      <diagonal/>
    </border>
    <border>
      <left style="thin">
        <color indexed="64"/>
      </left>
      <right/>
      <top style="thin">
        <color indexed="64"/>
      </top>
      <bottom/>
      <diagonal/>
    </border>
    <border>
      <left style="double">
        <color indexed="64"/>
      </left>
      <right/>
      <top/>
      <bottom/>
      <diagonal/>
    </border>
    <border>
      <left style="thin">
        <color indexed="64"/>
      </left>
      <right/>
      <top style="thin">
        <color indexed="8"/>
      </top>
      <bottom style="thin">
        <color indexed="64"/>
      </bottom>
      <diagonal/>
    </border>
    <border>
      <left style="thin">
        <color indexed="65"/>
      </left>
      <right/>
      <top style="thin">
        <color indexed="65"/>
      </top>
      <bottom/>
      <diagonal/>
    </border>
    <border>
      <left style="thin">
        <color indexed="8"/>
      </left>
      <right style="thin">
        <color indexed="8"/>
      </right>
      <top style="thin">
        <color indexed="65"/>
      </top>
      <bottom/>
      <diagonal/>
    </border>
    <border>
      <left style="thin">
        <color indexed="8"/>
      </left>
      <right style="thin">
        <color indexed="8"/>
      </right>
      <top/>
      <bottom/>
      <diagonal/>
    </border>
    <border>
      <left style="thin">
        <color indexed="8"/>
      </left>
      <right/>
      <top style="thin">
        <color indexed="65"/>
      </top>
      <bottom style="thin">
        <color indexed="64"/>
      </bottom>
      <diagonal/>
    </border>
    <border>
      <left style="thin">
        <color indexed="8"/>
      </left>
      <right style="thin">
        <color indexed="8"/>
      </right>
      <top/>
      <bottom style="thin">
        <color indexed="64"/>
      </bottom>
      <diagonal/>
    </border>
    <border>
      <left style="thin">
        <color indexed="64"/>
      </left>
      <right/>
      <top/>
      <bottom style="thin">
        <color indexed="8"/>
      </bottom>
      <diagonal/>
    </border>
    <border>
      <left style="thin">
        <color indexed="64"/>
      </left>
      <right style="thin">
        <color indexed="64"/>
      </right>
      <top/>
      <bottom/>
      <diagonal/>
    </border>
    <border>
      <left style="thin">
        <color indexed="8"/>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style="thin">
        <color indexed="8"/>
      </left>
      <right style="thin">
        <color indexed="8"/>
      </right>
      <top style="thin">
        <color indexed="64"/>
      </top>
      <bottom/>
      <diagonal/>
    </border>
    <border>
      <left/>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style="thin">
        <color indexed="64"/>
      </right>
      <top/>
      <bottom/>
      <diagonal/>
    </border>
    <border>
      <left/>
      <right style="medium">
        <color indexed="64"/>
      </right>
      <top/>
      <bottom/>
      <diagonal/>
    </border>
    <border>
      <left style="double">
        <color indexed="64"/>
      </left>
      <right style="thin">
        <color indexed="64"/>
      </right>
      <top/>
      <bottom/>
      <diagonal/>
    </border>
    <border>
      <left style="thin">
        <color indexed="64"/>
      </left>
      <right style="double">
        <color indexed="64"/>
      </right>
      <top/>
      <bottom/>
      <diagonal/>
    </border>
    <border>
      <left style="medium">
        <color indexed="64"/>
      </left>
      <right style="medium">
        <color indexed="64"/>
      </right>
      <top style="medium">
        <color indexed="64"/>
      </top>
      <bottom style="medium">
        <color indexed="64"/>
      </bottom>
      <diagonal/>
    </border>
    <border>
      <left style="thin">
        <color indexed="8"/>
      </left>
      <right style="thin">
        <color indexed="64"/>
      </right>
      <top/>
      <bottom/>
      <diagonal/>
    </border>
    <border>
      <left style="thin">
        <color indexed="64"/>
      </left>
      <right/>
      <top style="thin">
        <color auto="1"/>
      </top>
      <bottom/>
      <diagonal/>
    </border>
    <border>
      <left/>
      <right style="thin">
        <color indexed="64"/>
      </right>
      <top style="thin">
        <color indexed="64"/>
      </top>
      <bottom/>
      <diagonal/>
    </border>
    <border>
      <left/>
      <right/>
      <top style="thin">
        <color indexed="64"/>
      </top>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style="thin">
        <color indexed="8"/>
      </right>
      <top style="thin">
        <color indexed="8"/>
      </top>
      <bottom/>
      <diagonal/>
    </border>
    <border>
      <left/>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style="thin">
        <color indexed="64"/>
      </left>
      <right/>
      <top style="thin">
        <color indexed="8"/>
      </top>
      <bottom/>
      <diagonal/>
    </border>
    <border>
      <left style="thin">
        <color indexed="8"/>
      </left>
      <right style="thin">
        <color indexed="64"/>
      </right>
      <top style="thin">
        <color indexed="8"/>
      </top>
      <bottom/>
      <diagonal/>
    </border>
    <border>
      <left style="thin">
        <color indexed="64"/>
      </left>
      <right/>
      <top style="thin">
        <color indexed="8"/>
      </top>
      <bottom style="thin">
        <color indexed="64"/>
      </bottom>
      <diagonal/>
    </border>
    <border>
      <left/>
      <right/>
      <top style="thin">
        <color indexed="8"/>
      </top>
      <bottom style="thin">
        <color indexed="8"/>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theme="4" tint="0.39997558519241921"/>
      </bottom>
      <diagonal/>
    </border>
  </borders>
  <cellStyleXfs count="26027">
    <xf numFmtId="3" fontId="0" fillId="0" borderId="0"/>
    <xf numFmtId="43" fontId="16" fillId="0" borderId="0" applyFont="0" applyFill="0" applyBorder="0" applyAlignment="0" applyProtection="0"/>
    <xf numFmtId="167" fontId="38" fillId="0" borderId="0"/>
    <xf numFmtId="167" fontId="38" fillId="0" borderId="0"/>
    <xf numFmtId="3" fontId="17" fillId="0" borderId="0"/>
    <xf numFmtId="3" fontId="17" fillId="0" borderId="0"/>
    <xf numFmtId="3" fontId="17" fillId="0" borderId="0"/>
    <xf numFmtId="9" fontId="16" fillId="0" borderId="0" applyFont="0" applyFill="0" applyBorder="0" applyAlignment="0" applyProtection="0"/>
    <xf numFmtId="3" fontId="19" fillId="0" borderId="1" applyFont="0"/>
    <xf numFmtId="164" fontId="27" fillId="0" borderId="2" applyNumberFormat="0" applyFont="0" applyBorder="0" applyAlignment="0"/>
    <xf numFmtId="164"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6" fillId="0" borderId="0" applyFont="0" applyFill="0" applyBorder="0" applyAlignment="0" applyProtection="0"/>
    <xf numFmtId="164" fontId="16" fillId="0" borderId="0"/>
    <xf numFmtId="43" fontId="15" fillId="0" borderId="0" applyFont="0" applyFill="0" applyBorder="0" applyAlignment="0" applyProtection="0"/>
    <xf numFmtId="0" fontId="19" fillId="0" borderId="0"/>
    <xf numFmtId="164" fontId="16" fillId="0" borderId="0"/>
    <xf numFmtId="0" fontId="19" fillId="0" borderId="0"/>
    <xf numFmtId="0" fontId="19" fillId="0" borderId="0"/>
    <xf numFmtId="164" fontId="15" fillId="0" borderId="0"/>
    <xf numFmtId="164" fontId="16" fillId="0" borderId="0"/>
    <xf numFmtId="164" fontId="15" fillId="0" borderId="0"/>
    <xf numFmtId="0" fontId="55" fillId="0" borderId="0"/>
    <xf numFmtId="9" fontId="55" fillId="0" borderId="0" applyFont="0" applyFill="0" applyBorder="0" applyAlignment="0" applyProtection="0"/>
    <xf numFmtId="9" fontId="16" fillId="0" borderId="0" applyFont="0" applyFill="0" applyBorder="0" applyAlignment="0" applyProtection="0"/>
    <xf numFmtId="164" fontId="16" fillId="0" borderId="0"/>
    <xf numFmtId="0" fontId="14" fillId="0" borderId="0"/>
    <xf numFmtId="0" fontId="55" fillId="0" borderId="0"/>
    <xf numFmtId="9" fontId="55" fillId="0" borderId="0" applyFont="0" applyFill="0" applyBorder="0" applyAlignment="0" applyProtection="0"/>
    <xf numFmtId="43" fontId="55" fillId="0" borderId="0" applyFont="0" applyFill="0" applyBorder="0" applyAlignment="0" applyProtection="0"/>
    <xf numFmtId="0" fontId="56" fillId="0" borderId="0"/>
    <xf numFmtId="0" fontId="56" fillId="0" borderId="0"/>
    <xf numFmtId="0" fontId="56" fillId="0" borderId="0"/>
    <xf numFmtId="0" fontId="56" fillId="0" borderId="0"/>
    <xf numFmtId="0" fontId="30" fillId="0" borderId="0"/>
    <xf numFmtId="0" fontId="30" fillId="0" borderId="0">
      <alignment vertical="top"/>
    </xf>
    <xf numFmtId="0" fontId="19" fillId="0" borderId="0"/>
    <xf numFmtId="0" fontId="19" fillId="0" borderId="0"/>
    <xf numFmtId="0" fontId="14" fillId="0" borderId="0"/>
    <xf numFmtId="43" fontId="1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57" fillId="0" borderId="0">
      <alignment horizontal="left" wrapText="1"/>
    </xf>
    <xf numFmtId="0" fontId="55" fillId="0" borderId="0"/>
    <xf numFmtId="0" fontId="21" fillId="0" borderId="0"/>
    <xf numFmtId="0" fontId="19" fillId="0" borderId="0"/>
    <xf numFmtId="0" fontId="19" fillId="0" borderId="0"/>
    <xf numFmtId="0" fontId="19" fillId="0" borderId="0"/>
    <xf numFmtId="0" fontId="14" fillId="0" borderId="0"/>
    <xf numFmtId="0" fontId="19" fillId="0" borderId="0"/>
    <xf numFmtId="0" fontId="19" fillId="0" borderId="0"/>
    <xf numFmtId="0" fontId="19" fillId="0" borderId="0"/>
    <xf numFmtId="0" fontId="19" fillId="0" borderId="0"/>
    <xf numFmtId="0" fontId="19" fillId="0" borderId="0"/>
    <xf numFmtId="0" fontId="19" fillId="0" borderId="0"/>
    <xf numFmtId="164" fontId="58" fillId="0" borderId="0"/>
    <xf numFmtId="164" fontId="58" fillId="0" borderId="0"/>
    <xf numFmtId="164" fontId="15" fillId="0" borderId="0"/>
    <xf numFmtId="9" fontId="15" fillId="0" borderId="0" applyFont="0" applyFill="0" applyBorder="0" applyAlignment="0" applyProtection="0"/>
    <xf numFmtId="43" fontId="15"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4" fontId="58" fillId="0" borderId="0"/>
    <xf numFmtId="0" fontId="13" fillId="0" borderId="0"/>
    <xf numFmtId="0" fontId="13" fillId="0" borderId="0"/>
    <xf numFmtId="0" fontId="13" fillId="0" borderId="0"/>
    <xf numFmtId="3" fontId="19" fillId="0" borderId="1" applyFont="0"/>
    <xf numFmtId="0" fontId="19" fillId="0" borderId="0"/>
    <xf numFmtId="0" fontId="19" fillId="0" borderId="0"/>
    <xf numFmtId="0" fontId="19" fillId="0" borderId="0"/>
    <xf numFmtId="0" fontId="19" fillId="0" borderId="0"/>
    <xf numFmtId="0" fontId="19" fillId="0" borderId="0"/>
    <xf numFmtId="43" fontId="16" fillId="0" borderId="0" applyFont="0" applyFill="0" applyBorder="0" applyAlignment="0" applyProtection="0"/>
    <xf numFmtId="0" fontId="13" fillId="0" borderId="0"/>
    <xf numFmtId="0" fontId="13" fillId="0" borderId="0"/>
    <xf numFmtId="0" fontId="13" fillId="0" borderId="0"/>
    <xf numFmtId="0" fontId="13" fillId="0" borderId="0"/>
    <xf numFmtId="0" fontId="55" fillId="0" borderId="0"/>
    <xf numFmtId="9" fontId="55"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3" fontId="17" fillId="0" borderId="0"/>
    <xf numFmtId="43" fontId="16" fillId="0" borderId="0" applyFont="0" applyFill="0" applyBorder="0" applyAlignment="0" applyProtection="0"/>
    <xf numFmtId="167" fontId="38" fillId="0" borderId="0"/>
    <xf numFmtId="0" fontId="55" fillId="0" borderId="0"/>
    <xf numFmtId="9" fontId="55" fillId="0" borderId="0" applyFont="0" applyFill="0" applyBorder="0" applyAlignment="0" applyProtection="0"/>
    <xf numFmtId="0" fontId="19"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164" fontId="58" fillId="0" borderId="0"/>
    <xf numFmtId="164" fontId="58" fillId="0" borderId="0"/>
    <xf numFmtId="164" fontId="58"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167" fontId="38"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164" fontId="58" fillId="0" borderId="0"/>
    <xf numFmtId="164" fontId="58"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167" fontId="38" fillId="0" borderId="0"/>
    <xf numFmtId="164" fontId="58"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167" fontId="38" fillId="0" borderId="0"/>
    <xf numFmtId="0" fontId="10" fillId="0" borderId="0"/>
    <xf numFmtId="0" fontId="10" fillId="0" borderId="0"/>
    <xf numFmtId="0" fontId="10" fillId="0" borderId="0"/>
    <xf numFmtId="9" fontId="15" fillId="0" borderId="0" applyFont="0" applyFill="0" applyBorder="0" applyAlignment="0" applyProtection="0"/>
    <xf numFmtId="0" fontId="10" fillId="0" borderId="0"/>
    <xf numFmtId="0" fontId="19"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9"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59" fillId="0" borderId="0"/>
    <xf numFmtId="0" fontId="9" fillId="0" borderId="0"/>
    <xf numFmtId="0" fontId="60" fillId="0" borderId="0"/>
    <xf numFmtId="0" fontId="9" fillId="0" borderId="0"/>
    <xf numFmtId="0" fontId="59" fillId="0" borderId="0"/>
    <xf numFmtId="0" fontId="9" fillId="0" borderId="0"/>
    <xf numFmtId="0" fontId="9" fillId="0" borderId="0"/>
    <xf numFmtId="164" fontId="58" fillId="0" borderId="0"/>
    <xf numFmtId="164" fontId="5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16" fillId="0" borderId="0"/>
    <xf numFmtId="164" fontId="16" fillId="0" borderId="0"/>
    <xf numFmtId="164" fontId="16" fillId="0" borderId="0"/>
    <xf numFmtId="0" fontId="7" fillId="0" borderId="0"/>
    <xf numFmtId="0" fontId="7" fillId="0" borderId="0"/>
    <xf numFmtId="0" fontId="7" fillId="0" borderId="0"/>
    <xf numFmtId="0" fontId="7" fillId="0" borderId="0"/>
    <xf numFmtId="0" fontId="7"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7" borderId="71" applyNumberFormat="0" applyFont="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56" fillId="21" borderId="0" applyNumberFormat="0" applyBorder="0" applyAlignment="0" applyProtection="0"/>
    <xf numFmtId="0" fontId="56" fillId="24" borderId="0" applyNumberFormat="0" applyBorder="0" applyAlignment="0" applyProtection="0"/>
    <xf numFmtId="0" fontId="56" fillId="27" borderId="0" applyNumberFormat="0" applyBorder="0" applyAlignment="0" applyProtection="0"/>
    <xf numFmtId="0" fontId="63" fillId="28"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1"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5" borderId="0" applyNumberFormat="0" applyBorder="0" applyAlignment="0" applyProtection="0"/>
    <xf numFmtId="0" fontId="64" fillId="19" borderId="0" applyNumberFormat="0" applyBorder="0" applyAlignment="0" applyProtection="0"/>
    <xf numFmtId="0" fontId="65" fillId="36" borderId="72" applyNumberFormat="0" applyAlignment="0" applyProtection="0"/>
    <xf numFmtId="0" fontId="66" fillId="37" borderId="73" applyNumberFormat="0" applyAlignment="0" applyProtection="0"/>
    <xf numFmtId="43" fontId="56" fillId="0" borderId="0" applyFont="0" applyFill="0" applyBorder="0" applyAlignment="0" applyProtection="0"/>
    <xf numFmtId="0" fontId="67" fillId="0" borderId="0" applyNumberFormat="0" applyFill="0" applyBorder="0" applyAlignment="0" applyProtection="0"/>
    <xf numFmtId="0" fontId="68" fillId="20" borderId="0" applyNumberFormat="0" applyBorder="0" applyAlignment="0" applyProtection="0"/>
    <xf numFmtId="0" fontId="69" fillId="0" borderId="74" applyNumberFormat="0" applyFill="0" applyAlignment="0" applyProtection="0"/>
    <xf numFmtId="0" fontId="70" fillId="0" borderId="75" applyNumberFormat="0" applyFill="0" applyAlignment="0" applyProtection="0"/>
    <xf numFmtId="0" fontId="71" fillId="0" borderId="76" applyNumberFormat="0" applyFill="0" applyAlignment="0" applyProtection="0"/>
    <xf numFmtId="0" fontId="71" fillId="0" borderId="0" applyNumberFormat="0" applyFill="0" applyBorder="0" applyAlignment="0" applyProtection="0"/>
    <xf numFmtId="0" fontId="72" fillId="23" borderId="72" applyNumberFormat="0" applyAlignment="0" applyProtection="0"/>
    <xf numFmtId="0" fontId="73" fillId="0" borderId="77" applyNumberFormat="0" applyFill="0" applyAlignment="0" applyProtection="0"/>
    <xf numFmtId="0" fontId="74" fillId="38" borderId="0" applyNumberFormat="0" applyBorder="0" applyAlignment="0" applyProtection="0"/>
    <xf numFmtId="0" fontId="56" fillId="0" borderId="0"/>
    <xf numFmtId="0" fontId="19" fillId="39" borderId="78" applyNumberFormat="0" applyFont="0" applyAlignment="0" applyProtection="0"/>
    <xf numFmtId="0" fontId="56" fillId="39" borderId="78" applyNumberFormat="0" applyFont="0" applyAlignment="0" applyProtection="0"/>
    <xf numFmtId="0" fontId="75" fillId="36" borderId="79" applyNumberFormat="0" applyAlignment="0" applyProtection="0"/>
    <xf numFmtId="9" fontId="19" fillId="0" borderId="0" applyFont="0" applyFill="0" applyBorder="0" applyAlignment="0" applyProtection="0"/>
    <xf numFmtId="9" fontId="56" fillId="0" borderId="0" applyFont="0" applyFill="0" applyBorder="0" applyAlignment="0" applyProtection="0"/>
    <xf numFmtId="0" fontId="76" fillId="0" borderId="0" applyNumberFormat="0" applyFill="0" applyBorder="0" applyAlignment="0" applyProtection="0"/>
    <xf numFmtId="0" fontId="77" fillId="0" borderId="80" applyNumberFormat="0" applyFill="0" applyAlignment="0" applyProtection="0"/>
    <xf numFmtId="0" fontId="78" fillId="0" borderId="0" applyNumberFormat="0" applyFill="0" applyBorder="0" applyAlignment="0" applyProtection="0"/>
    <xf numFmtId="0" fontId="56" fillId="39" borderId="78" applyNumberFormat="0" applyFont="0" applyAlignment="0" applyProtection="0"/>
    <xf numFmtId="0" fontId="19" fillId="39" borderId="78" applyNumberFormat="0" applyFont="0" applyAlignment="0" applyProtection="0"/>
    <xf numFmtId="0" fontId="72" fillId="23" borderId="72" applyNumberFormat="0" applyAlignment="0" applyProtection="0"/>
    <xf numFmtId="0" fontId="65" fillId="36" borderId="72" applyNumberFormat="0" applyAlignment="0" applyProtection="0"/>
    <xf numFmtId="0" fontId="75" fillId="36" borderId="79" applyNumberFormat="0" applyAlignment="0" applyProtection="0"/>
    <xf numFmtId="0" fontId="77" fillId="0" borderId="80" applyNumberFormat="0" applyFill="0" applyAlignment="0" applyProtection="0"/>
    <xf numFmtId="164" fontId="79"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79" fillId="0" borderId="0"/>
    <xf numFmtId="164" fontId="15" fillId="0" borderId="0"/>
    <xf numFmtId="167" fontId="38"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164" fontId="1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164" fontId="16" fillId="0" borderId="0"/>
    <xf numFmtId="164" fontId="16" fillId="0" borderId="0"/>
    <xf numFmtId="164"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164" fontId="16" fillId="0" borderId="0"/>
    <xf numFmtId="164" fontId="16" fillId="0" borderId="0"/>
    <xf numFmtId="164" fontId="16"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164" fontId="16" fillId="0" borderId="0"/>
    <xf numFmtId="164" fontId="16"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164" fontId="16"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9" fillId="0" borderId="0"/>
    <xf numFmtId="0" fontId="5" fillId="0" borderId="0"/>
    <xf numFmtId="0" fontId="5" fillId="0" borderId="0"/>
    <xf numFmtId="0" fontId="5" fillId="0" borderId="0"/>
    <xf numFmtId="164" fontId="16" fillId="0" borderId="0"/>
    <xf numFmtId="164" fontId="16"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7" borderId="71" applyNumberFormat="0" applyFont="0" applyAlignment="0" applyProtection="0"/>
    <xf numFmtId="164" fontId="79"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7" borderId="7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16" fillId="0" borderId="0"/>
    <xf numFmtId="164" fontId="16" fillId="0" borderId="0"/>
    <xf numFmtId="164" fontId="16" fillId="0" borderId="0"/>
    <xf numFmtId="0" fontId="5" fillId="0" borderId="0"/>
    <xf numFmtId="0" fontId="5" fillId="0" borderId="0"/>
    <xf numFmtId="0" fontId="5" fillId="0" borderId="0"/>
    <xf numFmtId="0" fontId="5" fillId="0" borderId="0"/>
    <xf numFmtId="0" fontId="5"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17" borderId="71"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 fontId="17" fillId="0" borderId="0"/>
    <xf numFmtId="0" fontId="5" fillId="0" borderId="0"/>
    <xf numFmtId="0" fontId="5" fillId="0" borderId="0"/>
    <xf numFmtId="0" fontId="5" fillId="0" borderId="0"/>
    <xf numFmtId="0" fontId="5" fillId="0" borderId="0"/>
    <xf numFmtId="0" fontId="5" fillId="0" borderId="0"/>
    <xf numFmtId="0" fontId="5" fillId="0" borderId="0"/>
    <xf numFmtId="164" fontId="79" fillId="0" borderId="0"/>
    <xf numFmtId="164" fontId="79" fillId="0" borderId="0"/>
    <xf numFmtId="167" fontId="38" fillId="0" borderId="0"/>
    <xf numFmtId="167" fontId="38" fillId="0" borderId="0"/>
    <xf numFmtId="167" fontId="38" fillId="0" borderId="0"/>
    <xf numFmtId="164" fontId="79" fillId="0" borderId="0"/>
    <xf numFmtId="164" fontId="79" fillId="0" borderId="0"/>
    <xf numFmtId="164" fontId="79" fillId="0" borderId="0"/>
    <xf numFmtId="164" fontId="7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164" fontId="15" fillId="0" borderId="0"/>
    <xf numFmtId="164" fontId="15"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79" fillId="0" borderId="0"/>
    <xf numFmtId="164" fontId="79" fillId="0" borderId="0"/>
    <xf numFmtId="164" fontId="79"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164" fontId="79"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17" borderId="71"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7" borderId="7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17" borderId="71"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7" borderId="71" applyNumberFormat="0" applyFont="0" applyAlignment="0" applyProtection="0"/>
    <xf numFmtId="3" fontId="17"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7" borderId="71"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7" borderId="7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17" borderId="71"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 fontId="17" fillId="0" borderId="0"/>
    <xf numFmtId="164" fontId="79"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71"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7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17" borderId="71"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7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71"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7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17" borderId="71"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17" fillId="0" borderId="0"/>
    <xf numFmtId="164" fontId="15" fillId="0" borderId="0"/>
  </cellStyleXfs>
  <cellXfs count="853">
    <xf numFmtId="3" fontId="0" fillId="0" borderId="0" xfId="0"/>
    <xf numFmtId="3" fontId="19" fillId="0" borderId="0" xfId="0" applyFont="1"/>
    <xf numFmtId="3" fontId="19" fillId="0" borderId="0" xfId="0" applyNumberFormat="1" applyFont="1"/>
    <xf numFmtId="3" fontId="19" fillId="0" borderId="3" xfId="0" applyFont="1" applyBorder="1"/>
    <xf numFmtId="3" fontId="19" fillId="0" borderId="0" xfId="0" applyFont="1" applyFill="1"/>
    <xf numFmtId="37" fontId="19" fillId="0" borderId="0" xfId="0" applyNumberFormat="1" applyFont="1" applyAlignment="1">
      <alignment horizontal="right"/>
    </xf>
    <xf numFmtId="37" fontId="19" fillId="0" borderId="3" xfId="0" applyNumberFormat="1" applyFont="1" applyBorder="1" applyAlignment="1">
      <alignment horizontal="right"/>
    </xf>
    <xf numFmtId="3" fontId="19" fillId="0" borderId="0" xfId="0" applyNumberFormat="1" applyFont="1" applyAlignment="1">
      <alignment horizontal="right"/>
    </xf>
    <xf numFmtId="3" fontId="19" fillId="0" borderId="4" xfId="0" applyNumberFormat="1" applyFont="1" applyBorder="1" applyAlignment="1">
      <alignment horizontal="right"/>
    </xf>
    <xf numFmtId="3" fontId="19" fillId="0" borderId="3" xfId="0" applyNumberFormat="1" applyFont="1" applyBorder="1" applyAlignment="1">
      <alignment horizontal="right"/>
    </xf>
    <xf numFmtId="3" fontId="19" fillId="0" borderId="5" xfId="0" applyNumberFormat="1" applyFont="1" applyBorder="1" applyAlignment="1">
      <alignment horizontal="right"/>
    </xf>
    <xf numFmtId="3" fontId="19" fillId="0" borderId="0" xfId="1" applyNumberFormat="1" applyFont="1" applyAlignment="1">
      <alignment horizontal="right"/>
    </xf>
    <xf numFmtId="3" fontId="19" fillId="0" borderId="4" xfId="1" applyNumberFormat="1" applyFont="1" applyBorder="1" applyAlignment="1">
      <alignment horizontal="right"/>
    </xf>
    <xf numFmtId="3" fontId="19" fillId="0" borderId="3" xfId="1" applyNumberFormat="1" applyFont="1" applyBorder="1" applyAlignment="1">
      <alignment horizontal="right"/>
    </xf>
    <xf numFmtId="3" fontId="19" fillId="0" borderId="5" xfId="1" applyNumberFormat="1" applyFont="1" applyBorder="1" applyAlignment="1">
      <alignment horizontal="right"/>
    </xf>
    <xf numFmtId="37" fontId="19" fillId="0" borderId="0" xfId="0" applyNumberFormat="1" applyFont="1" applyBorder="1" applyAlignment="1">
      <alignment horizontal="right"/>
    </xf>
    <xf numFmtId="37" fontId="19" fillId="0" borderId="6" xfId="0" applyNumberFormat="1" applyFont="1" applyBorder="1" applyAlignment="1">
      <alignment horizontal="right"/>
    </xf>
    <xf numFmtId="3" fontId="21" fillId="0" borderId="0" xfId="0" applyFont="1" applyAlignment="1">
      <alignment horizontal="centerContinuous"/>
    </xf>
    <xf numFmtId="37" fontId="19" fillId="0" borderId="7" xfId="0" applyNumberFormat="1" applyFont="1" applyBorder="1" applyAlignment="1">
      <alignment horizontal="right"/>
    </xf>
    <xf numFmtId="37" fontId="19" fillId="0" borderId="8" xfId="0" applyNumberFormat="1" applyFont="1" applyBorder="1" applyAlignment="1">
      <alignment horizontal="right"/>
    </xf>
    <xf numFmtId="3" fontId="20" fillId="0" borderId="0" xfId="0" applyFont="1" applyAlignment="1">
      <alignment horizontal="centerContinuous"/>
    </xf>
    <xf numFmtId="3" fontId="22" fillId="0" borderId="0" xfId="0" applyFont="1" applyAlignment="1">
      <alignment horizontal="centerContinuous"/>
    </xf>
    <xf numFmtId="3" fontId="19" fillId="0" borderId="0" xfId="0" applyFont="1" applyAlignment="1">
      <alignment horizontal="centerContinuous"/>
    </xf>
    <xf numFmtId="37" fontId="19" fillId="0" borderId="9" xfId="0" applyNumberFormat="1" applyFont="1" applyBorder="1" applyAlignment="1">
      <alignment horizontal="right"/>
    </xf>
    <xf numFmtId="37" fontId="19" fillId="0" borderId="10" xfId="0" applyNumberFormat="1" applyFont="1" applyBorder="1" applyAlignment="1">
      <alignment horizontal="right"/>
    </xf>
    <xf numFmtId="3" fontId="19" fillId="0" borderId="0" xfId="0" applyFont="1" applyBorder="1"/>
    <xf numFmtId="3" fontId="19" fillId="0" borderId="0" xfId="0" applyNumberFormat="1" applyFont="1" applyBorder="1"/>
    <xf numFmtId="3" fontId="18" fillId="0" borderId="11" xfId="0" applyFont="1" applyBorder="1" applyAlignment="1">
      <alignment horizontal="centerContinuous"/>
    </xf>
    <xf numFmtId="3" fontId="18" fillId="0" borderId="12" xfId="0" applyFont="1" applyBorder="1" applyAlignment="1">
      <alignment horizontal="centerContinuous"/>
    </xf>
    <xf numFmtId="3" fontId="18" fillId="0" borderId="13" xfId="0" applyFont="1" applyBorder="1" applyAlignment="1">
      <alignment horizontal="centerContinuous"/>
    </xf>
    <xf numFmtId="3" fontId="19" fillId="0" borderId="11" xfId="0" applyFont="1" applyBorder="1" applyAlignment="1">
      <alignment horizontal="centerContinuous"/>
    </xf>
    <xf numFmtId="3" fontId="19" fillId="0" borderId="7" xfId="0" applyFont="1" applyBorder="1"/>
    <xf numFmtId="3" fontId="19" fillId="0" borderId="0" xfId="0" applyNumberFormat="1" applyFont="1" applyBorder="1" applyAlignment="1">
      <alignment horizontal="right"/>
    </xf>
    <xf numFmtId="3" fontId="19" fillId="0" borderId="0" xfId="1" applyNumberFormat="1" applyFont="1" applyBorder="1" applyAlignment="1">
      <alignment horizontal="right"/>
    </xf>
    <xf numFmtId="3" fontId="20" fillId="0" borderId="0" xfId="0" applyFont="1" applyBorder="1" applyAlignment="1">
      <alignment horizontal="centerContinuous"/>
    </xf>
    <xf numFmtId="3" fontId="22" fillId="0" borderId="0" xfId="0" applyFont="1" applyBorder="1" applyAlignment="1">
      <alignment horizontal="centerContinuous"/>
    </xf>
    <xf numFmtId="3" fontId="19" fillId="0" borderId="14" xfId="0" applyFont="1" applyBorder="1"/>
    <xf numFmtId="3" fontId="19" fillId="0" borderId="15" xfId="0" applyFont="1" applyBorder="1"/>
    <xf numFmtId="3" fontId="19" fillId="0" borderId="16" xfId="0" applyFont="1" applyBorder="1"/>
    <xf numFmtId="37" fontId="19" fillId="0" borderId="0" xfId="0" applyNumberFormat="1" applyFont="1" applyBorder="1" applyAlignment="1">
      <alignment horizontal="center"/>
    </xf>
    <xf numFmtId="37" fontId="19" fillId="0" borderId="3" xfId="0" applyNumberFormat="1" applyFont="1" applyBorder="1" applyAlignment="1">
      <alignment horizontal="center"/>
    </xf>
    <xf numFmtId="37" fontId="26" fillId="0" borderId="0" xfId="0" applyNumberFormat="1" applyFont="1" applyAlignment="1" applyProtection="1">
      <alignment horizontal="centerContinuous"/>
    </xf>
    <xf numFmtId="37" fontId="19" fillId="0" borderId="0" xfId="0" quotePrefix="1" applyNumberFormat="1" applyFont="1" applyBorder="1" applyAlignment="1">
      <alignment horizontal="left"/>
    </xf>
    <xf numFmtId="37" fontId="22" fillId="0" borderId="0" xfId="0" applyNumberFormat="1" applyFont="1" applyAlignment="1" applyProtection="1">
      <alignment horizontal="centerContinuous"/>
    </xf>
    <xf numFmtId="37" fontId="27" fillId="0" borderId="13" xfId="0" applyNumberFormat="1" applyFont="1" applyBorder="1" applyProtection="1"/>
    <xf numFmtId="37" fontId="27" fillId="0" borderId="17" xfId="0" applyNumberFormat="1" applyFont="1" applyBorder="1" applyAlignment="1" applyProtection="1">
      <alignment horizontal="center"/>
    </xf>
    <xf numFmtId="37" fontId="28" fillId="0" borderId="17" xfId="0" applyNumberFormat="1" applyFont="1" applyBorder="1" applyAlignment="1" applyProtection="1">
      <alignment horizontal="right"/>
    </xf>
    <xf numFmtId="37" fontId="28" fillId="0" borderId="11" xfId="0" applyNumberFormat="1" applyFont="1" applyBorder="1" applyAlignment="1" applyProtection="1">
      <alignment horizontal="right"/>
    </xf>
    <xf numFmtId="3" fontId="23" fillId="0" borderId="0" xfId="0" applyFont="1"/>
    <xf numFmtId="37" fontId="23" fillId="0" borderId="0" xfId="0" applyNumberFormat="1" applyFont="1" applyAlignment="1" applyProtection="1">
      <alignment horizontal="left"/>
    </xf>
    <xf numFmtId="3" fontId="23" fillId="0" borderId="0" xfId="0" applyNumberFormat="1" applyFont="1"/>
    <xf numFmtId="39" fontId="22" fillId="0" borderId="0" xfId="0" applyNumberFormat="1" applyFont="1" applyAlignment="1" applyProtection="1">
      <alignment horizontal="centerContinuous"/>
    </xf>
    <xf numFmtId="37" fontId="28" fillId="0" borderId="11" xfId="0" applyNumberFormat="1" applyFont="1" applyBorder="1" applyAlignment="1" applyProtection="1">
      <alignment horizontal="centerContinuous"/>
    </xf>
    <xf numFmtId="37" fontId="28" fillId="0" borderId="17" xfId="0" applyNumberFormat="1" applyFont="1" applyBorder="1" applyAlignment="1" applyProtection="1">
      <alignment horizontal="center"/>
    </xf>
    <xf numFmtId="37" fontId="28" fillId="0" borderId="10" xfId="0" applyNumberFormat="1" applyFont="1" applyBorder="1" applyAlignment="1" applyProtection="1">
      <alignment horizontal="right"/>
    </xf>
    <xf numFmtId="37" fontId="21" fillId="0" borderId="0" xfId="0" applyNumberFormat="1" applyFont="1" applyAlignment="1" applyProtection="1">
      <alignment horizontal="centerContinuous"/>
    </xf>
    <xf numFmtId="37" fontId="28" fillId="0" borderId="13" xfId="0" applyNumberFormat="1" applyFont="1" applyBorder="1" applyAlignment="1" applyProtection="1">
      <alignment horizontal="centerContinuous"/>
    </xf>
    <xf numFmtId="37" fontId="28" fillId="0" borderId="18" xfId="0" applyNumberFormat="1" applyFont="1" applyBorder="1" applyAlignment="1" applyProtection="1">
      <alignment horizontal="centerContinuous"/>
    </xf>
    <xf numFmtId="37" fontId="28" fillId="0" borderId="17" xfId="0" applyNumberFormat="1" applyFont="1" applyBorder="1" applyAlignment="1" applyProtection="1">
      <alignment horizontal="center" wrapText="1"/>
    </xf>
    <xf numFmtId="37" fontId="28" fillId="0" borderId="19" xfId="0" applyNumberFormat="1" applyFont="1" applyBorder="1" applyAlignment="1" applyProtection="1">
      <alignment horizontal="right"/>
    </xf>
    <xf numFmtId="37" fontId="28" fillId="0" borderId="20" xfId="0" applyNumberFormat="1" applyFont="1" applyBorder="1" applyAlignment="1" applyProtection="1">
      <alignment horizontal="center" wrapText="1"/>
    </xf>
    <xf numFmtId="37" fontId="27" fillId="0" borderId="13" xfId="0" applyNumberFormat="1" applyFont="1" applyBorder="1" applyAlignment="1" applyProtection="1">
      <alignment horizontal="centerContinuous"/>
    </xf>
    <xf numFmtId="37" fontId="22" fillId="0" borderId="0" xfId="0" applyNumberFormat="1" applyFont="1" applyBorder="1" applyAlignment="1" applyProtection="1">
      <alignment horizontal="centerContinuous"/>
    </xf>
    <xf numFmtId="37" fontId="27" fillId="0" borderId="17" xfId="0" applyNumberFormat="1" applyFont="1" applyBorder="1" applyProtection="1"/>
    <xf numFmtId="37" fontId="28" fillId="0" borderId="14" xfId="0" applyNumberFormat="1" applyFont="1" applyBorder="1" applyAlignment="1" applyProtection="1">
      <alignment horizontal="centerContinuous"/>
    </xf>
    <xf numFmtId="37" fontId="28" fillId="0" borderId="14" xfId="0" applyNumberFormat="1" applyFont="1" applyBorder="1" applyAlignment="1" applyProtection="1">
      <alignment horizontal="centerContinuous" wrapText="1"/>
    </xf>
    <xf numFmtId="37" fontId="28" fillId="0" borderId="21" xfId="0" applyNumberFormat="1" applyFont="1" applyBorder="1" applyAlignment="1" applyProtection="1">
      <alignment horizontal="centerContinuous"/>
    </xf>
    <xf numFmtId="37" fontId="19" fillId="0" borderId="0" xfId="0" quotePrefix="1" applyNumberFormat="1" applyFont="1" applyBorder="1" applyAlignment="1">
      <alignment horizontal="right"/>
    </xf>
    <xf numFmtId="3" fontId="19" fillId="2" borderId="0" xfId="0" applyFont="1" applyFill="1"/>
    <xf numFmtId="37" fontId="28" fillId="2" borderId="14" xfId="0" applyNumberFormat="1" applyFont="1" applyFill="1" applyBorder="1" applyAlignment="1" applyProtection="1">
      <alignment horizontal="centerContinuous"/>
    </xf>
    <xf numFmtId="37" fontId="28" fillId="2" borderId="14" xfId="0" applyNumberFormat="1" applyFont="1" applyFill="1" applyBorder="1" applyAlignment="1" applyProtection="1">
      <alignment horizontal="centerContinuous" wrapText="1"/>
    </xf>
    <xf numFmtId="168" fontId="19" fillId="2" borderId="0" xfId="7" applyNumberFormat="1" applyFont="1" applyFill="1"/>
    <xf numFmtId="3" fontId="19" fillId="0" borderId="0" xfId="6" applyFont="1" applyFill="1" applyBorder="1" applyAlignment="1">
      <alignment horizontal="center"/>
    </xf>
    <xf numFmtId="3" fontId="19" fillId="0" borderId="0" xfId="0" applyFont="1" applyFill="1" applyBorder="1"/>
    <xf numFmtId="37" fontId="28" fillId="0" borderId="0" xfId="0" applyNumberFormat="1" applyFont="1" applyBorder="1" applyAlignment="1" applyProtection="1">
      <alignment horizontal="centerContinuous" wrapText="1"/>
    </xf>
    <xf numFmtId="3" fontId="19" fillId="0" borderId="0" xfId="0" applyFont="1" applyAlignment="1">
      <alignment vertical="center"/>
    </xf>
    <xf numFmtId="3" fontId="19" fillId="0" borderId="6" xfId="0" applyFont="1" applyBorder="1"/>
    <xf numFmtId="39" fontId="21" fillId="0" borderId="0" xfId="0" applyNumberFormat="1" applyFont="1" applyAlignment="1" applyProtection="1">
      <alignment horizontal="left"/>
    </xf>
    <xf numFmtId="3" fontId="19" fillId="2" borderId="4" xfId="0" applyFont="1" applyFill="1" applyBorder="1"/>
    <xf numFmtId="37" fontId="28" fillId="2" borderId="22" xfId="0" applyNumberFormat="1" applyFont="1" applyFill="1" applyBorder="1" applyAlignment="1" applyProtection="1">
      <alignment horizontal="centerContinuous" wrapText="1"/>
    </xf>
    <xf numFmtId="3" fontId="19" fillId="3" borderId="0" xfId="0" applyFont="1" applyFill="1" applyAlignment="1">
      <alignment vertical="center"/>
    </xf>
    <xf numFmtId="3" fontId="19" fillId="3" borderId="15" xfId="0" applyFont="1" applyFill="1" applyBorder="1" applyAlignment="1">
      <alignment vertical="center"/>
    </xf>
    <xf numFmtId="3" fontId="19" fillId="0" borderId="23" xfId="0" applyFont="1" applyFill="1" applyBorder="1"/>
    <xf numFmtId="3" fontId="19" fillId="0" borderId="3" xfId="0" applyFont="1" applyFill="1" applyBorder="1"/>
    <xf numFmtId="3" fontId="19" fillId="0" borderId="3" xfId="0" applyFont="1" applyFill="1" applyBorder="1" applyAlignment="1"/>
    <xf numFmtId="3" fontId="19" fillId="0" borderId="0" xfId="5" applyFont="1" applyFill="1" applyBorder="1" applyAlignment="1"/>
    <xf numFmtId="168" fontId="19" fillId="2" borderId="16" xfId="7" applyNumberFormat="1" applyFont="1" applyFill="1" applyBorder="1"/>
    <xf numFmtId="168" fontId="19" fillId="2" borderId="3" xfId="7" applyNumberFormat="1" applyFont="1" applyFill="1" applyBorder="1"/>
    <xf numFmtId="165" fontId="19" fillId="2" borderId="24" xfId="1" applyNumberFormat="1" applyFont="1" applyFill="1" applyBorder="1"/>
    <xf numFmtId="165" fontId="19" fillId="2" borderId="4" xfId="1" applyNumberFormat="1" applyFont="1" applyFill="1" applyBorder="1"/>
    <xf numFmtId="165" fontId="19" fillId="2" borderId="5" xfId="1" applyNumberFormat="1" applyFont="1" applyFill="1" applyBorder="1"/>
    <xf numFmtId="3" fontId="18" fillId="0" borderId="13" xfId="0" applyFont="1" applyFill="1" applyBorder="1" applyAlignment="1">
      <alignment horizontal="centerContinuous"/>
    </xf>
    <xf numFmtId="3" fontId="19" fillId="0" borderId="11" xfId="0" applyFont="1" applyFill="1" applyBorder="1" applyAlignment="1">
      <alignment horizontal="centerContinuous"/>
    </xf>
    <xf numFmtId="37" fontId="28" fillId="0" borderId="17" xfId="0" applyNumberFormat="1" applyFont="1" applyFill="1" applyBorder="1" applyAlignment="1" applyProtection="1">
      <alignment horizontal="right"/>
    </xf>
    <xf numFmtId="37" fontId="28" fillId="0" borderId="11" xfId="0" applyNumberFormat="1" applyFont="1" applyFill="1" applyBorder="1" applyAlignment="1" applyProtection="1">
      <alignment horizontal="right"/>
    </xf>
    <xf numFmtId="3" fontId="35" fillId="0" borderId="0" xfId="0" applyFont="1"/>
    <xf numFmtId="168" fontId="19" fillId="0" borderId="0" xfId="7" applyNumberFormat="1" applyFont="1"/>
    <xf numFmtId="3" fontId="19" fillId="3" borderId="3" xfId="0" applyFont="1" applyFill="1" applyBorder="1" applyAlignment="1">
      <alignment vertical="center"/>
    </xf>
    <xf numFmtId="3" fontId="19" fillId="3" borderId="0" xfId="0" applyFont="1" applyFill="1" applyBorder="1" applyAlignment="1">
      <alignment vertical="center"/>
    </xf>
    <xf numFmtId="3" fontId="19" fillId="3" borderId="7" xfId="0" applyFont="1" applyFill="1" applyBorder="1" applyAlignment="1">
      <alignment vertical="center"/>
    </xf>
    <xf numFmtId="3" fontId="19" fillId="3" borderId="0" xfId="0" applyFont="1" applyFill="1"/>
    <xf numFmtId="3" fontId="19" fillId="3" borderId="3" xfId="0" applyFont="1" applyFill="1" applyBorder="1"/>
    <xf numFmtId="3" fontId="32" fillId="0" borderId="0" xfId="0" applyFont="1"/>
    <xf numFmtId="37" fontId="19" fillId="0" borderId="0" xfId="0" applyNumberFormat="1" applyFont="1" applyFill="1" applyBorder="1" applyAlignment="1">
      <alignment horizontal="right"/>
    </xf>
    <xf numFmtId="3" fontId="20" fillId="0" borderId="0" xfId="0" applyFont="1" applyFill="1" applyAlignment="1">
      <alignment horizontal="centerContinuous"/>
    </xf>
    <xf numFmtId="3" fontId="22" fillId="0" borderId="0" xfId="0" applyFont="1" applyFill="1" applyAlignment="1">
      <alignment horizontal="centerContinuous"/>
    </xf>
    <xf numFmtId="3" fontId="19" fillId="0" borderId="0" xfId="0" applyFont="1" applyFill="1" applyAlignment="1">
      <alignment horizontal="centerContinuous"/>
    </xf>
    <xf numFmtId="3" fontId="19" fillId="0" borderId="0" xfId="0" applyNumberFormat="1" applyFont="1" applyFill="1"/>
    <xf numFmtId="3" fontId="18" fillId="0" borderId="13" xfId="0" applyFont="1" applyFill="1" applyBorder="1" applyAlignment="1">
      <alignment horizontal="center"/>
    </xf>
    <xf numFmtId="37" fontId="19" fillId="0" borderId="6" xfId="0" applyNumberFormat="1" applyFont="1" applyFill="1" applyBorder="1" applyAlignment="1">
      <alignment horizontal="right"/>
    </xf>
    <xf numFmtId="37" fontId="22" fillId="0" borderId="0" xfId="0" applyNumberFormat="1" applyFont="1" applyFill="1" applyAlignment="1" applyProtection="1">
      <alignment horizontal="centerContinuous"/>
    </xf>
    <xf numFmtId="37" fontId="28" fillId="0" borderId="13" xfId="0" applyNumberFormat="1" applyFont="1" applyFill="1" applyBorder="1" applyProtection="1"/>
    <xf numFmtId="3" fontId="19" fillId="0" borderId="0" xfId="1" applyNumberFormat="1" applyFont="1" applyFill="1" applyAlignment="1">
      <alignment horizontal="right"/>
    </xf>
    <xf numFmtId="3" fontId="19" fillId="0" borderId="0" xfId="1" applyNumberFormat="1" applyFont="1" applyFill="1" applyBorder="1" applyAlignment="1">
      <alignment horizontal="right"/>
    </xf>
    <xf numFmtId="3" fontId="19" fillId="0" borderId="3" xfId="1" applyNumberFormat="1" applyFont="1" applyFill="1" applyBorder="1" applyAlignment="1">
      <alignment horizontal="right"/>
    </xf>
    <xf numFmtId="37" fontId="26" fillId="0" borderId="0" xfId="0" applyNumberFormat="1" applyFont="1" applyFill="1" applyAlignment="1" applyProtection="1">
      <alignment horizontal="centerContinuous"/>
    </xf>
    <xf numFmtId="37" fontId="19" fillId="0" borderId="3" xfId="0" applyNumberFormat="1" applyFont="1" applyFill="1" applyBorder="1" applyAlignment="1">
      <alignment horizontal="right"/>
    </xf>
    <xf numFmtId="3" fontId="21" fillId="0" borderId="0" xfId="0" applyFont="1" applyFill="1" applyAlignment="1">
      <alignment horizontal="centerContinuous"/>
    </xf>
    <xf numFmtId="3" fontId="19" fillId="0" borderId="0" xfId="0" applyNumberFormat="1" applyFont="1" applyFill="1" applyAlignment="1">
      <alignment horizontal="right"/>
    </xf>
    <xf numFmtId="3" fontId="19" fillId="0" borderId="0" xfId="0" applyNumberFormat="1" applyFont="1" applyFill="1" applyBorder="1" applyAlignment="1">
      <alignment horizontal="right"/>
    </xf>
    <xf numFmtId="3" fontId="19" fillId="0" borderId="3" xfId="0" applyNumberFormat="1" applyFont="1" applyFill="1" applyBorder="1" applyAlignment="1">
      <alignment horizontal="right"/>
    </xf>
    <xf numFmtId="37" fontId="28" fillId="0" borderId="14" xfId="0" applyNumberFormat="1" applyFont="1" applyFill="1" applyBorder="1" applyAlignment="1" applyProtection="1">
      <alignment horizontal="center" wrapText="1"/>
    </xf>
    <xf numFmtId="3" fontId="19" fillId="0" borderId="0" xfId="0" applyFont="1" applyFill="1" applyBorder="1" applyAlignment="1">
      <alignment horizontal="right"/>
    </xf>
    <xf numFmtId="37" fontId="28" fillId="0" borderId="0" xfId="0" applyNumberFormat="1" applyFont="1" applyFill="1" applyBorder="1" applyAlignment="1" applyProtection="1">
      <alignment horizontal="right"/>
    </xf>
    <xf numFmtId="3" fontId="23" fillId="0" borderId="0" xfId="0" applyNumberFormat="1" applyFont="1" applyFill="1"/>
    <xf numFmtId="3" fontId="19" fillId="3" borderId="16" xfId="0" applyFont="1" applyFill="1" applyBorder="1" applyAlignment="1">
      <alignment vertical="center"/>
    </xf>
    <xf numFmtId="3" fontId="33" fillId="0" borderId="0" xfId="0" applyFont="1"/>
    <xf numFmtId="3" fontId="37" fillId="0" borderId="13" xfId="0" applyFont="1" applyFill="1" applyBorder="1" applyAlignment="1">
      <alignment horizontal="center"/>
    </xf>
    <xf numFmtId="37" fontId="36" fillId="0" borderId="17" xfId="0" applyNumberFormat="1" applyFont="1" applyBorder="1" applyAlignment="1" applyProtection="1">
      <alignment horizontal="right"/>
    </xf>
    <xf numFmtId="37" fontId="36" fillId="0" borderId="11" xfId="0" applyNumberFormat="1" applyFont="1" applyBorder="1" applyAlignment="1" applyProtection="1">
      <alignment horizontal="right"/>
    </xf>
    <xf numFmtId="37" fontId="36" fillId="0" borderId="20" xfId="0" applyNumberFormat="1" applyFont="1" applyFill="1" applyBorder="1" applyAlignment="1" applyProtection="1">
      <alignment horizontal="right"/>
    </xf>
    <xf numFmtId="3" fontId="31" fillId="2" borderId="0" xfId="0" applyFont="1" applyFill="1"/>
    <xf numFmtId="37" fontId="22" fillId="0" borderId="0" xfId="0" applyNumberFormat="1" applyFont="1" applyAlignment="1" applyProtection="1">
      <alignment horizontal="center"/>
    </xf>
    <xf numFmtId="3" fontId="31" fillId="3" borderId="0" xfId="0" applyFont="1" applyFill="1"/>
    <xf numFmtId="3" fontId="27" fillId="3" borderId="0" xfId="0" applyFont="1" applyFill="1"/>
    <xf numFmtId="37" fontId="28" fillId="3" borderId="13" xfId="0" applyNumberFormat="1" applyFont="1" applyFill="1" applyBorder="1" applyAlignment="1" applyProtection="1">
      <alignment horizontal="centerContinuous"/>
    </xf>
    <xf numFmtId="3" fontId="18" fillId="3" borderId="11" xfId="0" applyFont="1" applyFill="1" applyBorder="1" applyAlignment="1">
      <alignment horizontal="centerContinuous"/>
    </xf>
    <xf numFmtId="37" fontId="28" fillId="3" borderId="25" xfId="0" applyNumberFormat="1" applyFont="1" applyFill="1" applyBorder="1" applyAlignment="1" applyProtection="1">
      <alignment horizontal="centerContinuous"/>
    </xf>
    <xf numFmtId="3" fontId="18" fillId="3" borderId="13" xfId="0" applyFont="1" applyFill="1" applyBorder="1" applyAlignment="1">
      <alignment horizontal="centerContinuous"/>
    </xf>
    <xf numFmtId="3" fontId="19" fillId="3" borderId="13" xfId="0" applyFont="1" applyFill="1" applyBorder="1" applyAlignment="1">
      <alignment horizontal="centerContinuous"/>
    </xf>
    <xf numFmtId="3" fontId="19" fillId="3" borderId="11" xfId="0" applyFont="1" applyFill="1" applyBorder="1" applyAlignment="1">
      <alignment horizontal="centerContinuous"/>
    </xf>
    <xf numFmtId="37" fontId="28" fillId="3" borderId="17" xfId="0" applyNumberFormat="1" applyFont="1" applyFill="1" applyBorder="1" applyAlignment="1" applyProtection="1">
      <alignment horizontal="center" wrapText="1"/>
    </xf>
    <xf numFmtId="37" fontId="28" fillId="3" borderId="17" xfId="0" applyNumberFormat="1" applyFont="1" applyFill="1" applyBorder="1" applyAlignment="1" applyProtection="1">
      <alignment horizontal="right"/>
    </xf>
    <xf numFmtId="37" fontId="28" fillId="3" borderId="26" xfId="0" applyNumberFormat="1" applyFont="1" applyFill="1" applyBorder="1" applyAlignment="1" applyProtection="1">
      <alignment horizontal="center" wrapText="1"/>
    </xf>
    <xf numFmtId="37" fontId="28" fillId="3" borderId="11" xfId="0" applyNumberFormat="1" applyFont="1" applyFill="1" applyBorder="1" applyAlignment="1" applyProtection="1">
      <alignment horizontal="right"/>
    </xf>
    <xf numFmtId="3" fontId="19" fillId="3" borderId="0" xfId="0" applyFont="1" applyFill="1" applyBorder="1"/>
    <xf numFmtId="3" fontId="33" fillId="0" borderId="0" xfId="0" applyFont="1" applyFill="1"/>
    <xf numFmtId="37" fontId="31" fillId="0" borderId="14" xfId="6" applyNumberFormat="1" applyFont="1" applyFill="1" applyBorder="1" applyAlignment="1" applyProtection="1">
      <alignment horizontal="center"/>
    </xf>
    <xf numFmtId="3" fontId="19" fillId="4" borderId="0" xfId="4" applyFont="1" applyFill="1" applyBorder="1" applyAlignment="1" applyProtection="1">
      <alignment wrapText="1"/>
    </xf>
    <xf numFmtId="0" fontId="19" fillId="4" borderId="0" xfId="4" applyNumberFormat="1" applyFont="1" applyFill="1" applyBorder="1" applyAlignment="1" applyProtection="1">
      <alignment horizontal="center" wrapText="1"/>
    </xf>
    <xf numFmtId="3" fontId="19" fillId="4" borderId="0" xfId="4" applyFont="1" applyFill="1" applyBorder="1" applyAlignment="1" applyProtection="1">
      <alignment horizontal="center" wrapText="1"/>
    </xf>
    <xf numFmtId="37" fontId="19" fillId="4" borderId="0" xfId="4" applyNumberFormat="1" applyFont="1" applyFill="1" applyBorder="1" applyAlignment="1" applyProtection="1">
      <alignment horizontal="center" wrapText="1"/>
    </xf>
    <xf numFmtId="3" fontId="19" fillId="4" borderId="0" xfId="4" applyFont="1" applyFill="1" applyBorder="1" applyAlignment="1">
      <alignment wrapText="1"/>
    </xf>
    <xf numFmtId="3" fontId="19" fillId="4" borderId="29" xfId="4" applyFont="1" applyFill="1" applyBorder="1" applyAlignment="1">
      <alignment horizontal="center" wrapText="1"/>
    </xf>
    <xf numFmtId="3" fontId="19" fillId="4" borderId="0" xfId="4" applyFont="1" applyFill="1" applyBorder="1" applyAlignment="1">
      <alignment horizontal="center" wrapText="1"/>
    </xf>
    <xf numFmtId="3" fontId="19" fillId="0" borderId="0" xfId="4" applyFont="1" applyFill="1" applyBorder="1" applyAlignment="1">
      <alignment wrapText="1"/>
    </xf>
    <xf numFmtId="3" fontId="19" fillId="0" borderId="0" xfId="4" applyFont="1" applyFill="1" applyBorder="1"/>
    <xf numFmtId="3" fontId="31" fillId="0" borderId="0" xfId="4" applyFont="1" applyFill="1" applyBorder="1"/>
    <xf numFmtId="0" fontId="19" fillId="0" borderId="0" xfId="4" applyNumberFormat="1" applyFont="1" applyFill="1" applyBorder="1" applyAlignment="1">
      <alignment horizontal="center"/>
    </xf>
    <xf numFmtId="3" fontId="19" fillId="0" borderId="0" xfId="4" applyFont="1" applyFill="1" applyBorder="1" applyAlignment="1">
      <alignment horizontal="center"/>
    </xf>
    <xf numFmtId="3" fontId="30" fillId="0" borderId="0" xfId="4" applyFont="1" applyFill="1" applyBorder="1" applyAlignment="1">
      <alignment horizontal="center"/>
    </xf>
    <xf numFmtId="3" fontId="31" fillId="0" borderId="0" xfId="4" applyFont="1" applyFill="1" applyBorder="1" applyAlignment="1">
      <alignment horizontal="center"/>
    </xf>
    <xf numFmtId="3" fontId="30" fillId="0" borderId="0" xfId="4" applyFont="1" applyFill="1" applyBorder="1"/>
    <xf numFmtId="37" fontId="23" fillId="0" borderId="0" xfId="0" applyNumberFormat="1" applyFont="1" applyBorder="1" applyAlignment="1" applyProtection="1">
      <alignment horizontal="left" vertical="top" wrapText="1"/>
    </xf>
    <xf numFmtId="37" fontId="26" fillId="0" borderId="0" xfId="0" applyNumberFormat="1" applyFont="1" applyAlignment="1" applyProtection="1">
      <alignment horizontal="center"/>
    </xf>
    <xf numFmtId="3" fontId="18" fillId="0" borderId="17" xfId="0" applyFont="1" applyFill="1" applyBorder="1" applyAlignment="1">
      <alignment horizontal="center"/>
    </xf>
    <xf numFmtId="37" fontId="28" fillId="0" borderId="14" xfId="0" applyNumberFormat="1" applyFont="1" applyBorder="1" applyAlignment="1" applyProtection="1">
      <alignment horizontal="center" wrapText="1"/>
    </xf>
    <xf numFmtId="168" fontId="19" fillId="0" borderId="0" xfId="7" applyNumberFormat="1" applyFont="1" applyBorder="1" applyAlignment="1">
      <alignment horizontal="right"/>
    </xf>
    <xf numFmtId="168" fontId="19" fillId="0" borderId="3" xfId="7" applyNumberFormat="1" applyFont="1" applyBorder="1" applyAlignment="1">
      <alignment horizontal="right"/>
    </xf>
    <xf numFmtId="49" fontId="0" fillId="0" borderId="0" xfId="0" applyNumberFormat="1" applyFill="1" applyAlignment="1">
      <alignment horizontal="right"/>
    </xf>
    <xf numFmtId="3" fontId="19" fillId="0" borderId="0" xfId="0" applyFont="1" applyFill="1" applyBorder="1" applyAlignment="1">
      <alignment horizontal="centerContinuous"/>
    </xf>
    <xf numFmtId="3" fontId="19" fillId="0" borderId="3" xfId="0" applyNumberFormat="1" applyFont="1" applyBorder="1"/>
    <xf numFmtId="37" fontId="28" fillId="0" borderId="30" xfId="0" applyNumberFormat="1" applyFont="1" applyBorder="1" applyAlignment="1" applyProtection="1">
      <alignment horizontal="right"/>
    </xf>
    <xf numFmtId="3" fontId="19" fillId="0" borderId="15" xfId="0" applyNumberFormat="1" applyFont="1" applyBorder="1" applyAlignment="1">
      <alignment horizontal="right"/>
    </xf>
    <xf numFmtId="3" fontId="19" fillId="0" borderId="16" xfId="0" applyNumberFormat="1" applyFont="1" applyBorder="1" applyAlignment="1">
      <alignment horizontal="right"/>
    </xf>
    <xf numFmtId="3" fontId="19" fillId="0" borderId="15" xfId="0" applyNumberFormat="1" applyFont="1" applyFill="1" applyBorder="1" applyAlignment="1">
      <alignment horizontal="right"/>
    </xf>
    <xf numFmtId="3" fontId="19" fillId="0" borderId="16" xfId="0" applyNumberFormat="1" applyFont="1" applyFill="1" applyBorder="1" applyAlignment="1">
      <alignment horizontal="right"/>
    </xf>
    <xf numFmtId="37" fontId="26" fillId="0" borderId="0" xfId="0" applyNumberFormat="1" applyFont="1" applyFill="1" applyAlignment="1" applyProtection="1">
      <alignment horizontal="center"/>
    </xf>
    <xf numFmtId="37" fontId="26" fillId="0" borderId="0" xfId="0" applyNumberFormat="1" applyFont="1" applyFill="1" applyBorder="1" applyAlignment="1" applyProtection="1">
      <alignment horizontal="center"/>
    </xf>
    <xf numFmtId="37" fontId="36" fillId="0" borderId="11" xfId="0" applyNumberFormat="1" applyFont="1" applyBorder="1" applyAlignment="1" applyProtection="1">
      <alignment horizontal="center"/>
    </xf>
    <xf numFmtId="3" fontId="37" fillId="0" borderId="11" xfId="0" applyFont="1" applyBorder="1" applyAlignment="1">
      <alignment horizontal="center"/>
    </xf>
    <xf numFmtId="3" fontId="39" fillId="0" borderId="0" xfId="0" applyFont="1"/>
    <xf numFmtId="3" fontId="27" fillId="0" borderId="2" xfId="0" applyFont="1" applyBorder="1"/>
    <xf numFmtId="3" fontId="19" fillId="0" borderId="2" xfId="0" applyFont="1" applyBorder="1"/>
    <xf numFmtId="3" fontId="19" fillId="0" borderId="31" xfId="0" applyFont="1" applyBorder="1"/>
    <xf numFmtId="3" fontId="27" fillId="0" borderId="34" xfId="0" applyFont="1" applyBorder="1"/>
    <xf numFmtId="37" fontId="19" fillId="0" borderId="15" xfId="0" applyNumberFormat="1" applyFont="1" applyBorder="1" applyAlignment="1">
      <alignment horizontal="right"/>
    </xf>
    <xf numFmtId="37" fontId="19" fillId="0" borderId="16" xfId="0" applyNumberFormat="1" applyFont="1" applyBorder="1" applyAlignment="1">
      <alignment horizontal="right"/>
    </xf>
    <xf numFmtId="37" fontId="27" fillId="0" borderId="14" xfId="0" applyNumberFormat="1" applyFont="1" applyBorder="1" applyAlignment="1" applyProtection="1">
      <alignment horizontal="center"/>
    </xf>
    <xf numFmtId="37" fontId="28" fillId="0" borderId="17" xfId="0" applyNumberFormat="1" applyFont="1" applyBorder="1" applyAlignment="1" applyProtection="1">
      <alignment horizontal="centerContinuous"/>
    </xf>
    <xf numFmtId="37" fontId="28" fillId="0" borderId="30" xfId="0" applyNumberFormat="1" applyFont="1" applyBorder="1" applyAlignment="1" applyProtection="1">
      <alignment horizontal="centerContinuous"/>
    </xf>
    <xf numFmtId="3" fontId="19" fillId="0" borderId="0" xfId="0" applyNumberFormat="1" applyFont="1" applyFill="1" applyBorder="1"/>
    <xf numFmtId="37" fontId="28" fillId="0" borderId="14" xfId="0" applyNumberFormat="1" applyFont="1" applyFill="1" applyBorder="1" applyAlignment="1" applyProtection="1">
      <alignment horizontal="centerContinuous" wrapText="1"/>
    </xf>
    <xf numFmtId="3" fontId="23" fillId="0" borderId="0" xfId="0" applyNumberFormat="1" applyFont="1" applyFill="1" applyBorder="1"/>
    <xf numFmtId="37" fontId="28" fillId="0" borderId="14" xfId="0" applyNumberFormat="1" applyFont="1" applyBorder="1" applyAlignment="1" applyProtection="1">
      <alignment horizontal="center"/>
    </xf>
    <xf numFmtId="37" fontId="28" fillId="0" borderId="21" xfId="0" applyNumberFormat="1" applyFont="1" applyBorder="1" applyAlignment="1" applyProtection="1">
      <alignment horizontal="center"/>
    </xf>
    <xf numFmtId="37" fontId="22" fillId="0" borderId="0" xfId="0" applyNumberFormat="1" applyFont="1" applyAlignment="1" applyProtection="1">
      <alignment horizontal="left"/>
    </xf>
    <xf numFmtId="3" fontId="19" fillId="0" borderId="0" xfId="0" applyFont="1" applyAlignment="1">
      <alignment horizontal="left"/>
    </xf>
    <xf numFmtId="3" fontId="22" fillId="0" borderId="0" xfId="0" applyFont="1" applyFill="1" applyBorder="1" applyAlignment="1">
      <alignment horizontal="centerContinuous"/>
    </xf>
    <xf numFmtId="37" fontId="22" fillId="0" borderId="0" xfId="0" applyNumberFormat="1" applyFont="1" applyFill="1" applyBorder="1" applyAlignment="1" applyProtection="1">
      <alignment horizontal="center"/>
    </xf>
    <xf numFmtId="37" fontId="23" fillId="0" borderId="0" xfId="0" applyNumberFormat="1" applyFont="1" applyFill="1" applyBorder="1" applyAlignment="1" applyProtection="1">
      <alignment horizontal="left" vertical="top" wrapText="1"/>
    </xf>
    <xf numFmtId="49" fontId="17" fillId="0" borderId="0" xfId="0" quotePrefix="1" applyNumberFormat="1" applyFont="1" applyFill="1" applyBorder="1" applyAlignment="1">
      <alignment horizontal="right"/>
    </xf>
    <xf numFmtId="3" fontId="19" fillId="0" borderId="3" xfId="0" applyNumberFormat="1" applyFont="1" applyFill="1" applyBorder="1"/>
    <xf numFmtId="37" fontId="27" fillId="0" borderId="3" xfId="0" applyNumberFormat="1" applyFont="1" applyBorder="1" applyAlignment="1" applyProtection="1">
      <alignment horizontal="center"/>
    </xf>
    <xf numFmtId="37" fontId="28" fillId="0" borderId="3" xfId="0" applyNumberFormat="1" applyFont="1" applyBorder="1" applyAlignment="1" applyProtection="1">
      <alignment horizontal="center" wrapText="1"/>
    </xf>
    <xf numFmtId="37" fontId="28" fillId="0" borderId="16" xfId="0" applyNumberFormat="1" applyFont="1" applyBorder="1" applyAlignment="1" applyProtection="1">
      <alignment horizontal="center" wrapText="1"/>
    </xf>
    <xf numFmtId="37" fontId="28" fillId="0" borderId="21" xfId="0" applyNumberFormat="1" applyFont="1" applyBorder="1" applyAlignment="1" applyProtection="1">
      <alignment horizontal="right"/>
    </xf>
    <xf numFmtId="37" fontId="19" fillId="0" borderId="0" xfId="0" quotePrefix="1" applyNumberFormat="1" applyFont="1" applyAlignment="1">
      <alignment horizontal="right"/>
    </xf>
    <xf numFmtId="37" fontId="19" fillId="0" borderId="15" xfId="0" quotePrefix="1" applyNumberFormat="1" applyFont="1" applyBorder="1" applyAlignment="1">
      <alignment horizontal="right"/>
    </xf>
    <xf numFmtId="37" fontId="19" fillId="0" borderId="0" xfId="0" quotePrefix="1" applyNumberFormat="1" applyFont="1" applyAlignment="1">
      <alignment horizontal="left"/>
    </xf>
    <xf numFmtId="168" fontId="19" fillId="0" borderId="0" xfId="7" applyNumberFormat="1" applyFont="1" applyBorder="1"/>
    <xf numFmtId="10" fontId="19" fillId="0" borderId="0" xfId="7" applyNumberFormat="1" applyFont="1" applyBorder="1" applyAlignment="1">
      <alignment horizontal="right"/>
    </xf>
    <xf numFmtId="168" fontId="19" fillId="0" borderId="3" xfId="7" applyNumberFormat="1" applyFont="1" applyBorder="1"/>
    <xf numFmtId="3" fontId="27" fillId="0" borderId="14" xfId="6" applyFont="1" applyFill="1" applyBorder="1"/>
    <xf numFmtId="3" fontId="39" fillId="0" borderId="0" xfId="0" applyFont="1" applyFill="1" applyBorder="1"/>
    <xf numFmtId="3" fontId="39" fillId="0" borderId="0" xfId="0" applyFont="1" applyFill="1"/>
    <xf numFmtId="166" fontId="40" fillId="0" borderId="0" xfId="0" applyNumberFormat="1" applyFont="1" applyFill="1" applyBorder="1" applyAlignment="1"/>
    <xf numFmtId="3" fontId="27" fillId="2" borderId="15" xfId="0" applyFont="1" applyFill="1" applyBorder="1"/>
    <xf numFmtId="3" fontId="19" fillId="2" borderId="0" xfId="0" applyFont="1" applyFill="1" applyBorder="1"/>
    <xf numFmtId="37" fontId="28" fillId="2" borderId="21" xfId="0" applyNumberFormat="1" applyFont="1" applyFill="1" applyBorder="1" applyAlignment="1" applyProtection="1">
      <alignment horizontal="centerContinuous"/>
    </xf>
    <xf numFmtId="168" fontId="19" fillId="2" borderId="15" xfId="7" applyNumberFormat="1" applyFont="1" applyFill="1" applyBorder="1"/>
    <xf numFmtId="168" fontId="19" fillId="2" borderId="0" xfId="7" applyNumberFormat="1" applyFont="1" applyFill="1" applyBorder="1"/>
    <xf numFmtId="37" fontId="26" fillId="0" borderId="0" xfId="0" applyNumberFormat="1" applyFont="1" applyAlignment="1" applyProtection="1">
      <alignment horizontal="left"/>
    </xf>
    <xf numFmtId="37" fontId="28" fillId="0" borderId="36" xfId="0" applyNumberFormat="1" applyFont="1" applyFill="1" applyBorder="1" applyAlignment="1" applyProtection="1">
      <alignment horizontal="right"/>
    </xf>
    <xf numFmtId="37" fontId="28" fillId="0" borderId="16" xfId="0" applyNumberFormat="1" applyFont="1" applyFill="1" applyBorder="1" applyAlignment="1" applyProtection="1">
      <alignment horizontal="right"/>
    </xf>
    <xf numFmtId="3" fontId="20" fillId="0" borderId="0" xfId="0" applyFont="1" applyFill="1" applyBorder="1" applyAlignment="1">
      <alignment horizontal="centerContinuous"/>
    </xf>
    <xf numFmtId="3" fontId="35" fillId="0" borderId="0" xfId="0" applyFont="1" applyAlignment="1">
      <alignment horizontal="centerContinuous"/>
    </xf>
    <xf numFmtId="3" fontId="32" fillId="0" borderId="0" xfId="0" applyFont="1" applyAlignment="1">
      <alignment horizontal="centerContinuous"/>
    </xf>
    <xf numFmtId="3" fontId="41" fillId="0" borderId="0" xfId="0" applyFont="1"/>
    <xf numFmtId="37" fontId="28" fillId="0" borderId="17" xfId="0" applyNumberFormat="1" applyFont="1" applyBorder="1" applyAlignment="1" applyProtection="1">
      <alignment horizontal="centerContinuous" wrapText="1"/>
    </xf>
    <xf numFmtId="3" fontId="42" fillId="3" borderId="0" xfId="0" applyFont="1" applyFill="1" applyAlignment="1">
      <alignment vertical="center"/>
    </xf>
    <xf numFmtId="3" fontId="27" fillId="0" borderId="3" xfId="0" applyFont="1" applyBorder="1"/>
    <xf numFmtId="3" fontId="19" fillId="0" borderId="3" xfId="0" applyFont="1" applyBorder="1" applyAlignment="1">
      <alignment horizontal="right" wrapText="1"/>
    </xf>
    <xf numFmtId="3" fontId="19" fillId="0" borderId="21" xfId="0" applyFont="1" applyBorder="1"/>
    <xf numFmtId="3" fontId="19" fillId="0" borderId="16" xfId="0" applyFont="1" applyBorder="1" applyAlignment="1">
      <alignment horizontal="right" wrapText="1"/>
    </xf>
    <xf numFmtId="3" fontId="41" fillId="3" borderId="0" xfId="0" applyFont="1" applyFill="1"/>
    <xf numFmtId="3" fontId="41" fillId="0" borderId="3" xfId="0" applyFont="1" applyBorder="1"/>
    <xf numFmtId="3" fontId="19" fillId="0" borderId="28" xfId="0" applyFont="1" applyBorder="1"/>
    <xf numFmtId="10" fontId="19" fillId="0" borderId="5" xfId="7" applyNumberFormat="1" applyFont="1" applyBorder="1" applyAlignment="1">
      <alignment horizontal="right"/>
    </xf>
    <xf numFmtId="10" fontId="19" fillId="0" borderId="0" xfId="7" applyNumberFormat="1" applyFont="1" applyBorder="1"/>
    <xf numFmtId="10" fontId="19" fillId="0" borderId="15" xfId="7" applyNumberFormat="1" applyFont="1" applyBorder="1"/>
    <xf numFmtId="165" fontId="27" fillId="0" borderId="2" xfId="0" applyNumberFormat="1" applyFont="1" applyFill="1" applyBorder="1" applyAlignment="1"/>
    <xf numFmtId="165" fontId="19" fillId="0" borderId="33" xfId="0" applyNumberFormat="1" applyFont="1" applyFill="1" applyBorder="1"/>
    <xf numFmtId="165" fontId="19" fillId="0" borderId="7" xfId="0" applyNumberFormat="1" applyFont="1" applyFill="1" applyBorder="1"/>
    <xf numFmtId="165" fontId="19" fillId="0" borderId="0" xfId="0" applyNumberFormat="1" applyFont="1" applyFill="1"/>
    <xf numFmtId="166" fontId="27" fillId="0" borderId="33" xfId="0" applyNumberFormat="1" applyFont="1" applyFill="1" applyBorder="1" applyAlignment="1">
      <alignment horizontal="right"/>
    </xf>
    <xf numFmtId="165" fontId="27" fillId="0" borderId="34" xfId="0" applyNumberFormat="1" applyFont="1" applyFill="1" applyBorder="1" applyAlignment="1"/>
    <xf numFmtId="165" fontId="19" fillId="4" borderId="0" xfId="1" applyNumberFormat="1" applyFont="1" applyFill="1" applyBorder="1" applyAlignment="1" applyProtection="1">
      <alignment horizontal="center" wrapText="1"/>
    </xf>
    <xf numFmtId="3" fontId="19" fillId="6" borderId="0" xfId="0" applyFont="1" applyFill="1" applyBorder="1"/>
    <xf numFmtId="165" fontId="19" fillId="0" borderId="34" xfId="0" applyNumberFormat="1" applyFont="1" applyFill="1" applyBorder="1" applyAlignment="1">
      <alignment wrapText="1"/>
    </xf>
    <xf numFmtId="165" fontId="19" fillId="6" borderId="34" xfId="0" applyNumberFormat="1" applyFont="1" applyFill="1" applyBorder="1"/>
    <xf numFmtId="165" fontId="19" fillId="6" borderId="2" xfId="0" applyNumberFormat="1" applyFont="1" applyFill="1" applyBorder="1"/>
    <xf numFmtId="165" fontId="19" fillId="6" borderId="32" xfId="0" applyNumberFormat="1" applyFont="1" applyFill="1" applyBorder="1"/>
    <xf numFmtId="168" fontId="27" fillId="0" borderId="7" xfId="0" applyNumberFormat="1" applyFont="1" applyFill="1" applyBorder="1" applyAlignment="1">
      <alignment horizontal="right"/>
    </xf>
    <xf numFmtId="168" fontId="27" fillId="0" borderId="0" xfId="0" applyNumberFormat="1" applyFont="1" applyFill="1" applyAlignment="1">
      <alignment horizontal="right"/>
    </xf>
    <xf numFmtId="3" fontId="19" fillId="3" borderId="8" xfId="0" applyFont="1" applyFill="1" applyBorder="1" applyAlignment="1">
      <alignment vertical="center"/>
    </xf>
    <xf numFmtId="168" fontId="19" fillId="0" borderId="0" xfId="7" quotePrefix="1" applyNumberFormat="1" applyFont="1" applyBorder="1" applyAlignment="1">
      <alignment horizontal="right"/>
    </xf>
    <xf numFmtId="168" fontId="47" fillId="0" borderId="0" xfId="7" quotePrefix="1" applyNumberFormat="1" applyFont="1" applyBorder="1" applyAlignment="1">
      <alignment horizontal="right"/>
    </xf>
    <xf numFmtId="168" fontId="47" fillId="0" borderId="0" xfId="7" quotePrefix="1" applyNumberFormat="1" applyFont="1" applyAlignment="1">
      <alignment vertical="center"/>
    </xf>
    <xf numFmtId="3" fontId="47" fillId="0" borderId="15" xfId="0" applyNumberFormat="1" applyFont="1" applyBorder="1" applyAlignment="1">
      <alignment horizontal="right"/>
    </xf>
    <xf numFmtId="168" fontId="47" fillId="0" borderId="0" xfId="7" quotePrefix="1" applyNumberFormat="1" applyFont="1" applyFill="1" applyAlignment="1">
      <alignment vertical="center"/>
    </xf>
    <xf numFmtId="3" fontId="47" fillId="0" borderId="15" xfId="0" applyFont="1" applyBorder="1"/>
    <xf numFmtId="3" fontId="47" fillId="0" borderId="0" xfId="0" applyFont="1"/>
    <xf numFmtId="3" fontId="47" fillId="0" borderId="0" xfId="0" applyNumberFormat="1" applyFont="1" applyAlignment="1">
      <alignment horizontal="right"/>
    </xf>
    <xf numFmtId="3" fontId="47" fillId="0" borderId="15" xfId="0" applyFont="1" applyFill="1" applyBorder="1"/>
    <xf numFmtId="37" fontId="28" fillId="0" borderId="40" xfId="0" applyNumberFormat="1" applyFont="1" applyBorder="1" applyAlignment="1" applyProtection="1">
      <alignment horizontal="center" wrapText="1"/>
    </xf>
    <xf numFmtId="3" fontId="47" fillId="0" borderId="0" xfId="0" applyFont="1" applyBorder="1"/>
    <xf numFmtId="37" fontId="23" fillId="0" borderId="0" xfId="0" applyNumberFormat="1" applyFont="1" applyBorder="1" applyAlignment="1" applyProtection="1">
      <alignment horizontal="left" vertical="top" wrapText="1"/>
    </xf>
    <xf numFmtId="37" fontId="26" fillId="0" borderId="0" xfId="0" applyNumberFormat="1" applyFont="1" applyAlignment="1" applyProtection="1">
      <alignment horizontal="center"/>
    </xf>
    <xf numFmtId="37" fontId="22" fillId="0" borderId="0" xfId="0" applyNumberFormat="1" applyFont="1" applyAlignment="1" applyProtection="1">
      <alignment horizontal="center"/>
    </xf>
    <xf numFmtId="171" fontId="19" fillId="0" borderId="0" xfId="0" applyNumberFormat="1" applyFont="1"/>
    <xf numFmtId="0" fontId="48" fillId="7" borderId="42" xfId="25" applyNumberFormat="1" applyFont="1" applyFill="1" applyBorder="1" applyAlignment="1" applyProtection="1">
      <alignment horizontal="center"/>
      <protection locked="0"/>
    </xf>
    <xf numFmtId="0" fontId="48" fillId="7" borderId="42" xfId="26" applyNumberFormat="1" applyFont="1" applyFill="1" applyBorder="1" applyAlignment="1" applyProtection="1">
      <alignment horizontal="left" wrapText="1"/>
      <protection locked="0"/>
    </xf>
    <xf numFmtId="0" fontId="48" fillId="7" borderId="42" xfId="26" applyNumberFormat="1" applyFont="1" applyFill="1" applyBorder="1" applyAlignment="1" applyProtection="1">
      <alignment horizontal="center"/>
      <protection locked="0"/>
    </xf>
    <xf numFmtId="1" fontId="48" fillId="7" borderId="42" xfId="26" applyNumberFormat="1" applyFont="1" applyFill="1" applyBorder="1" applyAlignment="1" applyProtection="1">
      <alignment horizontal="center"/>
      <protection locked="0"/>
    </xf>
    <xf numFmtId="0" fontId="27" fillId="8" borderId="43" xfId="23" applyNumberFormat="1" applyFont="1" applyFill="1" applyBorder="1" applyAlignment="1" applyProtection="1">
      <alignment horizontal="center"/>
      <protection locked="0"/>
    </xf>
    <xf numFmtId="0" fontId="27" fillId="0" borderId="42" xfId="23" applyNumberFormat="1" applyFont="1" applyFill="1" applyBorder="1" applyAlignment="1" applyProtection="1">
      <alignment horizontal="center"/>
      <protection locked="0"/>
    </xf>
    <xf numFmtId="0" fontId="49" fillId="9" borderId="44" xfId="23" applyNumberFormat="1" applyFont="1" applyFill="1" applyBorder="1" applyAlignment="1" applyProtection="1">
      <alignment horizontal="center"/>
      <protection locked="0"/>
    </xf>
    <xf numFmtId="0" fontId="49" fillId="9" borderId="45" xfId="23" applyNumberFormat="1" applyFont="1" applyFill="1" applyBorder="1" applyAlignment="1" applyProtection="1">
      <alignment horizontal="center"/>
      <protection locked="0"/>
    </xf>
    <xf numFmtId="0" fontId="49" fillId="5" borderId="44" xfId="23" applyNumberFormat="1" applyFont="1" applyFill="1" applyBorder="1" applyAlignment="1" applyProtection="1">
      <alignment horizontal="center"/>
      <protection locked="0"/>
    </xf>
    <xf numFmtId="0" fontId="49" fillId="5" borderId="45" xfId="23" applyNumberFormat="1" applyFont="1" applyFill="1" applyBorder="1" applyAlignment="1" applyProtection="1">
      <alignment horizontal="center"/>
      <protection locked="0"/>
    </xf>
    <xf numFmtId="0" fontId="49" fillId="5" borderId="46" xfId="23" applyNumberFormat="1" applyFont="1" applyFill="1" applyBorder="1" applyAlignment="1" applyProtection="1">
      <alignment horizontal="center"/>
      <protection locked="0"/>
    </xf>
    <xf numFmtId="0" fontId="49" fillId="9" borderId="44" xfId="23" applyNumberFormat="1" applyFont="1" applyFill="1" applyBorder="1" applyAlignment="1" applyProtection="1">
      <alignment horizontal="center"/>
    </xf>
    <xf numFmtId="0" fontId="49" fillId="9" borderId="45" xfId="23" applyNumberFormat="1" applyFont="1" applyFill="1" applyBorder="1" applyAlignment="1" applyProtection="1">
      <alignment horizontal="center"/>
    </xf>
    <xf numFmtId="0" fontId="49" fillId="5" borderId="44" xfId="23" applyNumberFormat="1" applyFont="1" applyFill="1" applyBorder="1" applyAlignment="1" applyProtection="1">
      <alignment horizontal="center"/>
    </xf>
    <xf numFmtId="0" fontId="49" fillId="5" borderId="45" xfId="23" applyNumberFormat="1" applyFont="1" applyFill="1" applyBorder="1" applyAlignment="1" applyProtection="1">
      <alignment horizontal="center"/>
    </xf>
    <xf numFmtId="0" fontId="49" fillId="5" borderId="48" xfId="23" applyNumberFormat="1" applyFont="1" applyFill="1" applyBorder="1" applyAlignment="1" applyProtection="1">
      <alignment horizontal="center"/>
    </xf>
    <xf numFmtId="0" fontId="49" fillId="9" borderId="47" xfId="23" applyNumberFormat="1" applyFont="1" applyFill="1" applyBorder="1" applyAlignment="1" applyProtection="1">
      <alignment horizontal="center"/>
    </xf>
    <xf numFmtId="0" fontId="19" fillId="0" borderId="0" xfId="23" applyNumberFormat="1" applyFont="1" applyFill="1" applyBorder="1" applyAlignment="1" applyProtection="1">
      <alignment horizontal="center"/>
      <protection locked="0"/>
    </xf>
    <xf numFmtId="37" fontId="27" fillId="0" borderId="16" xfId="6" applyNumberFormat="1" applyFont="1" applyFill="1" applyBorder="1" applyAlignment="1" applyProtection="1">
      <alignment horizontal="centerContinuous" wrapText="1"/>
    </xf>
    <xf numFmtId="37" fontId="31" fillId="0" borderId="5" xfId="6" applyNumberFormat="1" applyFont="1" applyFill="1" applyBorder="1" applyAlignment="1" applyProtection="1">
      <alignment horizontal="centerContinuous" wrapText="1"/>
    </xf>
    <xf numFmtId="37" fontId="27" fillId="0" borderId="16" xfId="5" applyNumberFormat="1" applyFont="1" applyFill="1" applyBorder="1" applyAlignment="1" applyProtection="1">
      <alignment horizontal="centerContinuous" wrapText="1"/>
    </xf>
    <xf numFmtId="37" fontId="31" fillId="0" borderId="14" xfId="5" applyNumberFormat="1" applyFont="1" applyFill="1" applyBorder="1" applyAlignment="1" applyProtection="1">
      <alignment horizontal="centerContinuous" wrapText="1"/>
    </xf>
    <xf numFmtId="3" fontId="44" fillId="9" borderId="37" xfId="23" applyNumberFormat="1" applyFont="1" applyFill="1" applyBorder="1" applyAlignment="1" applyProtection="1">
      <alignment horizontal="right"/>
    </xf>
    <xf numFmtId="3" fontId="44" fillId="9" borderId="15" xfId="23" applyNumberFormat="1" applyFont="1" applyFill="1" applyBorder="1" applyAlignment="1" applyProtection="1">
      <alignment horizontal="right"/>
    </xf>
    <xf numFmtId="3" fontId="49" fillId="5" borderId="37" xfId="23" applyNumberFormat="1" applyFont="1" applyFill="1" applyBorder="1" applyAlignment="1" applyProtection="1">
      <alignment horizontal="right"/>
    </xf>
    <xf numFmtId="3" fontId="49" fillId="5" borderId="15" xfId="23" applyNumberFormat="1" applyFont="1" applyFill="1" applyBorder="1" applyAlignment="1" applyProtection="1">
      <alignment horizontal="right"/>
    </xf>
    <xf numFmtId="3" fontId="49" fillId="5" borderId="50" xfId="23" applyNumberFormat="1" applyFont="1" applyFill="1" applyBorder="1" applyAlignment="1" applyProtection="1">
      <alignment horizontal="right"/>
    </xf>
    <xf numFmtId="3" fontId="44" fillId="9" borderId="0" xfId="23" applyNumberFormat="1" applyFont="1" applyFill="1" applyBorder="1" applyAlignment="1" applyProtection="1">
      <alignment horizontal="right"/>
    </xf>
    <xf numFmtId="3" fontId="49" fillId="5" borderId="52" xfId="23" applyNumberFormat="1" applyFont="1" applyFill="1" applyBorder="1" applyAlignment="1" applyProtection="1">
      <alignment horizontal="right"/>
    </xf>
    <xf numFmtId="3" fontId="44" fillId="9" borderId="51" xfId="23" applyNumberFormat="1" applyFont="1" applyFill="1" applyBorder="1" applyAlignment="1" applyProtection="1">
      <alignment horizontal="right"/>
    </xf>
    <xf numFmtId="37" fontId="27" fillId="10" borderId="21" xfId="5" applyNumberFormat="1" applyFont="1" applyFill="1" applyBorder="1" applyAlignment="1" applyProtection="1">
      <alignment horizontal="center" wrapText="1"/>
    </xf>
    <xf numFmtId="37" fontId="31" fillId="5" borderId="21" xfId="5" applyNumberFormat="1" applyFont="1" applyFill="1" applyBorder="1" applyAlignment="1" applyProtection="1">
      <alignment horizontal="center" wrapText="1"/>
    </xf>
    <xf numFmtId="37" fontId="31" fillId="0" borderId="14" xfId="6" applyNumberFormat="1" applyFont="1" applyFill="1" applyBorder="1" applyAlignment="1" applyProtection="1">
      <alignment horizontal="centerContinuous"/>
    </xf>
    <xf numFmtId="37" fontId="31" fillId="0" borderId="21" xfId="6" applyNumberFormat="1" applyFont="1" applyFill="1" applyBorder="1" applyAlignment="1" applyProtection="1">
      <alignment horizontal="centerContinuous"/>
    </xf>
    <xf numFmtId="37" fontId="31" fillId="0" borderId="22" xfId="6" applyNumberFormat="1" applyFont="1" applyFill="1" applyBorder="1" applyAlignment="1" applyProtection="1">
      <alignment horizontal="centerContinuous"/>
    </xf>
    <xf numFmtId="37" fontId="31" fillId="5" borderId="39" xfId="5" applyNumberFormat="1" applyFont="1" applyFill="1" applyBorder="1" applyAlignment="1" applyProtection="1">
      <alignment horizontal="center" wrapText="1"/>
    </xf>
    <xf numFmtId="3" fontId="27" fillId="0" borderId="21" xfId="6" applyFont="1" applyFill="1" applyBorder="1" applyAlignment="1">
      <alignment horizontal="centerContinuous"/>
    </xf>
    <xf numFmtId="3" fontId="27" fillId="0" borderId="14" xfId="6" applyFont="1" applyFill="1" applyBorder="1" applyAlignment="1">
      <alignment horizontal="centerContinuous"/>
    </xf>
    <xf numFmtId="3" fontId="40" fillId="0" borderId="0" xfId="0" applyNumberFormat="1" applyFont="1" applyFill="1" applyBorder="1" applyAlignment="1"/>
    <xf numFmtId="3" fontId="31" fillId="0" borderId="53" xfId="0" applyFont="1" applyBorder="1" applyAlignment="1">
      <alignment vertical="center"/>
    </xf>
    <xf numFmtId="165" fontId="27" fillId="0" borderId="35" xfId="0" applyNumberFormat="1" applyFont="1" applyFill="1" applyBorder="1" applyAlignment="1">
      <alignment horizontal="right"/>
    </xf>
    <xf numFmtId="165" fontId="19" fillId="6" borderId="7" xfId="0" applyNumberFormat="1" applyFont="1" applyFill="1" applyBorder="1"/>
    <xf numFmtId="168" fontId="27" fillId="6" borderId="7" xfId="0" applyNumberFormat="1" applyFont="1" applyFill="1" applyBorder="1" applyAlignment="1">
      <alignment horizontal="right"/>
    </xf>
    <xf numFmtId="165" fontId="19" fillId="0" borderId="15" xfId="0" applyNumberFormat="1" applyFont="1" applyFill="1" applyBorder="1"/>
    <xf numFmtId="0" fontId="51" fillId="7" borderId="42" xfId="25" applyNumberFormat="1" applyFont="1" applyFill="1" applyBorder="1" applyAlignment="1" applyProtection="1">
      <alignment horizontal="left"/>
      <protection locked="0"/>
    </xf>
    <xf numFmtId="165" fontId="27" fillId="0" borderId="0" xfId="23" applyNumberFormat="1" applyFont="1" applyFill="1" applyBorder="1" applyAlignment="1" applyProtection="1">
      <alignment horizontal="left" vertical="top"/>
      <protection locked="0"/>
    </xf>
    <xf numFmtId="164" fontId="27" fillId="0" borderId="0" xfId="10" applyFont="1" applyBorder="1" applyAlignment="1" applyProtection="1">
      <alignment horizontal="left" vertical="top"/>
      <protection locked="0"/>
    </xf>
    <xf numFmtId="3" fontId="27" fillId="0" borderId="55" xfId="6" applyFont="1" applyFill="1" applyBorder="1"/>
    <xf numFmtId="37" fontId="31" fillId="0" borderId="56" xfId="6" applyNumberFormat="1" applyFont="1" applyFill="1" applyBorder="1" applyAlignment="1" applyProtection="1">
      <alignment horizontal="center"/>
    </xf>
    <xf numFmtId="3" fontId="26" fillId="0" borderId="21" xfId="6" applyFont="1" applyFill="1" applyBorder="1" applyAlignment="1">
      <alignment horizontal="centerContinuous"/>
    </xf>
    <xf numFmtId="165" fontId="31" fillId="0" borderId="14" xfId="23" applyNumberFormat="1" applyFont="1" applyFill="1" applyBorder="1" applyAlignment="1" applyProtection="1">
      <alignment horizontal="centerContinuous"/>
    </xf>
    <xf numFmtId="37" fontId="31" fillId="0" borderId="57" xfId="6" applyNumberFormat="1" applyFont="1" applyFill="1" applyBorder="1" applyAlignment="1" applyProtection="1">
      <alignment horizontal="centerContinuous"/>
    </xf>
    <xf numFmtId="49" fontId="27" fillId="11" borderId="15" xfId="10" applyNumberFormat="1" applyFont="1" applyFill="1" applyBorder="1" applyAlignment="1" applyProtection="1">
      <alignment horizontal="left" vertical="top"/>
      <protection locked="0"/>
    </xf>
    <xf numFmtId="49" fontId="27" fillId="11" borderId="0" xfId="10" applyNumberFormat="1" applyFont="1" applyFill="1" applyBorder="1" applyAlignment="1" applyProtection="1">
      <alignment horizontal="left" vertical="top"/>
      <protection locked="0"/>
    </xf>
    <xf numFmtId="49" fontId="19" fillId="12" borderId="0" xfId="23" applyNumberFormat="1" applyFont="1" applyFill="1" applyBorder="1" applyAlignment="1" applyProtection="1">
      <alignment horizontal="left"/>
      <protection locked="0"/>
    </xf>
    <xf numFmtId="1" fontId="19" fillId="12" borderId="0" xfId="27" applyNumberFormat="1" applyFont="1" applyFill="1" applyBorder="1" applyAlignment="1" applyProtection="1">
      <alignment horizontal="center"/>
      <protection locked="0"/>
    </xf>
    <xf numFmtId="49" fontId="19" fillId="12" borderId="0" xfId="23" applyNumberFormat="1" applyFont="1" applyFill="1" applyBorder="1" applyAlignment="1" applyProtection="1">
      <alignment horizontal="center"/>
      <protection locked="0"/>
    </xf>
    <xf numFmtId="165" fontId="19" fillId="12" borderId="49" xfId="23" applyNumberFormat="1" applyFont="1" applyFill="1" applyBorder="1" applyAlignment="1" applyProtection="1">
      <alignment horizontal="center"/>
      <protection locked="0"/>
    </xf>
    <xf numFmtId="165" fontId="27" fillId="12" borderId="0" xfId="23" applyNumberFormat="1" applyFont="1" applyFill="1" applyBorder="1" applyAlignment="1" applyProtection="1">
      <alignment horizontal="center"/>
      <protection locked="0"/>
    </xf>
    <xf numFmtId="3" fontId="19" fillId="12" borderId="37" xfId="23" applyNumberFormat="1" applyFont="1" applyFill="1" applyBorder="1" applyAlignment="1" applyProtection="1">
      <alignment horizontal="right"/>
      <protection locked="0"/>
    </xf>
    <xf numFmtId="3" fontId="27" fillId="12" borderId="0" xfId="23" applyNumberFormat="1" applyFont="1" applyFill="1" applyBorder="1" applyAlignment="1" applyProtection="1">
      <alignment horizontal="right"/>
      <protection locked="0"/>
    </xf>
    <xf numFmtId="3" fontId="19" fillId="12" borderId="49" xfId="23" applyNumberFormat="1" applyFont="1" applyFill="1" applyBorder="1" applyAlignment="1" applyProtection="1">
      <alignment horizontal="right"/>
      <protection locked="0"/>
    </xf>
    <xf numFmtId="37" fontId="23" fillId="0" borderId="0" xfId="0" applyNumberFormat="1" applyFont="1" applyBorder="1" applyAlignment="1" applyProtection="1">
      <alignment horizontal="left" vertical="top" wrapText="1"/>
    </xf>
    <xf numFmtId="3" fontId="0" fillId="0" borderId="0" xfId="0" applyFill="1"/>
    <xf numFmtId="165" fontId="19" fillId="0" borderId="58" xfId="0" applyNumberFormat="1" applyFont="1" applyFill="1" applyBorder="1" applyAlignment="1"/>
    <xf numFmtId="165" fontId="19" fillId="0" borderId="59" xfId="0" applyNumberFormat="1" applyFont="1" applyFill="1" applyBorder="1" applyAlignment="1"/>
    <xf numFmtId="165" fontId="19" fillId="0" borderId="58" xfId="0" applyNumberFormat="1" applyFont="1" applyFill="1" applyBorder="1"/>
    <xf numFmtId="165" fontId="19" fillId="0" borderId="59" xfId="0" applyNumberFormat="1" applyFont="1" applyFill="1" applyBorder="1"/>
    <xf numFmtId="165" fontId="19" fillId="0" borderId="60" xfId="0" applyNumberFormat="1" applyFont="1" applyFill="1" applyBorder="1"/>
    <xf numFmtId="165" fontId="19" fillId="0" borderId="61" xfId="0" applyNumberFormat="1" applyFont="1" applyFill="1" applyBorder="1"/>
    <xf numFmtId="165" fontId="19" fillId="0" borderId="62" xfId="0" applyNumberFormat="1" applyFont="1" applyFill="1" applyBorder="1"/>
    <xf numFmtId="165" fontId="27" fillId="0" borderId="58" xfId="0" applyNumberFormat="1" applyFont="1" applyFill="1" applyBorder="1" applyAlignment="1"/>
    <xf numFmtId="165" fontId="19" fillId="0" borderId="65" xfId="0" applyNumberFormat="1" applyFont="1" applyFill="1" applyBorder="1"/>
    <xf numFmtId="165" fontId="19" fillId="0" borderId="63" xfId="0" applyNumberFormat="1" applyFont="1" applyFill="1" applyBorder="1"/>
    <xf numFmtId="165" fontId="19" fillId="0" borderId="64" xfId="0" applyNumberFormat="1" applyFont="1" applyFill="1" applyBorder="1"/>
    <xf numFmtId="165" fontId="19" fillId="0" borderId="63" xfId="0" applyNumberFormat="1" applyFont="1" applyFill="1" applyBorder="1" applyAlignment="1">
      <alignment horizontal="right"/>
    </xf>
    <xf numFmtId="165" fontId="19" fillId="0" borderId="64" xfId="0" applyNumberFormat="1" applyFont="1" applyFill="1" applyBorder="1" applyAlignment="1">
      <alignment horizontal="right"/>
    </xf>
    <xf numFmtId="165" fontId="19" fillId="0" borderId="58" xfId="0" applyNumberFormat="1" applyFont="1" applyFill="1" applyBorder="1" applyAlignment="1">
      <alignment wrapText="1"/>
    </xf>
    <xf numFmtId="165" fontId="19" fillId="6" borderId="58" xfId="0" applyNumberFormat="1" applyFont="1" applyFill="1" applyBorder="1"/>
    <xf numFmtId="165" fontId="19" fillId="6" borderId="59" xfId="0" applyNumberFormat="1" applyFont="1" applyFill="1" applyBorder="1"/>
    <xf numFmtId="165" fontId="19" fillId="6" borderId="63" xfId="0" applyNumberFormat="1" applyFont="1" applyFill="1" applyBorder="1"/>
    <xf numFmtId="165" fontId="19" fillId="6" borderId="60" xfId="0" applyNumberFormat="1" applyFont="1" applyFill="1" applyBorder="1"/>
    <xf numFmtId="165" fontId="19" fillId="6" borderId="61" xfId="0" applyNumberFormat="1" applyFont="1" applyFill="1" applyBorder="1"/>
    <xf numFmtId="3" fontId="18" fillId="0" borderId="11" xfId="0" applyFont="1" applyBorder="1" applyAlignment="1">
      <alignment horizontal="center"/>
    </xf>
    <xf numFmtId="37" fontId="23" fillId="0" borderId="0" xfId="0" applyNumberFormat="1" applyFont="1" applyBorder="1" applyAlignment="1" applyProtection="1">
      <alignment horizontal="left" vertical="top" wrapText="1"/>
    </xf>
    <xf numFmtId="168" fontId="27" fillId="0" borderId="15" xfId="0" applyNumberFormat="1" applyFont="1" applyFill="1" applyBorder="1" applyAlignment="1">
      <alignment horizontal="right"/>
    </xf>
    <xf numFmtId="165" fontId="19" fillId="6" borderId="66" xfId="0" applyNumberFormat="1" applyFont="1" applyFill="1" applyBorder="1"/>
    <xf numFmtId="165" fontId="19" fillId="6" borderId="54" xfId="0" applyNumberFormat="1" applyFont="1" applyFill="1" applyBorder="1"/>
    <xf numFmtId="168" fontId="27" fillId="6" borderId="54" xfId="0" applyNumberFormat="1" applyFont="1" applyFill="1" applyBorder="1" applyAlignment="1">
      <alignment horizontal="right"/>
    </xf>
    <xf numFmtId="165" fontId="19" fillId="6" borderId="33" xfId="0" applyNumberFormat="1" applyFont="1" applyFill="1" applyBorder="1"/>
    <xf numFmtId="3" fontId="39" fillId="0" borderId="0" xfId="0" applyFont="1" applyFill="1" applyBorder="1" applyAlignment="1"/>
    <xf numFmtId="3" fontId="19" fillId="14" borderId="0" xfId="0" applyNumberFormat="1" applyFont="1" applyFill="1"/>
    <xf numFmtId="3" fontId="19" fillId="0" borderId="58" xfId="0" applyFont="1" applyBorder="1"/>
    <xf numFmtId="3" fontId="19" fillId="0" borderId="59" xfId="0" applyFont="1" applyBorder="1"/>
    <xf numFmtId="3" fontId="27" fillId="0" borderId="58" xfId="0" applyFont="1" applyBorder="1"/>
    <xf numFmtId="3" fontId="19" fillId="6" borderId="59" xfId="0" applyFont="1" applyFill="1" applyBorder="1"/>
    <xf numFmtId="3" fontId="19" fillId="6" borderId="60" xfId="0" applyFont="1" applyFill="1" applyBorder="1"/>
    <xf numFmtId="3" fontId="19" fillId="6" borderId="58" xfId="0" applyFont="1" applyFill="1" applyBorder="1"/>
    <xf numFmtId="3" fontId="19" fillId="6" borderId="61" xfId="0" applyFont="1" applyFill="1" applyBorder="1"/>
    <xf numFmtId="3" fontId="19" fillId="6" borderId="2" xfId="0" applyFont="1" applyFill="1" applyBorder="1"/>
    <xf numFmtId="3" fontId="19" fillId="6" borderId="32" xfId="0" applyFont="1" applyFill="1" applyBorder="1"/>
    <xf numFmtId="3" fontId="19" fillId="6" borderId="58" xfId="0" applyNumberFormat="1" applyFont="1" applyFill="1" applyBorder="1"/>
    <xf numFmtId="3" fontId="19" fillId="6" borderId="61" xfId="0" applyNumberFormat="1" applyFont="1" applyFill="1" applyBorder="1"/>
    <xf numFmtId="3" fontId="19" fillId="6" borderId="7" xfId="0" applyNumberFormat="1" applyFont="1" applyFill="1" applyBorder="1"/>
    <xf numFmtId="3" fontId="19" fillId="6" borderId="33" xfId="0" applyNumberFormat="1" applyFont="1" applyFill="1" applyBorder="1"/>
    <xf numFmtId="168" fontId="27" fillId="6" borderId="7" xfId="0" applyNumberFormat="1" applyFont="1" applyFill="1" applyBorder="1"/>
    <xf numFmtId="168" fontId="27" fillId="6" borderId="33" xfId="0" applyNumberFormat="1" applyFont="1" applyFill="1" applyBorder="1"/>
    <xf numFmtId="168" fontId="27" fillId="6" borderId="8" xfId="0" applyNumberFormat="1" applyFont="1" applyFill="1" applyBorder="1"/>
    <xf numFmtId="168" fontId="27" fillId="6" borderId="35" xfId="0" applyNumberFormat="1" applyFont="1" applyFill="1" applyBorder="1"/>
    <xf numFmtId="168" fontId="41" fillId="6" borderId="38" xfId="0" applyNumberFormat="1" applyFont="1" applyFill="1" applyBorder="1"/>
    <xf numFmtId="168" fontId="41" fillId="6" borderId="41" xfId="0" applyNumberFormat="1" applyFont="1" applyFill="1" applyBorder="1"/>
    <xf numFmtId="3" fontId="46" fillId="0" borderId="0" xfId="0" applyFont="1" applyFill="1"/>
    <xf numFmtId="166" fontId="39" fillId="0" borderId="0" xfId="0" applyNumberFormat="1" applyFont="1" applyFill="1"/>
    <xf numFmtId="3" fontId="19" fillId="0" borderId="58" xfId="0" applyFont="1" applyFill="1" applyBorder="1"/>
    <xf numFmtId="3" fontId="19" fillId="0" borderId="59" xfId="0" applyFont="1" applyFill="1" applyBorder="1"/>
    <xf numFmtId="3" fontId="19" fillId="0" borderId="62" xfId="0" applyFont="1" applyFill="1" applyBorder="1"/>
    <xf numFmtId="3" fontId="19" fillId="0" borderId="2" xfId="0" applyFont="1" applyFill="1" applyBorder="1"/>
    <xf numFmtId="3" fontId="19" fillId="0" borderId="58" xfId="0" applyNumberFormat="1" applyFont="1" applyFill="1" applyBorder="1"/>
    <xf numFmtId="3" fontId="19" fillId="0" borderId="62" xfId="0" applyNumberFormat="1" applyFont="1" applyFill="1" applyBorder="1"/>
    <xf numFmtId="3" fontId="19" fillId="0" borderId="7" xfId="0" applyNumberFormat="1" applyFont="1" applyFill="1" applyBorder="1"/>
    <xf numFmtId="3" fontId="19" fillId="14" borderId="58" xfId="0" applyFont="1" applyFill="1" applyBorder="1"/>
    <xf numFmtId="3" fontId="19" fillId="14" borderId="58" xfId="0" applyNumberFormat="1" applyFont="1" applyFill="1" applyBorder="1"/>
    <xf numFmtId="3" fontId="19" fillId="14" borderId="62" xfId="0" applyNumberFormat="1" applyFont="1" applyFill="1" applyBorder="1"/>
    <xf numFmtId="3" fontId="19" fillId="14" borderId="7" xfId="0" applyFont="1" applyFill="1" applyBorder="1"/>
    <xf numFmtId="3" fontId="19" fillId="14" borderId="7" xfId="0" applyNumberFormat="1" applyFont="1" applyFill="1" applyBorder="1"/>
    <xf numFmtId="168" fontId="27" fillId="14" borderId="7" xfId="0" applyNumberFormat="1" applyFont="1" applyFill="1" applyBorder="1"/>
    <xf numFmtId="168" fontId="27" fillId="14" borderId="8" xfId="0" applyNumberFormat="1" applyFont="1" applyFill="1" applyBorder="1"/>
    <xf numFmtId="3" fontId="54" fillId="11" borderId="7" xfId="0" applyFont="1" applyFill="1" applyBorder="1"/>
    <xf numFmtId="37" fontId="26" fillId="0" borderId="0" xfId="0" applyNumberFormat="1" applyFont="1" applyAlignment="1" applyProtection="1"/>
    <xf numFmtId="3" fontId="19" fillId="0" borderId="57" xfId="0" applyFont="1" applyBorder="1"/>
    <xf numFmtId="37" fontId="19" fillId="0" borderId="57" xfId="0" applyNumberFormat="1" applyFont="1" applyBorder="1" applyAlignment="1">
      <alignment horizontal="right"/>
    </xf>
    <xf numFmtId="37" fontId="19" fillId="0" borderId="57" xfId="0" applyNumberFormat="1" applyFont="1" applyFill="1" applyBorder="1" applyAlignment="1">
      <alignment horizontal="right"/>
    </xf>
    <xf numFmtId="37" fontId="0" fillId="0" borderId="0" xfId="0" applyNumberFormat="1" applyFont="1" applyAlignment="1" applyProtection="1">
      <alignment horizontal="left"/>
    </xf>
    <xf numFmtId="37" fontId="27" fillId="0" borderId="13" xfId="0" applyNumberFormat="1" applyFont="1" applyBorder="1" applyAlignment="1" applyProtection="1">
      <alignment horizontal="center"/>
    </xf>
    <xf numFmtId="37" fontId="28" fillId="0" borderId="13" xfId="0" applyNumberFormat="1" applyFont="1" applyBorder="1" applyAlignment="1" applyProtection="1">
      <alignment horizontal="center"/>
    </xf>
    <xf numFmtId="37" fontId="28" fillId="0" borderId="18" xfId="0" applyNumberFormat="1" applyFont="1" applyBorder="1" applyAlignment="1" applyProtection="1">
      <alignment horizontal="center"/>
    </xf>
    <xf numFmtId="3" fontId="19" fillId="0" borderId="11" xfId="0" applyFont="1" applyFill="1" applyBorder="1" applyAlignment="1">
      <alignment horizontal="center"/>
    </xf>
    <xf numFmtId="37" fontId="0" fillId="0" borderId="0" xfId="0" applyNumberFormat="1" applyBorder="1" applyAlignment="1" applyProtection="1">
      <alignment vertical="top" wrapText="1"/>
    </xf>
    <xf numFmtId="37" fontId="27" fillId="0" borderId="64" xfId="0" applyNumberFormat="1" applyFont="1" applyBorder="1" applyAlignment="1" applyProtection="1">
      <alignment horizontal="center"/>
    </xf>
    <xf numFmtId="37" fontId="28" fillId="0" borderId="64" xfId="0" applyNumberFormat="1" applyFont="1" applyBorder="1" applyAlignment="1" applyProtection="1">
      <alignment horizontal="centerContinuous" wrapText="1"/>
    </xf>
    <xf numFmtId="37" fontId="28" fillId="0" borderId="67" xfId="0" applyNumberFormat="1" applyFont="1" applyBorder="1" applyAlignment="1" applyProtection="1">
      <alignment horizontal="right"/>
    </xf>
    <xf numFmtId="3" fontId="18" fillId="0" borderId="17" xfId="0" applyFont="1" applyFill="1" applyBorder="1" applyAlignment="1">
      <alignment horizontal="centerContinuous"/>
    </xf>
    <xf numFmtId="37" fontId="28" fillId="0" borderId="68" xfId="0" applyNumberFormat="1" applyFont="1" applyBorder="1" applyAlignment="1" applyProtection="1">
      <alignment horizontal="centerContinuous"/>
    </xf>
    <xf numFmtId="3" fontId="18" fillId="0" borderId="68" xfId="0" applyFont="1" applyBorder="1" applyAlignment="1">
      <alignment horizontal="centerContinuous"/>
    </xf>
    <xf numFmtId="37" fontId="47" fillId="0" borderId="0" xfId="0" quotePrefix="1" applyNumberFormat="1" applyFont="1" applyAlignment="1">
      <alignment horizontal="right"/>
    </xf>
    <xf numFmtId="37" fontId="47" fillId="0" borderId="15" xfId="0" quotePrefix="1" applyNumberFormat="1" applyFont="1" applyBorder="1" applyAlignment="1">
      <alignment horizontal="right"/>
    </xf>
    <xf numFmtId="3" fontId="19" fillId="0" borderId="0" xfId="0" applyFont="1" applyBorder="1" applyAlignment="1">
      <alignment horizontal="centerContinuous"/>
    </xf>
    <xf numFmtId="37" fontId="28" fillId="0" borderId="0" xfId="0" applyNumberFormat="1" applyFont="1" applyBorder="1" applyAlignment="1" applyProtection="1">
      <alignment horizontal="right"/>
    </xf>
    <xf numFmtId="37" fontId="28" fillId="0" borderId="18" xfId="0" applyNumberFormat="1" applyFont="1" applyBorder="1" applyAlignment="1" applyProtection="1">
      <alignment horizontal="centerContinuous" vertical="center"/>
    </xf>
    <xf numFmtId="3" fontId="18" fillId="0" borderId="13" xfId="0" applyFont="1" applyBorder="1" applyAlignment="1">
      <alignment horizontal="centerContinuous" vertical="center"/>
    </xf>
    <xf numFmtId="3" fontId="19" fillId="0" borderId="11" xfId="0" applyFont="1" applyBorder="1" applyAlignment="1">
      <alignment horizontal="centerContinuous" vertical="center"/>
    </xf>
    <xf numFmtId="10" fontId="43" fillId="14" borderId="0" xfId="7" applyNumberFormat="1" applyFont="1" applyFill="1" applyBorder="1" applyAlignment="1">
      <alignment horizontal="center"/>
    </xf>
    <xf numFmtId="3" fontId="19" fillId="0" borderId="0" xfId="0" applyFont="1" applyFill="1" applyBorder="1" applyAlignment="1">
      <alignment horizontal="right" wrapText="1"/>
    </xf>
    <xf numFmtId="168" fontId="19" fillId="0" borderId="0" xfId="7" applyNumberFormat="1" applyFont="1" applyFill="1" applyBorder="1"/>
    <xf numFmtId="2" fontId="43" fillId="0" borderId="0" xfId="7" applyNumberFormat="1" applyFont="1" applyFill="1" applyBorder="1" applyAlignment="1">
      <alignment horizontal="center"/>
    </xf>
    <xf numFmtId="169" fontId="43" fillId="0" borderId="0" xfId="7" applyNumberFormat="1" applyFont="1" applyFill="1" applyBorder="1" applyAlignment="1">
      <alignment horizontal="center"/>
    </xf>
    <xf numFmtId="170" fontId="43" fillId="0" borderId="0" xfId="7" applyNumberFormat="1" applyFont="1" applyFill="1" applyBorder="1" applyAlignment="1">
      <alignment horizontal="center"/>
    </xf>
    <xf numFmtId="10" fontId="19" fillId="0" borderId="6" xfId="7" applyNumberFormat="1" applyFont="1" applyBorder="1"/>
    <xf numFmtId="10" fontId="47" fillId="0" borderId="0" xfId="7" quotePrefix="1" applyNumberFormat="1" applyFont="1" applyBorder="1"/>
    <xf numFmtId="10" fontId="47" fillId="0" borderId="15" xfId="7" quotePrefix="1" applyNumberFormat="1" applyFont="1" applyBorder="1"/>
    <xf numFmtId="10" fontId="19" fillId="0" borderId="3" xfId="7" applyNumberFormat="1" applyFont="1" applyBorder="1"/>
    <xf numFmtId="10" fontId="19" fillId="0" borderId="16" xfId="7" applyNumberFormat="1" applyFont="1" applyBorder="1"/>
    <xf numFmtId="10" fontId="19" fillId="0" borderId="57" xfId="7" quotePrefix="1" applyNumberFormat="1" applyFont="1" applyBorder="1"/>
    <xf numFmtId="10" fontId="47" fillId="14" borderId="0" xfId="7" quotePrefix="1" applyNumberFormat="1" applyFont="1" applyFill="1" applyBorder="1" applyAlignment="1">
      <alignment horizontal="center"/>
    </xf>
    <xf numFmtId="10" fontId="19" fillId="0" borderId="15" xfId="0" applyNumberFormat="1" applyFont="1" applyBorder="1"/>
    <xf numFmtId="3" fontId="19" fillId="2" borderId="15" xfId="1" applyNumberFormat="1" applyFont="1" applyFill="1" applyBorder="1"/>
    <xf numFmtId="3" fontId="19" fillId="2" borderId="0" xfId="1" applyNumberFormat="1" applyFont="1" applyFill="1" applyBorder="1"/>
    <xf numFmtId="3" fontId="19" fillId="2" borderId="0" xfId="1" applyNumberFormat="1" applyFont="1" applyFill="1"/>
    <xf numFmtId="3" fontId="19" fillId="2" borderId="16" xfId="1" applyNumberFormat="1" applyFont="1" applyFill="1" applyBorder="1"/>
    <xf numFmtId="3" fontId="19" fillId="2" borderId="3" xfId="1" applyNumberFormat="1" applyFont="1" applyFill="1" applyBorder="1"/>
    <xf numFmtId="3" fontId="19" fillId="2" borderId="5" xfId="1" applyNumberFormat="1" applyFont="1" applyFill="1" applyBorder="1"/>
    <xf numFmtId="37" fontId="23" fillId="0" borderId="0" xfId="0" applyNumberFormat="1" applyFont="1" applyBorder="1" applyAlignment="1" applyProtection="1">
      <alignment vertical="top" wrapText="1"/>
    </xf>
    <xf numFmtId="165" fontId="19" fillId="0" borderId="2" xfId="0" applyNumberFormat="1" applyFont="1" applyFill="1" applyBorder="1"/>
    <xf numFmtId="165" fontId="19" fillId="0" borderId="0" xfId="0" applyNumberFormat="1" applyFont="1" applyFill="1" applyBorder="1"/>
    <xf numFmtId="168" fontId="27" fillId="0" borderId="0" xfId="0" applyNumberFormat="1" applyFont="1" applyFill="1" applyBorder="1" applyAlignment="1">
      <alignment horizontal="right"/>
    </xf>
    <xf numFmtId="166" fontId="41" fillId="0" borderId="0" xfId="0" applyNumberFormat="1" applyFont="1" applyFill="1" applyBorder="1" applyAlignment="1"/>
    <xf numFmtId="3" fontId="41" fillId="0" borderId="0" xfId="0" applyFont="1" applyFill="1" applyBorder="1"/>
    <xf numFmtId="37" fontId="28" fillId="16" borderId="17" xfId="0" applyNumberFormat="1" applyFont="1" applyFill="1" applyBorder="1" applyAlignment="1" applyProtection="1">
      <alignment horizontal="right"/>
    </xf>
    <xf numFmtId="3" fontId="33" fillId="16" borderId="0" xfId="0" applyFont="1" applyFill="1"/>
    <xf numFmtId="3" fontId="41" fillId="16" borderId="0" xfId="0" applyFont="1" applyFill="1"/>
    <xf numFmtId="37" fontId="36" fillId="16" borderId="13" xfId="0" applyNumberFormat="1" applyFont="1" applyFill="1" applyBorder="1" applyAlignment="1" applyProtection="1">
      <alignment horizontal="centerContinuous"/>
    </xf>
    <xf numFmtId="3" fontId="37" fillId="16" borderId="11" xfId="0" applyFont="1" applyFill="1" applyBorder="1" applyAlignment="1">
      <alignment horizontal="centerContinuous"/>
    </xf>
    <xf numFmtId="37" fontId="36" fillId="16" borderId="17" xfId="0" applyNumberFormat="1" applyFont="1" applyFill="1" applyBorder="1" applyAlignment="1" applyProtection="1">
      <alignment horizontal="center" wrapText="1"/>
    </xf>
    <xf numFmtId="37" fontId="36" fillId="16" borderId="17" xfId="0" applyNumberFormat="1" applyFont="1" applyFill="1" applyBorder="1" applyAlignment="1" applyProtection="1">
      <alignment horizontal="right"/>
    </xf>
    <xf numFmtId="3" fontId="33" fillId="16" borderId="0" xfId="0" applyNumberFormat="1" applyFont="1" applyFill="1" applyAlignment="1">
      <alignment horizontal="right"/>
    </xf>
    <xf numFmtId="3" fontId="33" fillId="16" borderId="0" xfId="0" applyNumberFormat="1" applyFont="1" applyFill="1" applyBorder="1" applyAlignment="1">
      <alignment horizontal="right"/>
    </xf>
    <xf numFmtId="3" fontId="33" fillId="16" borderId="4" xfId="0" applyNumberFormat="1" applyFont="1" applyFill="1" applyBorder="1" applyAlignment="1">
      <alignment horizontal="right"/>
    </xf>
    <xf numFmtId="3" fontId="42" fillId="16" borderId="0" xfId="0" applyFont="1" applyFill="1" applyAlignment="1">
      <alignment vertical="center"/>
    </xf>
    <xf numFmtId="3" fontId="33" fillId="16" borderId="3" xfId="0" applyNumberFormat="1" applyFont="1" applyFill="1" applyBorder="1" applyAlignment="1">
      <alignment horizontal="right"/>
    </xf>
    <xf numFmtId="3" fontId="33" fillId="16" borderId="5" xfId="0" applyNumberFormat="1" applyFont="1" applyFill="1" applyBorder="1" applyAlignment="1">
      <alignment horizontal="right"/>
    </xf>
    <xf numFmtId="3" fontId="33" fillId="16" borderId="16" xfId="0" applyFont="1" applyFill="1" applyBorder="1"/>
    <xf numFmtId="3" fontId="33" fillId="16" borderId="15" xfId="0" applyFont="1" applyFill="1" applyBorder="1"/>
    <xf numFmtId="3" fontId="31" fillId="16" borderId="69" xfId="0" applyFont="1" applyFill="1" applyBorder="1" applyAlignment="1">
      <alignment vertical="center"/>
    </xf>
    <xf numFmtId="3" fontId="44" fillId="16" borderId="16" xfId="0" applyFont="1" applyFill="1" applyBorder="1"/>
    <xf numFmtId="2" fontId="43" fillId="14" borderId="70" xfId="1" applyNumberFormat="1" applyFont="1" applyFill="1" applyBorder="1" applyAlignment="1">
      <alignment horizontal="center"/>
    </xf>
    <xf numFmtId="2" fontId="43" fillId="14" borderId="4" xfId="7" applyNumberFormat="1" applyFont="1" applyFill="1" applyBorder="1" applyAlignment="1">
      <alignment horizontal="center"/>
    </xf>
    <xf numFmtId="2" fontId="43" fillId="14" borderId="4" xfId="1" applyNumberFormat="1" applyFont="1" applyFill="1" applyBorder="1" applyAlignment="1">
      <alignment horizontal="center"/>
    </xf>
    <xf numFmtId="2" fontId="43" fillId="14" borderId="5" xfId="1" applyNumberFormat="1" applyFont="1" applyFill="1" applyBorder="1" applyAlignment="1">
      <alignment horizontal="center"/>
    </xf>
    <xf numFmtId="172" fontId="19" fillId="0" borderId="0" xfId="7" applyNumberFormat="1" applyFont="1" applyBorder="1" applyAlignment="1">
      <alignment horizontal="right"/>
    </xf>
    <xf numFmtId="169" fontId="43" fillId="14" borderId="0" xfId="7" applyNumberFormat="1" applyFont="1" applyFill="1" applyBorder="1" applyAlignment="1">
      <alignment horizontal="center"/>
    </xf>
    <xf numFmtId="2" fontId="43" fillId="14" borderId="0" xfId="7" applyNumberFormat="1" applyFont="1" applyFill="1" applyBorder="1" applyAlignment="1">
      <alignment horizontal="center"/>
    </xf>
    <xf numFmtId="0" fontId="49" fillId="9" borderId="47" xfId="23" applyNumberFormat="1" applyFont="1" applyFill="1" applyBorder="1" applyAlignment="1" applyProtection="1">
      <alignment horizontal="centerContinuous"/>
    </xf>
    <xf numFmtId="0" fontId="49" fillId="5" borderId="44" xfId="23" applyNumberFormat="1" applyFont="1" applyFill="1" applyBorder="1" applyAlignment="1" applyProtection="1">
      <alignment horizontal="centerContinuous"/>
    </xf>
    <xf numFmtId="3" fontId="41" fillId="0" borderId="7" xfId="0" applyFont="1" applyFill="1" applyBorder="1"/>
    <xf numFmtId="168" fontId="27" fillId="0" borderId="8" xfId="0" applyNumberFormat="1" applyFont="1" applyFill="1" applyBorder="1"/>
    <xf numFmtId="168" fontId="27" fillId="0" borderId="7" xfId="0" applyNumberFormat="1" applyFont="1" applyFill="1" applyBorder="1"/>
    <xf numFmtId="3" fontId="19" fillId="0" borderId="7" xfId="0" applyFont="1" applyFill="1" applyBorder="1"/>
    <xf numFmtId="3" fontId="44" fillId="9" borderId="37" xfId="23" applyNumberFormat="1" applyFont="1" applyFill="1" applyBorder="1" applyAlignment="1" applyProtection="1">
      <alignment horizontal="right"/>
    </xf>
    <xf numFmtId="3" fontId="44" fillId="9" borderId="15" xfId="23" applyNumberFormat="1" applyFont="1" applyFill="1" applyBorder="1" applyAlignment="1" applyProtection="1">
      <alignment horizontal="right"/>
    </xf>
    <xf numFmtId="3" fontId="49" fillId="5" borderId="37" xfId="23" applyNumberFormat="1" applyFont="1" applyFill="1" applyBorder="1" applyAlignment="1" applyProtection="1">
      <alignment horizontal="right"/>
    </xf>
    <xf numFmtId="3" fontId="49" fillId="5" borderId="15" xfId="23" applyNumberFormat="1" applyFont="1" applyFill="1" applyBorder="1" applyAlignment="1" applyProtection="1">
      <alignment horizontal="right"/>
    </xf>
    <xf numFmtId="3" fontId="49" fillId="5" borderId="50" xfId="23" applyNumberFormat="1" applyFont="1" applyFill="1" applyBorder="1" applyAlignment="1" applyProtection="1">
      <alignment horizontal="right"/>
    </xf>
    <xf numFmtId="3" fontId="44" fillId="9" borderId="0" xfId="23" applyNumberFormat="1" applyFont="1" applyFill="1" applyBorder="1" applyAlignment="1" applyProtection="1">
      <alignment horizontal="right"/>
    </xf>
    <xf numFmtId="3" fontId="49" fillId="5" borderId="52" xfId="23" applyNumberFormat="1" applyFont="1" applyFill="1" applyBorder="1" applyAlignment="1" applyProtection="1">
      <alignment horizontal="right"/>
    </xf>
    <xf numFmtId="3" fontId="44" fillId="9" borderId="51" xfId="23" applyNumberFormat="1" applyFont="1" applyFill="1" applyBorder="1" applyAlignment="1" applyProtection="1">
      <alignment horizontal="right"/>
    </xf>
    <xf numFmtId="49" fontId="19" fillId="13" borderId="0" xfId="30" applyNumberFormat="1" applyFont="1" applyFill="1" applyBorder="1" applyAlignment="1" applyProtection="1">
      <alignment horizontal="center"/>
      <protection locked="0"/>
    </xf>
    <xf numFmtId="49" fontId="19" fillId="13" borderId="0" xfId="30" applyNumberFormat="1" applyFont="1" applyFill="1" applyBorder="1" applyAlignment="1" applyProtection="1">
      <alignment horizontal="left"/>
      <protection locked="0"/>
    </xf>
    <xf numFmtId="49" fontId="52" fillId="15" borderId="0" xfId="31" applyNumberFormat="1" applyFont="1" applyFill="1" applyBorder="1" applyAlignment="1" applyProtection="1">
      <alignment horizontal="left"/>
      <protection locked="0"/>
    </xf>
    <xf numFmtId="1" fontId="19" fillId="13" borderId="0" xfId="30" applyNumberFormat="1" applyFont="1" applyFill="1" applyBorder="1" applyAlignment="1" applyProtection="1">
      <alignment horizontal="center"/>
      <protection locked="0"/>
    </xf>
    <xf numFmtId="1" fontId="19" fillId="13" borderId="0" xfId="32" applyNumberFormat="1" applyFont="1" applyFill="1" applyBorder="1" applyAlignment="1" applyProtection="1">
      <alignment horizontal="center"/>
      <protection locked="0"/>
    </xf>
    <xf numFmtId="165" fontId="19" fillId="8" borderId="49" xfId="23" applyNumberFormat="1" applyFont="1" applyFill="1" applyBorder="1" applyAlignment="1" applyProtection="1">
      <alignment horizontal="center"/>
      <protection locked="0"/>
    </xf>
    <xf numFmtId="165" fontId="27" fillId="0" borderId="0" xfId="23" applyNumberFormat="1" applyFont="1" applyFill="1" applyBorder="1" applyAlignment="1" applyProtection="1">
      <alignment horizontal="center"/>
      <protection locked="0"/>
    </xf>
    <xf numFmtId="3" fontId="19" fillId="8" borderId="37" xfId="23" applyNumberFormat="1" applyFont="1" applyFill="1" applyBorder="1" applyAlignment="1" applyProtection="1">
      <alignment horizontal="right"/>
      <protection locked="0"/>
    </xf>
    <xf numFmtId="3" fontId="27" fillId="0" borderId="0" xfId="23" applyNumberFormat="1" applyFont="1" applyFill="1" applyBorder="1" applyAlignment="1" applyProtection="1">
      <alignment horizontal="right"/>
      <protection locked="0"/>
    </xf>
    <xf numFmtId="3" fontId="19" fillId="8" borderId="49" xfId="23" applyNumberFormat="1" applyFont="1" applyFill="1" applyBorder="1" applyAlignment="1" applyProtection="1">
      <alignment horizontal="right"/>
      <protection locked="0"/>
    </xf>
    <xf numFmtId="3" fontId="19" fillId="8" borderId="51" xfId="23" applyNumberFormat="1" applyFont="1" applyFill="1" applyBorder="1" applyAlignment="1" applyProtection="1">
      <alignment horizontal="right"/>
      <protection locked="0"/>
    </xf>
    <xf numFmtId="3" fontId="27" fillId="0" borderId="15" xfId="23" applyNumberFormat="1" applyFont="1" applyFill="1" applyBorder="1" applyAlignment="1" applyProtection="1">
      <alignment horizontal="right"/>
      <protection locked="0"/>
    </xf>
    <xf numFmtId="49" fontId="19" fillId="13" borderId="15" xfId="5" applyNumberFormat="1" applyFont="1" applyFill="1" applyBorder="1" applyAlignment="1" applyProtection="1">
      <alignment horizontal="center"/>
      <protection locked="0"/>
    </xf>
    <xf numFmtId="49" fontId="19" fillId="15" borderId="0" xfId="31" applyNumberFormat="1" applyFont="1" applyFill="1" applyBorder="1" applyAlignment="1" applyProtection="1">
      <alignment horizontal="left"/>
      <protection locked="0"/>
    </xf>
    <xf numFmtId="1" fontId="19" fillId="13" borderId="0" xfId="5" applyNumberFormat="1" applyFont="1" applyFill="1" applyBorder="1" applyAlignment="1" applyProtection="1">
      <alignment horizontal="center"/>
      <protection locked="0"/>
    </xf>
    <xf numFmtId="1" fontId="19" fillId="13" borderId="0" xfId="24" applyNumberFormat="1" applyFont="1" applyFill="1" applyBorder="1" applyAlignment="1" applyProtection="1">
      <alignment horizontal="center"/>
      <protection locked="0"/>
    </xf>
    <xf numFmtId="49" fontId="19" fillId="13" borderId="15" xfId="30" applyNumberFormat="1" applyFont="1" applyFill="1" applyBorder="1" applyAlignment="1" applyProtection="1">
      <alignment horizontal="center"/>
      <protection locked="0"/>
    </xf>
    <xf numFmtId="49" fontId="19" fillId="13" borderId="0" xfId="31" applyNumberFormat="1" applyFont="1" applyFill="1" applyBorder="1" applyAlignment="1" applyProtection="1">
      <alignment horizontal="left"/>
      <protection locked="0"/>
    </xf>
    <xf numFmtId="49" fontId="19" fillId="2" borderId="0" xfId="31" applyNumberFormat="1" applyFont="1" applyFill="1" applyBorder="1" applyAlignment="1" applyProtection="1">
      <alignment horizontal="left"/>
      <protection locked="0"/>
    </xf>
    <xf numFmtId="49" fontId="19" fillId="2" borderId="0" xfId="23" applyNumberFormat="1" applyFont="1" applyFill="1" applyBorder="1" applyAlignment="1" applyProtection="1">
      <alignment horizontal="left"/>
      <protection locked="0"/>
    </xf>
    <xf numFmtId="3" fontId="44" fillId="9" borderId="37" xfId="23" applyNumberFormat="1" applyFont="1" applyFill="1" applyBorder="1" applyAlignment="1" applyProtection="1">
      <alignment horizontal="right"/>
    </xf>
    <xf numFmtId="3" fontId="44" fillId="9" borderId="15" xfId="23" applyNumberFormat="1" applyFont="1" applyFill="1" applyBorder="1" applyAlignment="1" applyProtection="1">
      <alignment horizontal="right"/>
    </xf>
    <xf numFmtId="3" fontId="49" fillId="5" borderId="37" xfId="23" applyNumberFormat="1" applyFont="1" applyFill="1" applyBorder="1" applyAlignment="1" applyProtection="1">
      <alignment horizontal="right"/>
    </xf>
    <xf numFmtId="3" fontId="49" fillId="5" borderId="15" xfId="23" applyNumberFormat="1" applyFont="1" applyFill="1" applyBorder="1" applyAlignment="1" applyProtection="1">
      <alignment horizontal="right"/>
    </xf>
    <xf numFmtId="3" fontId="49" fillId="5" borderId="50" xfId="23" applyNumberFormat="1" applyFont="1" applyFill="1" applyBorder="1" applyAlignment="1" applyProtection="1">
      <alignment horizontal="right"/>
    </xf>
    <xf numFmtId="3" fontId="44" fillId="9" borderId="0" xfId="23" applyNumberFormat="1" applyFont="1" applyFill="1" applyBorder="1" applyAlignment="1" applyProtection="1">
      <alignment horizontal="right"/>
    </xf>
    <xf numFmtId="3" fontId="49" fillId="5" borderId="52" xfId="23" applyNumberFormat="1" applyFont="1" applyFill="1" applyBorder="1" applyAlignment="1" applyProtection="1">
      <alignment horizontal="right"/>
    </xf>
    <xf numFmtId="3" fontId="44" fillId="9" borderId="51" xfId="23" applyNumberFormat="1" applyFont="1" applyFill="1" applyBorder="1" applyAlignment="1" applyProtection="1">
      <alignment horizontal="right"/>
    </xf>
    <xf numFmtId="165" fontId="19" fillId="8" borderId="49" xfId="23" applyNumberFormat="1" applyFont="1" applyFill="1" applyBorder="1" applyAlignment="1" applyProtection="1">
      <alignment horizontal="center"/>
      <protection locked="0"/>
    </xf>
    <xf numFmtId="165" fontId="27" fillId="0" borderId="0" xfId="23" applyNumberFormat="1" applyFont="1" applyFill="1" applyBorder="1" applyAlignment="1" applyProtection="1">
      <alignment horizontal="center"/>
      <protection locked="0"/>
    </xf>
    <xf numFmtId="3" fontId="19" fillId="8" borderId="37" xfId="23" applyNumberFormat="1" applyFont="1" applyFill="1" applyBorder="1" applyAlignment="1" applyProtection="1">
      <alignment horizontal="right"/>
      <protection locked="0"/>
    </xf>
    <xf numFmtId="3" fontId="19" fillId="8" borderId="49" xfId="23" applyNumberFormat="1" applyFont="1" applyFill="1" applyBorder="1" applyAlignment="1" applyProtection="1">
      <alignment horizontal="right"/>
      <protection locked="0"/>
    </xf>
    <xf numFmtId="3" fontId="19" fillId="8" borderId="51" xfId="23" applyNumberFormat="1" applyFont="1" applyFill="1" applyBorder="1" applyAlignment="1" applyProtection="1">
      <alignment horizontal="right"/>
      <protection locked="0"/>
    </xf>
    <xf numFmtId="3" fontId="27" fillId="0" borderId="0" xfId="23" applyNumberFormat="1" applyFont="1" applyFill="1" applyBorder="1" applyAlignment="1" applyProtection="1">
      <alignment horizontal="right"/>
      <protection locked="0"/>
    </xf>
    <xf numFmtId="3" fontId="27" fillId="0" borderId="15" xfId="23" applyNumberFormat="1" applyFont="1" applyFill="1" applyBorder="1" applyAlignment="1" applyProtection="1">
      <alignment horizontal="right"/>
      <protection locked="0"/>
    </xf>
    <xf numFmtId="49" fontId="19" fillId="2" borderId="0" xfId="23" applyNumberFormat="1" applyFont="1" applyFill="1" applyBorder="1" applyAlignment="1" applyProtection="1">
      <alignment horizontal="center"/>
      <protection locked="0"/>
    </xf>
    <xf numFmtId="49" fontId="19" fillId="13" borderId="0" xfId="23" applyNumberFormat="1" applyFont="1" applyFill="1" applyBorder="1" applyAlignment="1" applyProtection="1">
      <alignment horizontal="center"/>
      <protection locked="0"/>
    </xf>
    <xf numFmtId="49" fontId="19" fillId="13" borderId="0" xfId="23" applyNumberFormat="1" applyFont="1" applyFill="1" applyBorder="1" applyAlignment="1" applyProtection="1">
      <alignment horizontal="left"/>
      <protection locked="0"/>
    </xf>
    <xf numFmtId="3" fontId="27" fillId="0" borderId="0" xfId="23" applyNumberFormat="1" applyFont="1" applyFill="1" applyBorder="1" applyAlignment="1" applyProtection="1">
      <alignment horizontal="right" vertical="center"/>
      <protection locked="0"/>
    </xf>
    <xf numFmtId="49" fontId="19" fillId="13" borderId="0" xfId="23" applyNumberFormat="1" applyFont="1" applyFill="1" applyBorder="1" applyAlignment="1" applyProtection="1">
      <protection locked="0"/>
    </xf>
    <xf numFmtId="49" fontId="19" fillId="13" borderId="0" xfId="24" applyNumberFormat="1" applyFont="1" applyFill="1" applyBorder="1" applyAlignment="1" applyProtection="1">
      <alignment horizontal="left"/>
      <protection locked="0"/>
    </xf>
    <xf numFmtId="3" fontId="19" fillId="13" borderId="0" xfId="5" applyFont="1" applyFill="1" applyBorder="1" applyAlignment="1" applyProtection="1">
      <protection locked="0"/>
    </xf>
    <xf numFmtId="1" fontId="27" fillId="2" borderId="0" xfId="24" applyNumberFormat="1" applyFont="1" applyFill="1" applyBorder="1" applyAlignment="1" applyProtection="1">
      <alignment horizontal="center"/>
      <protection locked="0"/>
    </xf>
    <xf numFmtId="49" fontId="53" fillId="2" borderId="0" xfId="31" applyNumberFormat="1" applyFont="1" applyFill="1" applyBorder="1" applyAlignment="1" applyProtection="1">
      <alignment horizontal="left"/>
      <protection locked="0"/>
    </xf>
    <xf numFmtId="1" fontId="41" fillId="2" borderId="0" xfId="24" applyNumberFormat="1" applyFont="1" applyFill="1" applyBorder="1" applyAlignment="1" applyProtection="1">
      <alignment horizontal="center"/>
      <protection locked="0"/>
    </xf>
    <xf numFmtId="49" fontId="52" fillId="15" borderId="0" xfId="31" applyNumberFormat="1" applyFont="1" applyFill="1" applyBorder="1" applyAlignment="1" applyProtection="1">
      <alignment horizontal="left"/>
      <protection locked="0"/>
    </xf>
    <xf numFmtId="49" fontId="52" fillId="13" borderId="0" xfId="24" applyNumberFormat="1" applyFont="1" applyFill="1" applyBorder="1" applyAlignment="1" applyProtection="1">
      <alignment horizontal="left"/>
      <protection locked="0"/>
    </xf>
    <xf numFmtId="49" fontId="52" fillId="13" borderId="0" xfId="1404" applyNumberFormat="1" applyFont="1" applyFill="1" applyBorder="1" applyAlignment="1" applyProtection="1">
      <alignment horizontal="left"/>
      <protection locked="0"/>
    </xf>
    <xf numFmtId="3" fontId="52" fillId="13" borderId="0" xfId="5" applyFont="1" applyFill="1" applyBorder="1" applyAlignment="1" applyProtection="1">
      <protection locked="0"/>
    </xf>
    <xf numFmtId="49" fontId="53" fillId="15" borderId="0" xfId="31" applyNumberFormat="1" applyFont="1" applyFill="1" applyBorder="1" applyAlignment="1" applyProtection="1">
      <alignment horizontal="left"/>
      <protection locked="0"/>
    </xf>
    <xf numFmtId="1" fontId="19" fillId="13" borderId="0" xfId="1404" applyNumberFormat="1" applyFont="1" applyFill="1" applyBorder="1" applyAlignment="1" applyProtection="1">
      <alignment horizontal="center"/>
      <protection locked="0"/>
    </xf>
    <xf numFmtId="1" fontId="27" fillId="13" borderId="0" xfId="24" applyNumberFormat="1" applyFont="1" applyFill="1" applyBorder="1" applyAlignment="1" applyProtection="1">
      <alignment horizontal="center"/>
      <protection locked="0"/>
    </xf>
    <xf numFmtId="49" fontId="19" fillId="13" borderId="0" xfId="5555" applyNumberFormat="1" applyFont="1" applyFill="1" applyBorder="1" applyAlignment="1" applyProtection="1">
      <alignment horizontal="center"/>
      <protection locked="0"/>
    </xf>
    <xf numFmtId="49" fontId="27" fillId="13" borderId="0" xfId="24" applyNumberFormat="1" applyFont="1" applyFill="1" applyBorder="1" applyAlignment="1" applyProtection="1">
      <alignment horizontal="left"/>
      <protection locked="0"/>
    </xf>
    <xf numFmtId="49" fontId="41" fillId="13" borderId="0" xfId="24" applyNumberFormat="1" applyFont="1" applyFill="1" applyBorder="1" applyAlignment="1" applyProtection="1">
      <alignment horizontal="left"/>
      <protection locked="0"/>
    </xf>
    <xf numFmtId="49" fontId="27" fillId="13" borderId="0" xfId="5554" applyNumberFormat="1" applyFont="1" applyFill="1" applyBorder="1" applyAlignment="1" applyProtection="1">
      <alignment horizontal="left"/>
      <protection locked="0"/>
    </xf>
    <xf numFmtId="1" fontId="19" fillId="13" borderId="0" xfId="24" applyNumberFormat="1" applyFont="1" applyFill="1" applyBorder="1" applyAlignment="1" applyProtection="1">
      <alignment horizontal="center"/>
      <protection locked="0"/>
    </xf>
    <xf numFmtId="1" fontId="41" fillId="13" borderId="0" xfId="24" applyNumberFormat="1" applyFont="1" applyFill="1" applyBorder="1" applyAlignment="1" applyProtection="1">
      <alignment horizontal="center"/>
      <protection locked="0"/>
    </xf>
    <xf numFmtId="1" fontId="19" fillId="2" borderId="0" xfId="24" applyNumberFormat="1" applyFont="1" applyFill="1" applyBorder="1" applyAlignment="1" applyProtection="1">
      <alignment horizontal="center"/>
      <protection locked="0"/>
    </xf>
    <xf numFmtId="49" fontId="52" fillId="2" borderId="0" xfId="31" applyNumberFormat="1" applyFont="1" applyFill="1" applyBorder="1" applyAlignment="1" applyProtection="1">
      <alignment horizontal="left"/>
      <protection locked="0"/>
    </xf>
    <xf numFmtId="49" fontId="19" fillId="41" borderId="0" xfId="23" applyNumberFormat="1" applyFont="1" applyFill="1" applyBorder="1" applyAlignment="1" applyProtection="1">
      <alignment horizontal="left"/>
      <protection locked="0"/>
    </xf>
    <xf numFmtId="1" fontId="19" fillId="0" borderId="0" xfId="5" applyNumberFormat="1" applyFont="1" applyFill="1" applyBorder="1" applyAlignment="1"/>
    <xf numFmtId="49" fontId="52" fillId="41" borderId="0" xfId="31" applyNumberFormat="1" applyFont="1" applyFill="1" applyBorder="1" applyAlignment="1" applyProtection="1">
      <alignment horizontal="left"/>
      <protection locked="0"/>
    </xf>
    <xf numFmtId="49" fontId="19" fillId="41" borderId="15" xfId="23" applyNumberFormat="1" applyFont="1" applyFill="1" applyBorder="1" applyAlignment="1" applyProtection="1">
      <alignment horizontal="center"/>
      <protection locked="0"/>
    </xf>
    <xf numFmtId="49" fontId="19" fillId="41" borderId="0" xfId="31" applyNumberFormat="1" applyFont="1" applyFill="1" applyBorder="1" applyAlignment="1" applyProtection="1">
      <alignment horizontal="left"/>
      <protection locked="0"/>
    </xf>
    <xf numFmtId="49" fontId="53" fillId="41" borderId="0" xfId="31" applyNumberFormat="1" applyFont="1" applyFill="1" applyBorder="1" applyAlignment="1" applyProtection="1">
      <alignment horizontal="left"/>
      <protection locked="0"/>
    </xf>
    <xf numFmtId="1" fontId="41" fillId="41" borderId="0" xfId="24" applyNumberFormat="1" applyFont="1" applyFill="1" applyBorder="1" applyAlignment="1" applyProtection="1">
      <alignment horizontal="center"/>
      <protection locked="0"/>
    </xf>
    <xf numFmtId="3" fontId="19" fillId="41" borderId="0" xfId="5" applyFont="1" applyFill="1" applyBorder="1" applyAlignment="1" applyProtection="1">
      <protection locked="0"/>
    </xf>
    <xf numFmtId="49" fontId="19" fillId="41" borderId="0" xfId="5" applyNumberFormat="1" applyFont="1" applyFill="1" applyBorder="1" applyAlignment="1" applyProtection="1">
      <alignment horizontal="left"/>
      <protection locked="0"/>
    </xf>
    <xf numFmtId="49" fontId="19" fillId="43" borderId="15" xfId="30" applyNumberFormat="1" applyFont="1" applyFill="1" applyBorder="1" applyAlignment="1" applyProtection="1">
      <alignment horizontal="center"/>
      <protection locked="0"/>
    </xf>
    <xf numFmtId="49" fontId="19" fillId="43" borderId="0" xfId="31" applyNumberFormat="1" applyFont="1" applyFill="1" applyBorder="1" applyAlignment="1" applyProtection="1">
      <alignment horizontal="left"/>
      <protection locked="0"/>
    </xf>
    <xf numFmtId="1" fontId="19" fillId="41" borderId="0" xfId="5" applyNumberFormat="1" applyFont="1" applyFill="1" applyBorder="1" applyAlignment="1" applyProtection="1">
      <alignment horizontal="center"/>
      <protection locked="0"/>
    </xf>
    <xf numFmtId="3" fontId="19" fillId="14" borderId="37" xfId="23" applyNumberFormat="1" applyFont="1" applyFill="1" applyBorder="1" applyAlignment="1" applyProtection="1">
      <alignment horizontal="right"/>
      <protection locked="0"/>
    </xf>
    <xf numFmtId="3" fontId="27" fillId="14" borderId="0" xfId="23" applyNumberFormat="1" applyFont="1" applyFill="1" applyBorder="1" applyAlignment="1" applyProtection="1">
      <alignment horizontal="right"/>
      <protection locked="0"/>
    </xf>
    <xf numFmtId="1" fontId="19" fillId="41" borderId="0" xfId="31" applyNumberFormat="1" applyFont="1" applyFill="1" applyBorder="1" applyAlignment="1" applyProtection="1">
      <alignment horizontal="center"/>
      <protection locked="0"/>
    </xf>
    <xf numFmtId="1" fontId="19" fillId="41" borderId="0" xfId="24" applyNumberFormat="1" applyFont="1" applyFill="1" applyBorder="1" applyAlignment="1" applyProtection="1">
      <alignment horizontal="center"/>
      <protection locked="0"/>
    </xf>
    <xf numFmtId="1" fontId="27" fillId="41" borderId="0" xfId="24" applyNumberFormat="1" applyFont="1" applyFill="1" applyBorder="1" applyAlignment="1" applyProtection="1">
      <alignment horizontal="center"/>
      <protection locked="0"/>
    </xf>
    <xf numFmtId="3" fontId="52" fillId="41" borderId="0" xfId="5" applyFont="1" applyFill="1" applyBorder="1" applyAlignment="1" applyProtection="1">
      <protection locked="0"/>
    </xf>
    <xf numFmtId="3" fontId="27" fillId="41" borderId="0" xfId="5" applyFont="1" applyFill="1" applyBorder="1" applyAlignment="1" applyProtection="1">
      <alignment horizontal="center"/>
      <protection locked="0"/>
    </xf>
    <xf numFmtId="1" fontId="19" fillId="43" borderId="0" xfId="24" applyNumberFormat="1" applyFont="1" applyFill="1" applyBorder="1" applyAlignment="1" applyProtection="1">
      <alignment horizontal="center"/>
      <protection locked="0"/>
    </xf>
    <xf numFmtId="49" fontId="52" fillId="41" borderId="0" xfId="5" applyNumberFormat="1" applyFont="1" applyFill="1" applyBorder="1" applyAlignment="1" applyProtection="1">
      <alignment horizontal="left"/>
      <protection locked="0"/>
    </xf>
    <xf numFmtId="1" fontId="19" fillId="42" borderId="0" xfId="1397" applyNumberFormat="1" applyFont="1" applyFill="1" applyBorder="1" applyAlignment="1" applyProtection="1">
      <alignment horizontal="center"/>
      <protection locked="0"/>
    </xf>
    <xf numFmtId="49" fontId="52" fillId="43" borderId="0" xfId="31" applyNumberFormat="1" applyFont="1" applyFill="1" applyBorder="1" applyAlignment="1" applyProtection="1">
      <alignment horizontal="left"/>
      <protection locked="0"/>
    </xf>
    <xf numFmtId="49" fontId="19" fillId="44" borderId="15" xfId="23" applyNumberFormat="1" applyFont="1" applyFill="1" applyBorder="1" applyAlignment="1" applyProtection="1">
      <alignment horizontal="center"/>
      <protection locked="0"/>
    </xf>
    <xf numFmtId="49" fontId="19" fillId="44" borderId="0" xfId="23" applyNumberFormat="1" applyFont="1" applyFill="1" applyBorder="1" applyAlignment="1" applyProtection="1">
      <alignment horizontal="left"/>
      <protection locked="0"/>
    </xf>
    <xf numFmtId="49" fontId="19" fillId="44" borderId="0" xfId="31" applyNumberFormat="1" applyFont="1" applyFill="1" applyBorder="1" applyAlignment="1" applyProtection="1">
      <alignment horizontal="left"/>
      <protection locked="0"/>
    </xf>
    <xf numFmtId="49" fontId="27" fillId="44" borderId="0" xfId="31" applyNumberFormat="1" applyFont="1" applyFill="1" applyBorder="1" applyAlignment="1" applyProtection="1">
      <alignment horizontal="left"/>
      <protection locked="0"/>
    </xf>
    <xf numFmtId="1" fontId="19" fillId="44" borderId="0" xfId="30" applyNumberFormat="1" applyFont="1" applyFill="1" applyBorder="1" applyAlignment="1" applyProtection="1">
      <alignment horizontal="center"/>
      <protection locked="0"/>
    </xf>
    <xf numFmtId="1" fontId="19" fillId="44" borderId="0" xfId="32" applyNumberFormat="1" applyFont="1" applyFill="1" applyBorder="1" applyAlignment="1" applyProtection="1">
      <alignment horizontal="center"/>
      <protection locked="0"/>
    </xf>
    <xf numFmtId="49" fontId="41" fillId="44" borderId="0" xfId="31" applyNumberFormat="1" applyFont="1" applyFill="1" applyBorder="1" applyAlignment="1" applyProtection="1">
      <alignment horizontal="left"/>
      <protection locked="0"/>
    </xf>
    <xf numFmtId="1" fontId="19" fillId="44" borderId="0" xfId="24" applyNumberFormat="1" applyFont="1" applyFill="1" applyBorder="1" applyAlignment="1" applyProtection="1">
      <alignment horizontal="center"/>
      <protection locked="0"/>
    </xf>
    <xf numFmtId="1" fontId="41" fillId="44" borderId="0" xfId="32" applyNumberFormat="1" applyFont="1" applyFill="1" applyBorder="1" applyAlignment="1" applyProtection="1">
      <alignment horizontal="center"/>
      <protection locked="0"/>
    </xf>
    <xf numFmtId="49" fontId="19" fillId="45" borderId="0" xfId="23" applyNumberFormat="1" applyFont="1" applyFill="1" applyBorder="1" applyAlignment="1" applyProtection="1">
      <alignment horizontal="center"/>
      <protection locked="0"/>
    </xf>
    <xf numFmtId="49" fontId="19" fillId="45" borderId="0" xfId="23" applyNumberFormat="1" applyFont="1" applyFill="1" applyBorder="1" applyAlignment="1" applyProtection="1">
      <alignment horizontal="left"/>
      <protection locked="0"/>
    </xf>
    <xf numFmtId="3" fontId="82" fillId="0" borderId="0" xfId="0" applyNumberFormat="1" applyFont="1"/>
    <xf numFmtId="49" fontId="19" fillId="45" borderId="0" xfId="24" applyNumberFormat="1" applyFont="1" applyFill="1" applyBorder="1" applyAlignment="1" applyProtection="1">
      <alignment horizontal="left"/>
      <protection locked="0"/>
    </xf>
    <xf numFmtId="164" fontId="19" fillId="45" borderId="0" xfId="24" applyFont="1" applyFill="1" applyBorder="1" applyAlignment="1" applyProtection="1">
      <protection locked="0"/>
    </xf>
    <xf numFmtId="49" fontId="19" fillId="45" borderId="0" xfId="23" applyNumberFormat="1" applyFont="1" applyFill="1" applyBorder="1" applyAlignment="1" applyProtection="1">
      <protection locked="0"/>
    </xf>
    <xf numFmtId="49" fontId="19" fillId="45" borderId="15" xfId="23" applyNumberFormat="1" applyFont="1" applyFill="1" applyBorder="1" applyAlignment="1" applyProtection="1">
      <alignment horizontal="center"/>
      <protection locked="0"/>
    </xf>
    <xf numFmtId="1" fontId="19" fillId="45" borderId="0" xfId="24" applyNumberFormat="1" applyFont="1" applyFill="1" applyBorder="1" applyAlignment="1" applyProtection="1">
      <alignment horizontal="center"/>
      <protection locked="0"/>
    </xf>
    <xf numFmtId="1" fontId="41" fillId="45" borderId="0" xfId="24" applyNumberFormat="1" applyFont="1" applyFill="1" applyBorder="1" applyAlignment="1" applyProtection="1">
      <alignment horizontal="center"/>
      <protection locked="0"/>
    </xf>
    <xf numFmtId="1" fontId="27" fillId="45" borderId="0" xfId="24" applyNumberFormat="1" applyFont="1" applyFill="1" applyBorder="1" applyAlignment="1" applyProtection="1">
      <alignment horizontal="center"/>
      <protection locked="0"/>
    </xf>
    <xf numFmtId="49" fontId="53" fillId="45" borderId="0" xfId="24" applyNumberFormat="1" applyFont="1" applyFill="1" applyBorder="1" applyAlignment="1" applyProtection="1">
      <alignment horizontal="left"/>
      <protection locked="0"/>
    </xf>
    <xf numFmtId="1" fontId="27" fillId="46" borderId="0" xfId="1397" applyNumberFormat="1" applyFont="1" applyFill="1" applyBorder="1" applyAlignment="1" applyProtection="1">
      <alignment horizontal="center"/>
      <protection locked="0"/>
    </xf>
    <xf numFmtId="1" fontId="19" fillId="45" borderId="0" xfId="1404" applyNumberFormat="1" applyFont="1" applyFill="1" applyBorder="1" applyAlignment="1" applyProtection="1">
      <alignment horizontal="center"/>
      <protection locked="0"/>
    </xf>
    <xf numFmtId="49" fontId="52" fillId="45" borderId="0" xfId="24" applyNumberFormat="1" applyFont="1" applyFill="1" applyBorder="1" applyAlignment="1" applyProtection="1">
      <alignment horizontal="center"/>
      <protection locked="0"/>
    </xf>
    <xf numFmtId="1" fontId="19" fillId="46" borderId="0" xfId="1397" applyNumberFormat="1" applyFont="1" applyFill="1" applyBorder="1" applyAlignment="1" applyProtection="1">
      <alignment horizontal="center"/>
      <protection locked="0"/>
    </xf>
    <xf numFmtId="49" fontId="52" fillId="45" borderId="0" xfId="24" applyNumberFormat="1" applyFont="1" applyFill="1" applyBorder="1" applyAlignment="1" applyProtection="1">
      <alignment horizontal="left"/>
      <protection locked="0"/>
    </xf>
    <xf numFmtId="49" fontId="19" fillId="3" borderId="15" xfId="23" applyNumberFormat="1" applyFont="1" applyFill="1" applyBorder="1" applyAlignment="1" applyProtection="1">
      <alignment horizontal="center"/>
      <protection locked="0"/>
    </xf>
    <xf numFmtId="49" fontId="19" fillId="3" borderId="0" xfId="23" applyNumberFormat="1" applyFont="1" applyFill="1" applyBorder="1" applyAlignment="1" applyProtection="1">
      <alignment horizontal="left"/>
      <protection locked="0"/>
    </xf>
    <xf numFmtId="49" fontId="83" fillId="3" borderId="0" xfId="23" applyNumberFormat="1" applyFont="1" applyFill="1" applyBorder="1" applyAlignment="1" applyProtection="1">
      <alignment horizontal="left"/>
      <protection locked="0"/>
    </xf>
    <xf numFmtId="49" fontId="19" fillId="3" borderId="0" xfId="23" applyNumberFormat="1" applyFont="1" applyFill="1" applyBorder="1" applyAlignment="1" applyProtection="1">
      <alignment horizontal="center"/>
      <protection locked="0"/>
    </xf>
    <xf numFmtId="49" fontId="52" fillId="3" borderId="0" xfId="31" applyNumberFormat="1" applyFont="1" applyFill="1" applyBorder="1" applyAlignment="1" applyProtection="1">
      <alignment horizontal="left"/>
      <protection locked="0"/>
    </xf>
    <xf numFmtId="49" fontId="83" fillId="44" borderId="0" xfId="23" applyNumberFormat="1" applyFont="1" applyFill="1" applyBorder="1" applyAlignment="1" applyProtection="1">
      <alignment horizontal="left"/>
      <protection locked="0"/>
    </xf>
    <xf numFmtId="49" fontId="19" fillId="44" borderId="0" xfId="23" applyNumberFormat="1" applyFont="1" applyFill="1" applyBorder="1" applyAlignment="1" applyProtection="1">
      <alignment horizontal="center"/>
      <protection locked="0"/>
    </xf>
    <xf numFmtId="49" fontId="52" fillId="44" borderId="0" xfId="31" applyNumberFormat="1" applyFont="1" applyFill="1" applyBorder="1" applyAlignment="1" applyProtection="1">
      <alignment horizontal="left"/>
      <protection locked="0"/>
    </xf>
    <xf numFmtId="0" fontId="19" fillId="44" borderId="0" xfId="24" applyNumberFormat="1" applyFont="1" applyFill="1" applyBorder="1" applyAlignment="1" applyProtection="1">
      <alignment horizontal="center"/>
      <protection locked="0"/>
    </xf>
    <xf numFmtId="49" fontId="19" fillId="44" borderId="0" xfId="23" applyNumberFormat="1" applyFont="1" applyFill="1" applyBorder="1" applyProtection="1">
      <protection locked="0"/>
    </xf>
    <xf numFmtId="49" fontId="53" fillId="44" borderId="0" xfId="31" applyNumberFormat="1" applyFont="1" applyFill="1" applyBorder="1" applyAlignment="1" applyProtection="1">
      <alignment horizontal="left"/>
      <protection locked="0"/>
    </xf>
    <xf numFmtId="1" fontId="41" fillId="44" borderId="0" xfId="24" applyNumberFormat="1" applyFont="1" applyFill="1" applyBorder="1" applyAlignment="1" applyProtection="1">
      <alignment horizontal="center"/>
      <protection locked="0"/>
    </xf>
    <xf numFmtId="164" fontId="19" fillId="44" borderId="0" xfId="31" applyFont="1" applyFill="1" applyBorder="1" applyProtection="1">
      <protection locked="0"/>
    </xf>
    <xf numFmtId="1" fontId="27" fillId="44" borderId="0" xfId="24" applyNumberFormat="1" applyFont="1" applyFill="1" applyBorder="1" applyAlignment="1" applyProtection="1">
      <alignment horizontal="center"/>
      <protection locked="0"/>
    </xf>
    <xf numFmtId="49" fontId="52" fillId="44" borderId="0" xfId="30" applyNumberFormat="1" applyFont="1" applyFill="1" applyBorder="1" applyAlignment="1" applyProtection="1">
      <alignment horizontal="left"/>
      <protection locked="0"/>
    </xf>
    <xf numFmtId="1" fontId="19" fillId="44" borderId="0" xfId="1404" applyNumberFormat="1" applyFont="1" applyFill="1" applyBorder="1" applyAlignment="1" applyProtection="1">
      <alignment horizontal="center"/>
      <protection locked="0"/>
    </xf>
    <xf numFmtId="1" fontId="19" fillId="44" borderId="0" xfId="31" applyNumberFormat="1" applyFont="1" applyFill="1" applyBorder="1" applyAlignment="1" applyProtection="1">
      <alignment horizontal="center"/>
      <protection locked="0"/>
    </xf>
    <xf numFmtId="49" fontId="19" fillId="2" borderId="15" xfId="23" applyNumberFormat="1" applyFont="1" applyFill="1" applyBorder="1" applyAlignment="1" applyProtection="1">
      <alignment horizontal="center"/>
      <protection locked="0"/>
    </xf>
    <xf numFmtId="49" fontId="19" fillId="2" borderId="0" xfId="23" applyNumberFormat="1" applyFont="1" applyFill="1" applyBorder="1" applyProtection="1">
      <protection locked="0"/>
    </xf>
    <xf numFmtId="49" fontId="83" fillId="2" borderId="0" xfId="23" applyNumberFormat="1" applyFont="1" applyFill="1" applyBorder="1" applyProtection="1">
      <protection locked="0"/>
    </xf>
    <xf numFmtId="49" fontId="83" fillId="2" borderId="0" xfId="23" applyNumberFormat="1" applyFont="1" applyFill="1" applyBorder="1" applyAlignment="1" applyProtection="1">
      <alignment horizontal="left"/>
      <protection locked="0"/>
    </xf>
    <xf numFmtId="49" fontId="52" fillId="2" borderId="0" xfId="23" applyNumberFormat="1" applyFont="1" applyFill="1" applyBorder="1" applyAlignment="1" applyProtection="1">
      <alignment horizontal="left"/>
      <protection locked="0"/>
    </xf>
    <xf numFmtId="49" fontId="19" fillId="2" borderId="0" xfId="26025" applyNumberFormat="1" applyFont="1" applyFill="1" applyBorder="1" applyAlignment="1" applyProtection="1">
      <alignment horizontal="center"/>
      <protection locked="0"/>
    </xf>
    <xf numFmtId="3" fontId="19" fillId="8" borderId="15" xfId="23" applyNumberFormat="1" applyFont="1" applyFill="1" applyBorder="1" applyAlignment="1" applyProtection="1">
      <alignment horizontal="right"/>
      <protection locked="0"/>
    </xf>
    <xf numFmtId="3" fontId="27" fillId="0" borderId="37" xfId="23" applyNumberFormat="1" applyFont="1" applyFill="1" applyBorder="1" applyAlignment="1" applyProtection="1">
      <alignment horizontal="right"/>
      <protection locked="0"/>
    </xf>
    <xf numFmtId="1" fontId="27" fillId="2" borderId="0" xfId="23" applyNumberFormat="1" applyFont="1" applyFill="1" applyBorder="1" applyAlignment="1" applyProtection="1">
      <alignment horizontal="center"/>
      <protection locked="0"/>
    </xf>
    <xf numFmtId="49" fontId="19" fillId="13" borderId="15" xfId="31" applyNumberFormat="1" applyFont="1" applyFill="1" applyBorder="1" applyAlignment="1" applyProtection="1">
      <alignment horizontal="center"/>
      <protection locked="0"/>
    </xf>
    <xf numFmtId="49" fontId="52" fillId="13" borderId="0" xfId="31" applyNumberFormat="1" applyFont="1" applyFill="1" applyBorder="1" applyAlignment="1" applyProtection="1">
      <alignment horizontal="left"/>
      <protection locked="0"/>
    </xf>
    <xf numFmtId="1" fontId="19" fillId="13" borderId="0" xfId="31" applyNumberFormat="1" applyFont="1" applyFill="1" applyBorder="1" applyAlignment="1" applyProtection="1">
      <alignment horizontal="center"/>
      <protection locked="0"/>
    </xf>
    <xf numFmtId="3" fontId="58" fillId="0" borderId="0" xfId="304" applyNumberFormat="1"/>
    <xf numFmtId="3" fontId="7" fillId="0" borderId="0" xfId="989" applyNumberFormat="1"/>
    <xf numFmtId="3" fontId="27" fillId="0" borderId="4" xfId="23" applyNumberFormat="1" applyFont="1" applyFill="1" applyBorder="1" applyAlignment="1" applyProtection="1">
      <alignment horizontal="right"/>
      <protection locked="0"/>
    </xf>
    <xf numFmtId="49" fontId="19" fillId="13" borderId="0" xfId="5" applyNumberFormat="1" applyFont="1" applyFill="1" applyBorder="1" applyAlignment="1" applyProtection="1">
      <alignment horizontal="left"/>
      <protection locked="0"/>
    </xf>
    <xf numFmtId="49" fontId="52" fillId="13" borderId="0" xfId="5" applyNumberFormat="1" applyFont="1" applyFill="1" applyBorder="1" applyAlignment="1" applyProtection="1">
      <alignment horizontal="left"/>
      <protection locked="0"/>
    </xf>
    <xf numFmtId="1" fontId="19" fillId="47" borderId="0" xfId="1397" applyNumberFormat="1" applyFont="1" applyFill="1" applyBorder="1" applyAlignment="1" applyProtection="1">
      <alignment horizontal="center"/>
      <protection locked="0"/>
    </xf>
    <xf numFmtId="49" fontId="19" fillId="13" borderId="15" xfId="23" applyNumberFormat="1" applyFont="1" applyFill="1" applyBorder="1" applyAlignment="1" applyProtection="1">
      <alignment horizontal="center"/>
      <protection locked="0"/>
    </xf>
    <xf numFmtId="3" fontId="7" fillId="0" borderId="0" xfId="987" applyNumberFormat="1"/>
    <xf numFmtId="49" fontId="84" fillId="13" borderId="0" xfId="31" applyNumberFormat="1" applyFont="1" applyFill="1" applyBorder="1" applyAlignment="1" applyProtection="1">
      <alignment horizontal="left"/>
      <protection locked="0"/>
    </xf>
    <xf numFmtId="3" fontId="58" fillId="0" borderId="0" xfId="305" applyNumberFormat="1"/>
    <xf numFmtId="49" fontId="53" fillId="13" borderId="0" xfId="31" applyNumberFormat="1" applyFont="1" applyFill="1" applyBorder="1" applyAlignment="1" applyProtection="1">
      <alignment horizontal="left"/>
      <protection locked="0"/>
    </xf>
    <xf numFmtId="1" fontId="41" fillId="13" borderId="0" xfId="32" applyNumberFormat="1" applyFont="1" applyFill="1" applyBorder="1" applyAlignment="1" applyProtection="1">
      <alignment horizontal="center"/>
      <protection locked="0"/>
    </xf>
    <xf numFmtId="1" fontId="27" fillId="13" borderId="0" xfId="1404" applyNumberFormat="1" applyFont="1" applyFill="1" applyBorder="1" applyAlignment="1" applyProtection="1">
      <alignment horizontal="center"/>
      <protection locked="0"/>
    </xf>
    <xf numFmtId="1" fontId="41" fillId="13" borderId="0" xfId="1404" applyNumberFormat="1" applyFont="1" applyFill="1" applyBorder="1" applyAlignment="1" applyProtection="1">
      <alignment horizontal="center"/>
      <protection locked="0"/>
    </xf>
    <xf numFmtId="49" fontId="19" fillId="3" borderId="0" xfId="31" applyNumberFormat="1" applyFont="1" applyFill="1" applyBorder="1" applyAlignment="1" applyProtection="1">
      <alignment horizontal="left"/>
      <protection locked="0"/>
    </xf>
    <xf numFmtId="1" fontId="19" fillId="3" borderId="0" xfId="24" applyNumberFormat="1" applyFont="1" applyFill="1" applyBorder="1" applyAlignment="1" applyProtection="1">
      <alignment horizontal="center"/>
      <protection locked="0"/>
    </xf>
    <xf numFmtId="49" fontId="53" fillId="3" borderId="0" xfId="31" applyNumberFormat="1" applyFont="1" applyFill="1" applyBorder="1" applyAlignment="1" applyProtection="1">
      <alignment horizontal="left"/>
      <protection locked="0"/>
    </xf>
    <xf numFmtId="49" fontId="52" fillId="3" borderId="0" xfId="23" applyNumberFormat="1" applyFont="1" applyFill="1" applyBorder="1" applyAlignment="1" applyProtection="1">
      <alignment horizontal="left"/>
      <protection locked="0"/>
    </xf>
    <xf numFmtId="49" fontId="19" fillId="3" borderId="0" xfId="23" applyNumberFormat="1" applyFont="1" applyFill="1" applyBorder="1" applyAlignment="1" applyProtection="1">
      <protection locked="0"/>
    </xf>
    <xf numFmtId="49" fontId="19" fillId="48" borderId="0" xfId="23" applyNumberFormat="1" applyFont="1" applyFill="1" applyBorder="1" applyAlignment="1" applyProtection="1">
      <alignment horizontal="center"/>
      <protection locked="0"/>
    </xf>
    <xf numFmtId="49" fontId="19" fillId="49" borderId="0" xfId="23" applyNumberFormat="1" applyFont="1" applyFill="1" applyBorder="1" applyAlignment="1" applyProtection="1">
      <protection locked="0"/>
    </xf>
    <xf numFmtId="49" fontId="52" fillId="49" borderId="0" xfId="23" applyNumberFormat="1" applyFont="1" applyFill="1" applyBorder="1" applyAlignment="1" applyProtection="1">
      <protection locked="0"/>
    </xf>
    <xf numFmtId="3" fontId="19" fillId="3" borderId="0" xfId="5" applyFont="1" applyFill="1" applyBorder="1" applyAlignment="1" applyProtection="1">
      <protection locked="0"/>
    </xf>
    <xf numFmtId="3" fontId="52" fillId="3" borderId="0" xfId="5" applyFont="1" applyFill="1" applyBorder="1" applyAlignment="1" applyProtection="1">
      <protection locked="0"/>
    </xf>
    <xf numFmtId="49" fontId="19" fillId="50" borderId="0" xfId="23" applyNumberFormat="1" applyFont="1" applyFill="1" applyBorder="1" applyAlignment="1" applyProtection="1">
      <protection locked="0"/>
    </xf>
    <xf numFmtId="49" fontId="52" fillId="50" borderId="0" xfId="23" applyNumberFormat="1" applyFont="1" applyFill="1" applyBorder="1" applyAlignment="1" applyProtection="1">
      <protection locked="0"/>
    </xf>
    <xf numFmtId="49" fontId="19" fillId="51" borderId="0" xfId="23" applyNumberFormat="1" applyFont="1" applyFill="1" applyBorder="1" applyAlignment="1" applyProtection="1">
      <protection locked="0"/>
    </xf>
    <xf numFmtId="49" fontId="52" fillId="51" borderId="0" xfId="23" applyNumberFormat="1" applyFont="1" applyFill="1" applyBorder="1" applyAlignment="1" applyProtection="1">
      <protection locked="0"/>
    </xf>
    <xf numFmtId="49" fontId="19" fillId="52" borderId="0" xfId="23" applyNumberFormat="1" applyFont="1" applyFill="1" applyBorder="1" applyAlignment="1" applyProtection="1">
      <protection locked="0"/>
    </xf>
    <xf numFmtId="49" fontId="52" fillId="52" borderId="0" xfId="23" applyNumberFormat="1" applyFont="1" applyFill="1" applyBorder="1" applyAlignment="1" applyProtection="1">
      <protection locked="0"/>
    </xf>
    <xf numFmtId="49" fontId="52" fillId="3" borderId="0" xfId="5" applyNumberFormat="1" applyFont="1" applyFill="1" applyBorder="1" applyAlignment="1" applyProtection="1">
      <alignment horizontal="left"/>
      <protection locked="0"/>
    </xf>
    <xf numFmtId="49" fontId="19" fillId="53" borderId="0" xfId="23" applyNumberFormat="1" applyFont="1" applyFill="1" applyBorder="1" applyAlignment="1" applyProtection="1">
      <protection locked="0"/>
    </xf>
    <xf numFmtId="49" fontId="52" fillId="53" borderId="0" xfId="23" applyNumberFormat="1" applyFont="1" applyFill="1" applyBorder="1" applyAlignment="1" applyProtection="1">
      <protection locked="0"/>
    </xf>
    <xf numFmtId="49" fontId="19" fillId="54" borderId="0" xfId="23" applyNumberFormat="1" applyFont="1" applyFill="1" applyBorder="1" applyAlignment="1" applyProtection="1">
      <protection locked="0"/>
    </xf>
    <xf numFmtId="49" fontId="52" fillId="54" borderId="0" xfId="23" applyNumberFormat="1" applyFont="1" applyFill="1" applyBorder="1" applyAlignment="1" applyProtection="1">
      <protection locked="0"/>
    </xf>
    <xf numFmtId="165" fontId="19" fillId="8" borderId="15" xfId="23" applyNumberFormat="1" applyFont="1" applyFill="1" applyBorder="1" applyAlignment="1" applyProtection="1">
      <alignment horizontal="right"/>
      <protection locked="0"/>
    </xf>
    <xf numFmtId="0" fontId="19" fillId="48" borderId="0" xfId="23" applyNumberFormat="1" applyFont="1" applyFill="1" applyBorder="1" applyAlignment="1" applyProtection="1">
      <alignment horizontal="center"/>
      <protection locked="0"/>
    </xf>
    <xf numFmtId="165" fontId="19" fillId="0" borderId="0" xfId="23" applyNumberFormat="1" applyFont="1" applyFill="1" applyBorder="1" applyAlignment="1" applyProtection="1">
      <alignment horizontal="right"/>
      <protection locked="0"/>
    </xf>
    <xf numFmtId="1" fontId="27" fillId="3" borderId="0" xfId="24" applyNumberFormat="1" applyFont="1" applyFill="1" applyBorder="1" applyAlignment="1" applyProtection="1">
      <alignment horizontal="center"/>
      <protection locked="0"/>
    </xf>
    <xf numFmtId="1" fontId="41" fillId="3" borderId="0" xfId="5" quotePrefix="1" applyNumberFormat="1" applyFont="1" applyFill="1" applyBorder="1" applyAlignment="1" applyProtection="1">
      <alignment horizontal="center"/>
      <protection locked="0"/>
    </xf>
    <xf numFmtId="1" fontId="19" fillId="3" borderId="0" xfId="30" applyNumberFormat="1" applyFont="1" applyFill="1" applyBorder="1" applyAlignment="1" applyProtection="1">
      <alignment horizontal="center"/>
      <protection locked="0"/>
    </xf>
    <xf numFmtId="1" fontId="41" fillId="14" borderId="0" xfId="5" quotePrefix="1" applyNumberFormat="1" applyFont="1" applyFill="1" applyBorder="1" applyAlignment="1" applyProtection="1">
      <alignment horizontal="center"/>
      <protection locked="0"/>
    </xf>
    <xf numFmtId="1" fontId="41" fillId="3" borderId="0" xfId="32" applyNumberFormat="1" applyFont="1" applyFill="1" applyBorder="1" applyAlignment="1" applyProtection="1">
      <alignment horizontal="center"/>
      <protection locked="0"/>
    </xf>
    <xf numFmtId="1" fontId="19" fillId="3" borderId="0" xfId="32" applyNumberFormat="1" applyFont="1" applyFill="1" applyBorder="1" applyAlignment="1" applyProtection="1">
      <alignment horizontal="center"/>
      <protection locked="0"/>
    </xf>
    <xf numFmtId="1" fontId="19" fillId="3" borderId="0" xfId="5" applyNumberFormat="1" applyFont="1" applyFill="1" applyBorder="1" applyAlignment="1" applyProtection="1">
      <alignment horizontal="center"/>
      <protection locked="0"/>
    </xf>
    <xf numFmtId="49" fontId="52" fillId="3" borderId="0" xfId="30" applyNumberFormat="1" applyFont="1" applyFill="1" applyBorder="1" applyAlignment="1" applyProtection="1">
      <alignment horizontal="left"/>
      <protection locked="0"/>
    </xf>
    <xf numFmtId="1" fontId="19" fillId="3" borderId="0" xfId="31" applyNumberFormat="1" applyFont="1" applyFill="1" applyBorder="1" applyAlignment="1" applyProtection="1">
      <alignment horizontal="center"/>
      <protection locked="0"/>
    </xf>
    <xf numFmtId="49" fontId="53" fillId="3" borderId="0" xfId="5" applyNumberFormat="1" applyFont="1" applyFill="1" applyBorder="1" applyAlignment="1" applyProtection="1">
      <alignment horizontal="left"/>
      <protection locked="0"/>
    </xf>
    <xf numFmtId="1" fontId="19" fillId="3" borderId="0" xfId="1404" applyNumberFormat="1" applyFont="1" applyFill="1" applyBorder="1" applyAlignment="1" applyProtection="1">
      <alignment horizontal="center"/>
      <protection locked="0"/>
    </xf>
    <xf numFmtId="1" fontId="19" fillId="48" borderId="0" xfId="1397" applyNumberFormat="1" applyFont="1" applyFill="1" applyBorder="1" applyAlignment="1" applyProtection="1">
      <alignment horizontal="center"/>
      <protection locked="0"/>
    </xf>
    <xf numFmtId="1" fontId="41" fillId="48" borderId="0" xfId="1397" applyNumberFormat="1" applyFont="1" applyFill="1" applyBorder="1" applyAlignment="1" applyProtection="1">
      <alignment horizontal="center"/>
      <protection locked="0"/>
    </xf>
    <xf numFmtId="49" fontId="19" fillId="55" borderId="15" xfId="23" applyNumberFormat="1" applyFont="1" applyFill="1" applyBorder="1" applyAlignment="1" applyProtection="1">
      <alignment horizontal="center"/>
      <protection locked="0"/>
    </xf>
    <xf numFmtId="49" fontId="19" fillId="55" borderId="0" xfId="23" applyNumberFormat="1" applyFont="1" applyFill="1" applyBorder="1" applyAlignment="1" applyProtection="1">
      <alignment horizontal="left"/>
      <protection locked="0"/>
    </xf>
    <xf numFmtId="0" fontId="1" fillId="0" borderId="0" xfId="29" applyFont="1" applyFill="1"/>
    <xf numFmtId="49" fontId="19" fillId="55" borderId="0" xfId="31" applyNumberFormat="1" applyFont="1" applyFill="1" applyBorder="1" applyAlignment="1" applyProtection="1">
      <alignment horizontal="left"/>
      <protection locked="0"/>
    </xf>
    <xf numFmtId="1" fontId="19" fillId="55" borderId="0" xfId="24" applyNumberFormat="1" applyFont="1" applyFill="1" applyBorder="1" applyAlignment="1" applyProtection="1">
      <alignment horizontal="center"/>
      <protection locked="0"/>
    </xf>
    <xf numFmtId="0" fontId="1" fillId="0" borderId="0" xfId="129" applyNumberFormat="1" applyFont="1" applyFill="1"/>
    <xf numFmtId="0" fontId="55" fillId="0" borderId="0" xfId="29" applyFont="1" applyFill="1"/>
    <xf numFmtId="0" fontId="55" fillId="0" borderId="0" xfId="129" applyNumberFormat="1" applyFont="1" applyFill="1"/>
    <xf numFmtId="49" fontId="41" fillId="55" borderId="0" xfId="31" applyNumberFormat="1" applyFont="1" applyFill="1" applyBorder="1" applyAlignment="1" applyProtection="1">
      <alignment horizontal="left"/>
      <protection locked="0"/>
    </xf>
    <xf numFmtId="0" fontId="55" fillId="0" borderId="0" xfId="3031" applyNumberFormat="1" applyFont="1"/>
    <xf numFmtId="0" fontId="55" fillId="0" borderId="0" xfId="15775" applyNumberFormat="1" applyFont="1"/>
    <xf numFmtId="49" fontId="27" fillId="55" borderId="0" xfId="31" applyNumberFormat="1" applyFont="1" applyFill="1" applyBorder="1" applyAlignment="1" applyProtection="1">
      <alignment horizontal="left"/>
      <protection locked="0"/>
    </xf>
    <xf numFmtId="1" fontId="19" fillId="55" borderId="0" xfId="31" applyNumberFormat="1" applyFont="1" applyFill="1" applyBorder="1" applyAlignment="1" applyProtection="1">
      <alignment horizontal="center"/>
      <protection locked="0"/>
    </xf>
    <xf numFmtId="1" fontId="27" fillId="55" borderId="0" xfId="24" applyNumberFormat="1" applyFont="1" applyFill="1" applyBorder="1" applyAlignment="1" applyProtection="1">
      <alignment horizontal="center"/>
      <protection locked="0"/>
    </xf>
    <xf numFmtId="49" fontId="27" fillId="55" borderId="0" xfId="30" applyNumberFormat="1" applyFont="1" applyFill="1" applyBorder="1" applyAlignment="1" applyProtection="1">
      <alignment horizontal="left"/>
      <protection locked="0"/>
    </xf>
    <xf numFmtId="1" fontId="19" fillId="55" borderId="0" xfId="30" applyNumberFormat="1" applyFont="1" applyFill="1" applyBorder="1" applyAlignment="1" applyProtection="1">
      <alignment horizontal="center"/>
      <protection locked="0"/>
    </xf>
    <xf numFmtId="1" fontId="19" fillId="55" borderId="0" xfId="1404" applyNumberFormat="1" applyFont="1" applyFill="1" applyBorder="1" applyAlignment="1" applyProtection="1">
      <alignment horizontal="center"/>
      <protection locked="0"/>
    </xf>
    <xf numFmtId="1" fontId="41" fillId="55" borderId="0" xfId="1404" applyNumberFormat="1" applyFont="1" applyFill="1" applyBorder="1" applyAlignment="1" applyProtection="1">
      <alignment horizontal="center"/>
      <protection locked="0"/>
    </xf>
    <xf numFmtId="49" fontId="52" fillId="2" borderId="0" xfId="24" applyNumberFormat="1" applyFont="1" applyFill="1" applyBorder="1" applyAlignment="1" applyProtection="1">
      <alignment horizontal="left"/>
      <protection locked="0"/>
    </xf>
    <xf numFmtId="49" fontId="19" fillId="2" borderId="0" xfId="24" applyNumberFormat="1" applyFont="1" applyFill="1" applyBorder="1" applyAlignment="1" applyProtection="1">
      <alignment horizontal="left"/>
      <protection locked="0"/>
    </xf>
    <xf numFmtId="49" fontId="53" fillId="2" borderId="0" xfId="24" applyNumberFormat="1" applyFont="1" applyFill="1" applyBorder="1" applyAlignment="1" applyProtection="1">
      <alignment horizontal="left"/>
      <protection locked="0"/>
    </xf>
    <xf numFmtId="49" fontId="19" fillId="40" borderId="0" xfId="23" applyNumberFormat="1" applyFont="1" applyFill="1" applyBorder="1" applyAlignment="1" applyProtection="1">
      <alignment horizontal="center"/>
      <protection locked="0"/>
    </xf>
    <xf numFmtId="164" fontId="19" fillId="2" borderId="0" xfId="24" applyFont="1" applyFill="1" applyBorder="1" applyAlignment="1" applyProtection="1">
      <protection locked="0"/>
    </xf>
    <xf numFmtId="49" fontId="19" fillId="45" borderId="15" xfId="31" applyNumberFormat="1" applyFont="1" applyFill="1" applyBorder="1" applyAlignment="1" applyProtection="1">
      <alignment horizontal="center"/>
      <protection locked="0"/>
    </xf>
    <xf numFmtId="49" fontId="52" fillId="45" borderId="0" xfId="31" applyNumberFormat="1" applyFont="1" applyFill="1" applyBorder="1" applyAlignment="1" applyProtection="1">
      <alignment horizontal="left"/>
      <protection locked="0"/>
    </xf>
    <xf numFmtId="49" fontId="19" fillId="45" borderId="0" xfId="31" applyNumberFormat="1" applyFont="1" applyFill="1" applyBorder="1" applyAlignment="1" applyProtection="1">
      <alignment horizontal="left"/>
      <protection locked="0"/>
    </xf>
    <xf numFmtId="49" fontId="52" fillId="45" borderId="0" xfId="30" applyNumberFormat="1" applyFont="1" applyFill="1" applyBorder="1" applyAlignment="1" applyProtection="1">
      <alignment horizontal="left"/>
      <protection locked="0"/>
    </xf>
    <xf numFmtId="1" fontId="19" fillId="45" borderId="0" xfId="30" applyNumberFormat="1" applyFont="1" applyFill="1" applyBorder="1" applyAlignment="1" applyProtection="1">
      <alignment horizontal="center"/>
      <protection locked="0"/>
    </xf>
    <xf numFmtId="1" fontId="19" fillId="45" borderId="0" xfId="31" applyNumberFormat="1" applyFont="1" applyFill="1" applyBorder="1" applyAlignment="1" applyProtection="1">
      <alignment horizontal="center"/>
      <protection locked="0"/>
    </xf>
    <xf numFmtId="49" fontId="52" fillId="45" borderId="0" xfId="5" applyNumberFormat="1" applyFont="1" applyFill="1" applyBorder="1" applyAlignment="1" applyProtection="1">
      <alignment horizontal="left"/>
      <protection locked="0"/>
    </xf>
    <xf numFmtId="1" fontId="19" fillId="45" borderId="0" xfId="5" applyNumberFormat="1" applyFont="1" applyFill="1" applyBorder="1" applyAlignment="1" applyProtection="1">
      <alignment horizontal="center"/>
      <protection locked="0"/>
    </xf>
    <xf numFmtId="3" fontId="52" fillId="45" borderId="0" xfId="5" applyFont="1" applyFill="1" applyBorder="1" applyAlignment="1" applyProtection="1">
      <protection locked="0"/>
    </xf>
    <xf numFmtId="49" fontId="19" fillId="3" borderId="0" xfId="24" applyNumberFormat="1" applyFont="1" applyFill="1" applyBorder="1" applyAlignment="1" applyProtection="1">
      <alignment horizontal="left"/>
      <protection locked="0"/>
    </xf>
    <xf numFmtId="49" fontId="52" fillId="3" borderId="0" xfId="24" applyNumberFormat="1" applyFont="1" applyFill="1" applyBorder="1" applyAlignment="1" applyProtection="1">
      <alignment horizontal="left"/>
      <protection locked="0"/>
    </xf>
    <xf numFmtId="49" fontId="19" fillId="55" borderId="0" xfId="23" applyNumberFormat="1" applyFont="1" applyFill="1" applyBorder="1" applyAlignment="1" applyProtection="1">
      <alignment horizontal="center"/>
      <protection locked="0"/>
    </xf>
    <xf numFmtId="49" fontId="19" fillId="55" borderId="0" xfId="23" applyNumberFormat="1" applyFont="1" applyFill="1" applyBorder="1" applyAlignment="1" applyProtection="1">
      <protection locked="0"/>
    </xf>
    <xf numFmtId="49" fontId="83" fillId="55" borderId="0" xfId="23" applyNumberFormat="1" applyFont="1" applyFill="1" applyBorder="1" applyAlignment="1" applyProtection="1">
      <protection locked="0"/>
    </xf>
    <xf numFmtId="49" fontId="19" fillId="55" borderId="0" xfId="24" applyNumberFormat="1" applyFont="1" applyFill="1" applyBorder="1" applyAlignment="1" applyProtection="1">
      <alignment horizontal="left"/>
      <protection locked="0"/>
    </xf>
    <xf numFmtId="49" fontId="53" fillId="55" borderId="0" xfId="23" applyNumberFormat="1" applyFont="1" applyFill="1" applyBorder="1" applyAlignment="1" applyProtection="1">
      <alignment horizontal="left"/>
      <protection locked="0"/>
    </xf>
    <xf numFmtId="1" fontId="41" fillId="55" borderId="0" xfId="24" applyNumberFormat="1" applyFont="1" applyFill="1" applyBorder="1" applyAlignment="1" applyProtection="1">
      <alignment horizontal="center"/>
      <protection locked="0"/>
    </xf>
    <xf numFmtId="49" fontId="83" fillId="55" borderId="0" xfId="23" applyNumberFormat="1" applyFont="1" applyFill="1" applyBorder="1" applyAlignment="1" applyProtection="1">
      <alignment horizontal="left"/>
      <protection locked="0"/>
    </xf>
    <xf numFmtId="49" fontId="53" fillId="55" borderId="0" xfId="24" applyNumberFormat="1" applyFont="1" applyFill="1" applyBorder="1" applyAlignment="1" applyProtection="1">
      <alignment horizontal="left"/>
      <protection locked="0"/>
    </xf>
    <xf numFmtId="49" fontId="19" fillId="14" borderId="0" xfId="23" applyNumberFormat="1" applyFont="1" applyFill="1" applyBorder="1" applyAlignment="1" applyProtection="1">
      <alignment horizontal="left"/>
      <protection locked="0"/>
    </xf>
    <xf numFmtId="1" fontId="19" fillId="2" borderId="0" xfId="31" applyNumberFormat="1" applyFont="1" applyFill="1" applyBorder="1" applyAlignment="1" applyProtection="1">
      <alignment horizontal="center"/>
      <protection locked="0"/>
    </xf>
    <xf numFmtId="49" fontId="52" fillId="2" borderId="0" xfId="30" applyNumberFormat="1" applyFont="1" applyFill="1" applyBorder="1" applyAlignment="1" applyProtection="1">
      <alignment horizontal="left"/>
      <protection locked="0"/>
    </xf>
    <xf numFmtId="1" fontId="19" fillId="2" borderId="0" xfId="30" applyNumberFormat="1" applyFont="1" applyFill="1" applyBorder="1" applyAlignment="1" applyProtection="1">
      <alignment horizontal="center"/>
      <protection locked="0"/>
    </xf>
    <xf numFmtId="1" fontId="19" fillId="2" borderId="0" xfId="1404" applyNumberFormat="1" applyFont="1" applyFill="1" applyBorder="1" applyAlignment="1" applyProtection="1">
      <alignment horizontal="center"/>
      <protection locked="0"/>
    </xf>
    <xf numFmtId="1" fontId="19" fillId="2" borderId="0" xfId="5" applyNumberFormat="1" applyFont="1" applyFill="1" applyBorder="1" applyAlignment="1" applyProtection="1">
      <alignment horizontal="center"/>
      <protection locked="0"/>
    </xf>
    <xf numFmtId="49" fontId="52" fillId="2" borderId="0" xfId="5" applyNumberFormat="1" applyFont="1" applyFill="1" applyBorder="1" applyAlignment="1" applyProtection="1">
      <alignment horizontal="left"/>
      <protection locked="0"/>
    </xf>
    <xf numFmtId="1" fontId="19" fillId="40" borderId="0" xfId="1397" applyNumberFormat="1" applyFont="1" applyFill="1" applyBorder="1" applyAlignment="1" applyProtection="1">
      <alignment horizontal="center"/>
      <protection locked="0"/>
    </xf>
    <xf numFmtId="49" fontId="52" fillId="55" borderId="0" xfId="31" applyNumberFormat="1" applyFont="1" applyFill="1" applyBorder="1" applyAlignment="1" applyProtection="1">
      <alignment horizontal="left"/>
      <protection locked="0"/>
    </xf>
    <xf numFmtId="1" fontId="19" fillId="55" borderId="0" xfId="32" applyNumberFormat="1" applyFont="1" applyFill="1" applyBorder="1" applyAlignment="1" applyProtection="1">
      <alignment horizontal="center"/>
      <protection locked="0"/>
    </xf>
    <xf numFmtId="49" fontId="84" fillId="55" borderId="0" xfId="31" applyNumberFormat="1" applyFont="1" applyFill="1" applyBorder="1" applyAlignment="1" applyProtection="1">
      <alignment horizontal="left"/>
      <protection locked="0"/>
    </xf>
    <xf numFmtId="1" fontId="19" fillId="55" borderId="0" xfId="5" applyNumberFormat="1" applyFont="1" applyFill="1" applyBorder="1" applyAlignment="1" applyProtection="1">
      <alignment horizontal="center"/>
      <protection locked="0"/>
    </xf>
    <xf numFmtId="1" fontId="19" fillId="56" borderId="0" xfId="1397" applyNumberFormat="1" applyFont="1" applyFill="1" applyBorder="1" applyAlignment="1" applyProtection="1">
      <alignment horizontal="center"/>
      <protection locked="0"/>
    </xf>
    <xf numFmtId="164" fontId="19" fillId="55" borderId="0" xfId="31" applyFont="1" applyFill="1" applyBorder="1" applyProtection="1">
      <protection locked="0"/>
    </xf>
    <xf numFmtId="164" fontId="52" fillId="55" borderId="0" xfId="31" applyFont="1" applyFill="1" applyBorder="1" applyProtection="1">
      <protection locked="0"/>
    </xf>
    <xf numFmtId="49" fontId="53" fillId="55" borderId="0" xfId="31" applyNumberFormat="1" applyFont="1" applyFill="1" applyBorder="1" applyAlignment="1" applyProtection="1">
      <alignment horizontal="left"/>
      <protection locked="0"/>
    </xf>
    <xf numFmtId="1" fontId="41" fillId="55" borderId="0" xfId="32" applyNumberFormat="1" applyFont="1" applyFill="1" applyBorder="1" applyAlignment="1" applyProtection="1">
      <alignment horizontal="center"/>
      <protection locked="0"/>
    </xf>
    <xf numFmtId="168" fontId="27" fillId="14" borderId="7" xfId="0" applyNumberFormat="1" applyFont="1" applyFill="1" applyBorder="1" applyAlignment="1">
      <alignment horizontal="right"/>
    </xf>
    <xf numFmtId="168" fontId="27" fillId="14" borderId="0" xfId="0" applyNumberFormat="1" applyFont="1" applyFill="1" applyAlignment="1">
      <alignment horizontal="right"/>
    </xf>
    <xf numFmtId="168" fontId="27" fillId="0" borderId="0" xfId="0" applyNumberFormat="1" applyFont="1" applyFill="1"/>
    <xf numFmtId="168" fontId="41" fillId="0" borderId="38" xfId="0" applyNumberFormat="1" applyFont="1" applyFill="1" applyBorder="1"/>
    <xf numFmtId="168" fontId="41" fillId="0" borderId="57" xfId="0" applyNumberFormat="1" applyFont="1" applyFill="1" applyBorder="1"/>
    <xf numFmtId="49" fontId="19" fillId="41" borderId="15" xfId="31" applyNumberFormat="1" applyFont="1" applyFill="1" applyBorder="1" applyAlignment="1" applyProtection="1">
      <alignment horizontal="center"/>
      <protection locked="0"/>
    </xf>
    <xf numFmtId="49" fontId="52" fillId="41" borderId="0" xfId="26026" applyNumberFormat="1" applyFont="1" applyFill="1" applyBorder="1" applyAlignment="1" applyProtection="1">
      <alignment horizontal="left"/>
      <protection locked="0"/>
    </xf>
    <xf numFmtId="1" fontId="19" fillId="41" borderId="0" xfId="1404" applyNumberFormat="1" applyFont="1" applyFill="1" applyBorder="1" applyAlignment="1" applyProtection="1">
      <alignment horizontal="center"/>
      <protection locked="0"/>
    </xf>
    <xf numFmtId="49" fontId="84" fillId="43" borderId="0" xfId="31" applyNumberFormat="1" applyFont="1" applyFill="1" applyBorder="1" applyAlignment="1" applyProtection="1">
      <alignment horizontal="left"/>
      <protection locked="0"/>
    </xf>
    <xf numFmtId="1" fontId="54" fillId="41" borderId="0" xfId="1404" applyNumberFormat="1" applyFont="1" applyFill="1" applyBorder="1" applyAlignment="1" applyProtection="1">
      <alignment horizontal="center"/>
      <protection locked="0"/>
    </xf>
    <xf numFmtId="3" fontId="19" fillId="57" borderId="37" xfId="23" applyNumberFormat="1" applyFont="1" applyFill="1" applyBorder="1" applyAlignment="1" applyProtection="1">
      <alignment horizontal="right"/>
      <protection locked="0"/>
    </xf>
    <xf numFmtId="1" fontId="19" fillId="41" borderId="0" xfId="30" applyNumberFormat="1" applyFont="1" applyFill="1" applyBorder="1" applyAlignment="1" applyProtection="1">
      <alignment horizontal="center"/>
      <protection locked="0"/>
    </xf>
    <xf numFmtId="1" fontId="19" fillId="41" borderId="0" xfId="32" applyNumberFormat="1" applyFont="1" applyFill="1" applyBorder="1" applyAlignment="1" applyProtection="1">
      <alignment horizontal="center"/>
      <protection locked="0"/>
    </xf>
    <xf numFmtId="1" fontId="27" fillId="41" borderId="0" xfId="1404" applyNumberFormat="1" applyFont="1" applyFill="1" applyBorder="1" applyAlignment="1" applyProtection="1">
      <alignment horizontal="center"/>
      <protection locked="0"/>
    </xf>
    <xf numFmtId="49" fontId="19" fillId="43" borderId="15" xfId="31" applyNumberFormat="1" applyFont="1" applyFill="1" applyBorder="1" applyAlignment="1" applyProtection="1">
      <alignment horizontal="center"/>
      <protection locked="0"/>
    </xf>
    <xf numFmtId="49" fontId="19" fillId="13" borderId="0" xfId="5" applyNumberFormat="1" applyFont="1" applyFill="1" applyBorder="1" applyAlignment="1" applyProtection="1">
      <alignment horizontal="center"/>
      <protection locked="0"/>
    </xf>
    <xf numFmtId="49" fontId="19" fillId="13" borderId="0" xfId="31" applyNumberFormat="1" applyFont="1" applyFill="1" applyBorder="1" applyAlignment="1" applyProtection="1">
      <alignment horizontal="center"/>
      <protection locked="0"/>
    </xf>
    <xf numFmtId="165" fontId="19" fillId="8" borderId="37" xfId="23" applyNumberFormat="1" applyFont="1" applyFill="1" applyBorder="1" applyAlignment="1" applyProtection="1">
      <alignment horizontal="right"/>
      <protection locked="0"/>
    </xf>
    <xf numFmtId="3" fontId="19" fillId="8" borderId="0" xfId="23" applyNumberFormat="1" applyFont="1" applyFill="1" applyBorder="1" applyAlignment="1" applyProtection="1">
      <alignment horizontal="right"/>
      <protection locked="0"/>
    </xf>
    <xf numFmtId="3" fontId="30" fillId="0" borderId="0" xfId="0" applyNumberFormat="1" applyFont="1" applyFill="1" applyBorder="1" applyAlignment="1">
      <alignment vertical="top"/>
    </xf>
    <xf numFmtId="3" fontId="40" fillId="0" borderId="0" xfId="0" applyNumberFormat="1" applyFont="1" applyFill="1" applyBorder="1" applyAlignment="1">
      <alignment horizontal="right"/>
    </xf>
    <xf numFmtId="3" fontId="40" fillId="0" borderId="0" xfId="0" applyNumberFormat="1" applyFont="1" applyFill="1" applyBorder="1" applyAlignment="1">
      <alignment vertical="top"/>
    </xf>
    <xf numFmtId="3" fontId="82" fillId="0" borderId="33" xfId="0" applyNumberFormat="1" applyFont="1" applyBorder="1"/>
    <xf numFmtId="0" fontId="7" fillId="0" borderId="37" xfId="626" applyBorder="1"/>
    <xf numFmtId="165" fontId="19" fillId="8" borderId="49" xfId="23" applyNumberFormat="1" applyFont="1" applyFill="1" applyBorder="1" applyAlignment="1" applyProtection="1">
      <alignment horizontal="right"/>
      <protection locked="0"/>
    </xf>
    <xf numFmtId="0" fontId="55" fillId="14" borderId="37" xfId="3031" applyNumberFormat="1" applyFont="1" applyFill="1" applyBorder="1"/>
    <xf numFmtId="165" fontId="19" fillId="0" borderId="0" xfId="1022" applyNumberFormat="1" applyFont="1" applyBorder="1"/>
    <xf numFmtId="165" fontId="19" fillId="0" borderId="37" xfId="23" applyNumberFormat="1" applyFont="1" applyFill="1" applyBorder="1" applyAlignment="1" applyProtection="1">
      <alignment horizontal="right"/>
      <protection locked="0"/>
    </xf>
    <xf numFmtId="3" fontId="30" fillId="0" borderId="15" xfId="0" applyNumberFormat="1" applyFont="1" applyFill="1" applyBorder="1" applyAlignment="1">
      <alignment vertical="top"/>
    </xf>
    <xf numFmtId="0" fontId="85" fillId="14" borderId="37" xfId="712" applyNumberFormat="1" applyFont="1" applyFill="1" applyBorder="1"/>
    <xf numFmtId="3" fontId="40" fillId="0" borderId="15" xfId="0" applyNumberFormat="1" applyFont="1" applyFill="1" applyBorder="1" applyAlignment="1">
      <alignment horizontal="right"/>
    </xf>
    <xf numFmtId="0" fontId="85" fillId="0" borderId="15" xfId="3031" applyNumberFormat="1" applyFont="1" applyBorder="1"/>
    <xf numFmtId="3" fontId="27" fillId="0" borderId="81" xfId="23" applyNumberFormat="1" applyFont="1" applyFill="1" applyBorder="1" applyAlignment="1" applyProtection="1">
      <alignment horizontal="right"/>
      <protection locked="0"/>
    </xf>
    <xf numFmtId="0" fontId="5" fillId="0" borderId="15" xfId="3031" applyNumberFormat="1" applyBorder="1"/>
    <xf numFmtId="0" fontId="86" fillId="0" borderId="15" xfId="3031" applyNumberFormat="1" applyFont="1" applyBorder="1"/>
    <xf numFmtId="0" fontId="86" fillId="0" borderId="15" xfId="712" applyNumberFormat="1" applyFont="1" applyBorder="1"/>
    <xf numFmtId="0" fontId="85" fillId="14" borderId="37" xfId="6948" applyNumberFormat="1" applyFont="1" applyFill="1" applyBorder="1"/>
    <xf numFmtId="3" fontId="19" fillId="8" borderId="81" xfId="23" applyNumberFormat="1" applyFont="1" applyFill="1" applyBorder="1" applyAlignment="1" applyProtection="1">
      <alignment horizontal="right"/>
      <protection locked="0"/>
    </xf>
    <xf numFmtId="168" fontId="41" fillId="14" borderId="38" xfId="0" applyNumberFormat="1" applyFont="1" applyFill="1" applyBorder="1"/>
    <xf numFmtId="168" fontId="41" fillId="14" borderId="57" xfId="0" applyNumberFormat="1" applyFont="1" applyFill="1" applyBorder="1"/>
    <xf numFmtId="49" fontId="19" fillId="58" borderId="0" xfId="23" applyNumberFormat="1" applyFont="1" applyFill="1" applyBorder="1" applyAlignment="1" applyProtection="1">
      <alignment horizontal="center"/>
      <protection locked="0"/>
    </xf>
    <xf numFmtId="49" fontId="19" fillId="58" borderId="0" xfId="23" applyNumberFormat="1" applyFont="1" applyFill="1" applyBorder="1" applyAlignment="1" applyProtection="1">
      <alignment horizontal="left"/>
      <protection locked="0"/>
    </xf>
    <xf numFmtId="49" fontId="52" fillId="58" borderId="0" xfId="1404" applyNumberFormat="1" applyFont="1" applyFill="1" applyBorder="1" applyAlignment="1" applyProtection="1">
      <alignment horizontal="left"/>
      <protection locked="0"/>
    </xf>
    <xf numFmtId="1" fontId="19" fillId="58" borderId="0" xfId="1404" applyNumberFormat="1" applyFont="1" applyFill="1" applyBorder="1" applyAlignment="1" applyProtection="1">
      <alignment horizontal="center"/>
      <protection locked="0"/>
    </xf>
    <xf numFmtId="49" fontId="19" fillId="58" borderId="0" xfId="24" applyNumberFormat="1" applyFont="1" applyFill="1" applyBorder="1" applyAlignment="1" applyProtection="1">
      <alignment horizontal="left"/>
      <protection locked="0"/>
    </xf>
    <xf numFmtId="49" fontId="52" fillId="58" borderId="0" xfId="24" applyNumberFormat="1" applyFont="1" applyFill="1" applyBorder="1" applyAlignment="1" applyProtection="1">
      <alignment horizontal="left"/>
      <protection locked="0"/>
    </xf>
    <xf numFmtId="1" fontId="19" fillId="58" borderId="0" xfId="24" applyNumberFormat="1" applyFont="1" applyFill="1" applyBorder="1" applyAlignment="1" applyProtection="1">
      <alignment horizontal="center"/>
      <protection locked="0"/>
    </xf>
    <xf numFmtId="49" fontId="84" fillId="58" borderId="0" xfId="24" applyNumberFormat="1" applyFont="1" applyFill="1" applyBorder="1" applyAlignment="1" applyProtection="1">
      <alignment horizontal="left"/>
      <protection locked="0"/>
    </xf>
    <xf numFmtId="3" fontId="52" fillId="58" borderId="0" xfId="5" applyFont="1" applyFill="1" applyBorder="1" applyAlignment="1" applyProtection="1">
      <protection locked="0"/>
    </xf>
    <xf numFmtId="49" fontId="19" fillId="14" borderId="0" xfId="24" applyNumberFormat="1" applyFont="1" applyFill="1" applyBorder="1" applyAlignment="1" applyProtection="1">
      <alignment horizontal="left"/>
      <protection locked="0"/>
    </xf>
    <xf numFmtId="3" fontId="19" fillId="58" borderId="0" xfId="5" applyFont="1" applyFill="1" applyBorder="1" applyAlignment="1" applyProtection="1">
      <protection locked="0"/>
    </xf>
    <xf numFmtId="1" fontId="19" fillId="58" borderId="0" xfId="32" applyNumberFormat="1" applyFont="1" applyFill="1" applyBorder="1" applyAlignment="1" applyProtection="1">
      <alignment horizontal="center"/>
      <protection locked="0"/>
    </xf>
    <xf numFmtId="1" fontId="27" fillId="58" borderId="0" xfId="1404" applyNumberFormat="1" applyFont="1" applyFill="1" applyBorder="1" applyAlignment="1" applyProtection="1">
      <alignment horizontal="center"/>
      <protection locked="0"/>
    </xf>
    <xf numFmtId="1" fontId="19" fillId="58" borderId="0" xfId="5" applyNumberFormat="1" applyFont="1" applyFill="1" applyBorder="1" applyAlignment="1" applyProtection="1">
      <alignment horizontal="center"/>
      <protection locked="0"/>
    </xf>
    <xf numFmtId="49" fontId="52" fillId="58" borderId="0" xfId="26026" applyNumberFormat="1" applyFont="1" applyFill="1" applyBorder="1" applyAlignment="1" applyProtection="1">
      <alignment horizontal="left"/>
      <protection locked="0"/>
    </xf>
    <xf numFmtId="49" fontId="52" fillId="58" borderId="0" xfId="31" applyNumberFormat="1" applyFont="1" applyFill="1" applyBorder="1" applyAlignment="1" applyProtection="1">
      <alignment horizontal="left"/>
      <protection locked="0"/>
    </xf>
    <xf numFmtId="49" fontId="19" fillId="58" borderId="0" xfId="23" applyNumberFormat="1" applyFont="1" applyFill="1" applyBorder="1" applyProtection="1">
      <protection locked="0"/>
    </xf>
    <xf numFmtId="49" fontId="19" fillId="58" borderId="0" xfId="31" applyNumberFormat="1" applyFont="1" applyFill="1" applyBorder="1" applyAlignment="1" applyProtection="1">
      <alignment horizontal="left"/>
      <protection locked="0"/>
    </xf>
    <xf numFmtId="49" fontId="19" fillId="58" borderId="0" xfId="31" applyNumberFormat="1" applyFont="1" applyFill="1" applyBorder="1" applyAlignment="1" applyProtection="1">
      <alignment horizontal="center"/>
      <protection locked="0"/>
    </xf>
    <xf numFmtId="49" fontId="19" fillId="59" borderId="0" xfId="23" applyNumberFormat="1" applyFont="1" applyFill="1" applyBorder="1" applyAlignment="1" applyProtection="1">
      <protection locked="0"/>
    </xf>
    <xf numFmtId="49" fontId="83" fillId="59" borderId="0" xfId="23" applyNumberFormat="1" applyFont="1" applyFill="1" applyBorder="1" applyAlignment="1" applyProtection="1">
      <protection locked="0"/>
    </xf>
    <xf numFmtId="1" fontId="54" fillId="58" borderId="0" xfId="1404" applyNumberFormat="1" applyFont="1" applyFill="1" applyBorder="1" applyAlignment="1" applyProtection="1">
      <alignment horizontal="center"/>
      <protection locked="0"/>
    </xf>
    <xf numFmtId="49" fontId="19" fillId="5" borderId="0" xfId="23" applyNumberFormat="1" applyFont="1" applyFill="1" applyBorder="1" applyProtection="1">
      <protection locked="0"/>
    </xf>
    <xf numFmtId="49" fontId="19" fillId="60" borderId="0" xfId="23" applyNumberFormat="1" applyFont="1" applyFill="1" applyBorder="1" applyAlignment="1" applyProtection="1">
      <protection locked="0"/>
    </xf>
    <xf numFmtId="49" fontId="83" fillId="60" borderId="0" xfId="23" applyNumberFormat="1" applyFont="1" applyFill="1" applyBorder="1" applyAlignment="1" applyProtection="1">
      <alignment horizontal="right"/>
      <protection locked="0"/>
    </xf>
    <xf numFmtId="49" fontId="19" fillId="61" borderId="0" xfId="23" applyNumberFormat="1" applyFont="1" applyFill="1" applyBorder="1" applyAlignment="1" applyProtection="1">
      <alignment horizontal="center"/>
      <protection locked="0"/>
    </xf>
    <xf numFmtId="3" fontId="19" fillId="0" borderId="37" xfId="23" applyNumberFormat="1" applyFont="1" applyFill="1" applyBorder="1" applyAlignment="1" applyProtection="1">
      <alignment horizontal="right"/>
      <protection locked="0"/>
    </xf>
    <xf numFmtId="49" fontId="19" fillId="62" borderId="0" xfId="23" applyNumberFormat="1" applyFont="1" applyFill="1" applyBorder="1" applyAlignment="1" applyProtection="1">
      <protection locked="0"/>
    </xf>
    <xf numFmtId="49" fontId="83" fillId="62" borderId="0" xfId="23" applyNumberFormat="1" applyFont="1" applyFill="1" applyBorder="1" applyAlignment="1" applyProtection="1">
      <alignment horizontal="right"/>
      <protection locked="0"/>
    </xf>
    <xf numFmtId="49" fontId="19" fillId="63" borderId="0" xfId="23" applyNumberFormat="1" applyFont="1" applyFill="1" applyBorder="1" applyAlignment="1" applyProtection="1">
      <protection locked="0"/>
    </xf>
    <xf numFmtId="49" fontId="83" fillId="63" borderId="0" xfId="23" applyNumberFormat="1" applyFont="1" applyFill="1" applyBorder="1" applyAlignment="1" applyProtection="1">
      <alignment horizontal="right"/>
      <protection locked="0"/>
    </xf>
    <xf numFmtId="49" fontId="19" fillId="5" borderId="0" xfId="23" applyNumberFormat="1" applyFont="1" applyFill="1" applyBorder="1" applyAlignment="1" applyProtection="1">
      <protection locked="0"/>
    </xf>
    <xf numFmtId="49" fontId="83" fillId="5" borderId="0" xfId="23" applyNumberFormat="1" applyFont="1" applyFill="1" applyBorder="1" applyAlignment="1" applyProtection="1">
      <protection locked="0"/>
    </xf>
    <xf numFmtId="3" fontId="19" fillId="0" borderId="0" xfId="23" applyNumberFormat="1" applyFont="1" applyFill="1" applyBorder="1" applyAlignment="1" applyProtection="1">
      <alignment horizontal="right"/>
      <protection locked="0"/>
    </xf>
    <xf numFmtId="3" fontId="44" fillId="8" borderId="37" xfId="23" applyNumberFormat="1" applyFont="1" applyFill="1" applyBorder="1" applyAlignment="1" applyProtection="1">
      <alignment horizontal="right"/>
      <protection locked="0"/>
    </xf>
    <xf numFmtId="3" fontId="19" fillId="0" borderId="15" xfId="23" applyNumberFormat="1" applyFont="1" applyFill="1" applyBorder="1" applyAlignment="1" applyProtection="1">
      <alignment horizontal="right"/>
      <protection locked="0"/>
    </xf>
    <xf numFmtId="49" fontId="0" fillId="58" borderId="0" xfId="23" applyNumberFormat="1" applyFont="1" applyFill="1" applyBorder="1" applyAlignment="1" applyProtection="1">
      <alignment horizontal="center"/>
      <protection locked="0"/>
    </xf>
    <xf numFmtId="0" fontId="19" fillId="61" borderId="0" xfId="23" applyNumberFormat="1" applyFont="1" applyFill="1" applyBorder="1" applyAlignment="1" applyProtection="1">
      <alignment horizontal="center"/>
      <protection locked="0"/>
    </xf>
    <xf numFmtId="165" fontId="19" fillId="0" borderId="15" xfId="23" applyNumberFormat="1" applyFont="1" applyFill="1" applyBorder="1" applyAlignment="1" applyProtection="1">
      <alignment horizontal="right"/>
      <protection locked="0"/>
    </xf>
    <xf numFmtId="49" fontId="84" fillId="58" borderId="0" xfId="31" applyNumberFormat="1" applyFont="1" applyFill="1" applyBorder="1" applyAlignment="1" applyProtection="1">
      <alignment horizontal="left"/>
      <protection locked="0"/>
    </xf>
    <xf numFmtId="164" fontId="84" fillId="58" borderId="0" xfId="31" applyFont="1" applyFill="1" applyBorder="1" applyProtection="1">
      <protection locked="0"/>
    </xf>
    <xf numFmtId="165" fontId="19" fillId="0" borderId="66" xfId="0" applyNumberFormat="1" applyFont="1" applyFill="1" applyBorder="1"/>
    <xf numFmtId="165" fontId="19" fillId="0" borderId="54" xfId="0" applyNumberFormat="1" applyFont="1" applyFill="1" applyBorder="1"/>
    <xf numFmtId="168" fontId="27" fillId="0" borderId="54" xfId="0" applyNumberFormat="1" applyFont="1" applyFill="1" applyBorder="1" applyAlignment="1">
      <alignment horizontal="right"/>
    </xf>
    <xf numFmtId="168" fontId="27" fillId="14" borderId="15" xfId="0" applyNumberFormat="1" applyFont="1" applyFill="1" applyBorder="1" applyAlignment="1">
      <alignment horizontal="right"/>
    </xf>
    <xf numFmtId="3" fontId="27" fillId="0" borderId="58" xfId="0" applyFont="1" applyFill="1" applyBorder="1"/>
    <xf numFmtId="3" fontId="27" fillId="0" borderId="2" xfId="0" applyFont="1" applyFill="1" applyBorder="1"/>
    <xf numFmtId="3" fontId="27" fillId="14" borderId="58" xfId="0" applyFont="1" applyFill="1" applyBorder="1"/>
    <xf numFmtId="3" fontId="27" fillId="14" borderId="2" xfId="0" applyFont="1" applyFill="1" applyBorder="1"/>
    <xf numFmtId="168" fontId="27" fillId="14" borderId="0" xfId="0" applyNumberFormat="1" applyFont="1" applyFill="1"/>
    <xf numFmtId="3" fontId="41" fillId="14" borderId="7" xfId="0" applyFont="1" applyFill="1" applyBorder="1"/>
    <xf numFmtId="3" fontId="39" fillId="0" borderId="57" xfId="0" applyFont="1" applyFill="1" applyBorder="1"/>
    <xf numFmtId="49" fontId="19" fillId="58" borderId="15" xfId="5" applyNumberFormat="1" applyFont="1" applyFill="1" applyBorder="1" applyAlignment="1" applyProtection="1">
      <alignment horizontal="center"/>
      <protection locked="0"/>
    </xf>
    <xf numFmtId="49" fontId="19" fillId="64" borderId="0" xfId="31" applyNumberFormat="1" applyFont="1" applyFill="1" applyBorder="1" applyAlignment="1" applyProtection="1">
      <alignment horizontal="left"/>
      <protection locked="0"/>
    </xf>
    <xf numFmtId="1" fontId="19" fillId="65" borderId="0" xfId="1397" applyNumberFormat="1" applyFont="1" applyFill="1" applyBorder="1" applyAlignment="1" applyProtection="1">
      <alignment horizontal="center"/>
      <protection locked="0"/>
    </xf>
    <xf numFmtId="3" fontId="87" fillId="8" borderId="15" xfId="0" applyNumberFormat="1" applyFont="1" applyFill="1" applyBorder="1" applyAlignment="1" applyProtection="1">
      <alignment horizontal="right" wrapText="1"/>
    </xf>
    <xf numFmtId="3" fontId="40" fillId="8" borderId="37" xfId="4" applyFont="1" applyFill="1" applyBorder="1"/>
    <xf numFmtId="3" fontId="41" fillId="14" borderId="53" xfId="23" applyNumberFormat="1" applyFont="1" applyFill="1" applyBorder="1" applyAlignment="1" applyProtection="1">
      <alignment horizontal="right"/>
      <protection locked="0"/>
    </xf>
    <xf numFmtId="165" fontId="54" fillId="8" borderId="49" xfId="23" applyNumberFormat="1" applyFont="1" applyFill="1" applyBorder="1" applyAlignment="1" applyProtection="1">
      <alignment horizontal="center"/>
      <protection locked="0"/>
    </xf>
    <xf numFmtId="165" fontId="41" fillId="14" borderId="0" xfId="23" applyNumberFormat="1" applyFont="1" applyFill="1" applyBorder="1" applyAlignment="1" applyProtection="1">
      <alignment horizontal="center"/>
      <protection locked="0"/>
    </xf>
    <xf numFmtId="0" fontId="19" fillId="14" borderId="0" xfId="29" applyNumberFormat="1" applyFill="1" applyBorder="1"/>
    <xf numFmtId="168" fontId="19" fillId="0" borderId="5" xfId="7" applyNumberFormat="1" applyFont="1" applyBorder="1" applyAlignment="1">
      <alignment horizontal="right"/>
    </xf>
    <xf numFmtId="165" fontId="19" fillId="66" borderId="7" xfId="0" applyNumberFormat="1" applyFont="1" applyFill="1" applyBorder="1"/>
    <xf numFmtId="3" fontId="88" fillId="66" borderId="37" xfId="23" applyNumberFormat="1" applyFont="1" applyFill="1" applyBorder="1" applyAlignment="1" applyProtection="1">
      <alignment horizontal="right"/>
      <protection locked="0"/>
    </xf>
    <xf numFmtId="37" fontId="0" fillId="0" borderId="57" xfId="0" applyNumberFormat="1" applyBorder="1" applyAlignment="1" applyProtection="1">
      <alignment horizontal="left" vertical="top" wrapText="1"/>
    </xf>
    <xf numFmtId="37" fontId="26" fillId="0" borderId="0" xfId="0" applyNumberFormat="1" applyFont="1" applyAlignment="1" applyProtection="1">
      <alignment horizontal="center"/>
    </xf>
    <xf numFmtId="37" fontId="22" fillId="0" borderId="0" xfId="0" applyNumberFormat="1" applyFont="1" applyAlignment="1" applyProtection="1">
      <alignment horizontal="center"/>
    </xf>
    <xf numFmtId="37" fontId="0" fillId="0" borderId="0" xfId="0" applyNumberFormat="1" applyBorder="1" applyAlignment="1" applyProtection="1">
      <alignment horizontal="left" vertical="top" wrapText="1"/>
    </xf>
    <xf numFmtId="3" fontId="17" fillId="0" borderId="0" xfId="0" applyFont="1" applyBorder="1" applyAlignment="1">
      <alignment wrapText="1"/>
    </xf>
    <xf numFmtId="3" fontId="0" fillId="0" borderId="0" xfId="0" applyAlignment="1">
      <alignment wrapText="1"/>
    </xf>
    <xf numFmtId="37" fontId="0" fillId="0" borderId="6" xfId="0" applyNumberFormat="1" applyBorder="1" applyAlignment="1" applyProtection="1">
      <alignment horizontal="left" vertical="top" wrapText="1"/>
    </xf>
    <xf numFmtId="37" fontId="23" fillId="0" borderId="6" xfId="0" applyNumberFormat="1" applyFont="1" applyBorder="1" applyAlignment="1" applyProtection="1">
      <alignment horizontal="left" vertical="top" wrapText="1"/>
    </xf>
    <xf numFmtId="3" fontId="0" fillId="0" borderId="6" xfId="0" applyBorder="1" applyAlignment="1">
      <alignment horizontal="left" vertical="top" wrapText="1"/>
    </xf>
    <xf numFmtId="37" fontId="0" fillId="0" borderId="0" xfId="0" applyNumberFormat="1" applyFont="1" applyBorder="1" applyAlignment="1" applyProtection="1">
      <alignment horizontal="left" vertical="top" wrapText="1"/>
    </xf>
    <xf numFmtId="3" fontId="23" fillId="0" borderId="0" xfId="0" applyFont="1" applyAlignment="1"/>
    <xf numFmtId="37" fontId="28" fillId="0" borderId="11" xfId="0" applyNumberFormat="1" applyFont="1" applyBorder="1" applyAlignment="1" applyProtection="1">
      <alignment horizontal="center"/>
    </xf>
    <xf numFmtId="3" fontId="18" fillId="0" borderId="11" xfId="0" applyFont="1" applyBorder="1" applyAlignment="1">
      <alignment horizontal="center"/>
    </xf>
    <xf numFmtId="3" fontId="17" fillId="0" borderId="0" xfId="0" applyFont="1" applyBorder="1"/>
    <xf numFmtId="165" fontId="50" fillId="0" borderId="27" xfId="23" applyNumberFormat="1" applyFont="1" applyFill="1" applyBorder="1" applyAlignment="1" applyProtection="1">
      <alignment horizontal="center"/>
      <protection locked="0"/>
    </xf>
    <xf numFmtId="165" fontId="50" fillId="0" borderId="22" xfId="23" applyNumberFormat="1" applyFont="1" applyFill="1" applyBorder="1" applyAlignment="1" applyProtection="1">
      <alignment horizontal="center"/>
      <protection locked="0"/>
    </xf>
  </cellXfs>
  <cellStyles count="26027">
    <cellStyle name="20% - Accent1 2" xfId="995"/>
    <cellStyle name="20% - Accent2 2" xfId="996"/>
    <cellStyle name="20% - Accent3 2" xfId="997"/>
    <cellStyle name="20% - Accent4 2" xfId="998"/>
    <cellStyle name="20% - Accent5 2" xfId="999"/>
    <cellStyle name="20% - Accent6 2" xfId="1000"/>
    <cellStyle name="40% - Accent1 2" xfId="1001"/>
    <cellStyle name="40% - Accent2 2" xfId="1002"/>
    <cellStyle name="40% - Accent3 2" xfId="1003"/>
    <cellStyle name="40% - Accent4 2" xfId="1004"/>
    <cellStyle name="40% - Accent5 2" xfId="1005"/>
    <cellStyle name="40% - Accent6 2" xfId="1006"/>
    <cellStyle name="60% - Accent1 2" xfId="1007"/>
    <cellStyle name="60% - Accent2 2" xfId="1008"/>
    <cellStyle name="60% - Accent3 2" xfId="1009"/>
    <cellStyle name="60% - Accent4 2" xfId="1010"/>
    <cellStyle name="60% - Accent5 2" xfId="1011"/>
    <cellStyle name="60% - Accent6 2" xfId="1012"/>
    <cellStyle name="Accent1 2" xfId="1013"/>
    <cellStyle name="Accent2 2" xfId="1014"/>
    <cellStyle name="Accent3 2" xfId="1015"/>
    <cellStyle name="Accent4 2" xfId="1016"/>
    <cellStyle name="Accent5 2" xfId="1017"/>
    <cellStyle name="Accent6 2" xfId="1018"/>
    <cellStyle name="Bad 2" xfId="1019"/>
    <cellStyle name="Calculation 2" xfId="1020"/>
    <cellStyle name="Calculation 3" xfId="1044"/>
    <cellStyle name="Check Cell 2" xfId="1021"/>
    <cellStyle name="Comma" xfId="1" builtinId="3"/>
    <cellStyle name="Comma 2" xfId="23"/>
    <cellStyle name="Comma 2 2" xfId="113"/>
    <cellStyle name="Comma 2 3" xfId="71"/>
    <cellStyle name="Comma 2 4" xfId="1022"/>
    <cellStyle name="Comma 3" xfId="50"/>
    <cellStyle name="Comma 3 2" xfId="25"/>
    <cellStyle name="Comma 4" xfId="40"/>
    <cellStyle name="Comma 5" xfId="51"/>
    <cellStyle name="Comma 5 10" xfId="314"/>
    <cellStyle name="Comma 5 10 2" xfId="629"/>
    <cellStyle name="Comma 5 10 2 2" xfId="3117"/>
    <cellStyle name="Comma 5 10 2 2 2" xfId="12262"/>
    <cellStyle name="Comma 5 10 2 2 2 2" xfId="22480"/>
    <cellStyle name="Comma 5 10 2 2 3" xfId="8684"/>
    <cellStyle name="Comma 5 10 2 2 4" xfId="17473"/>
    <cellStyle name="Comma 5 10 2 3" xfId="4446"/>
    <cellStyle name="Comma 5 10 2 3 2" xfId="13286"/>
    <cellStyle name="Comma 5 10 2 3 2 2" xfId="23537"/>
    <cellStyle name="Comma 5 10 2 3 3" xfId="9707"/>
    <cellStyle name="Comma 5 10 2 3 4" xfId="18530"/>
    <cellStyle name="Comma 5 10 2 4" xfId="2226"/>
    <cellStyle name="Comma 5 10 2 4 2" xfId="11593"/>
    <cellStyle name="Comma 5 10 2 4 3" xfId="21597"/>
    <cellStyle name="Comma 5 10 2 5" xfId="5904"/>
    <cellStyle name="Comma 5 10 2 5 2" xfId="14731"/>
    <cellStyle name="Comma 5 10 2 5 3" xfId="24982"/>
    <cellStyle name="Comma 5 10 2 6" xfId="7348"/>
    <cellStyle name="Comma 5 10 2 6 2" xfId="20079"/>
    <cellStyle name="Comma 5 10 2 7" xfId="16590"/>
    <cellStyle name="Comma 5 10 3" xfId="1086"/>
    <cellStyle name="Comma 5 10 3 2" xfId="3517"/>
    <cellStyle name="Comma 5 10 3 2 2" xfId="12655"/>
    <cellStyle name="Comma 5 10 3 2 2 2" xfId="22874"/>
    <cellStyle name="Comma 5 10 3 2 3" xfId="9077"/>
    <cellStyle name="Comma 5 10 3 2 4" xfId="17867"/>
    <cellStyle name="Comma 5 10 3 3" xfId="4795"/>
    <cellStyle name="Comma 5 10 3 3 2" xfId="13634"/>
    <cellStyle name="Comma 5 10 3 3 2 2" xfId="23885"/>
    <cellStyle name="Comma 5 10 3 3 3" xfId="10055"/>
    <cellStyle name="Comma 5 10 3 3 4" xfId="18878"/>
    <cellStyle name="Comma 5 10 3 4" xfId="2594"/>
    <cellStyle name="Comma 5 10 3 4 2" xfId="11960"/>
    <cellStyle name="Comma 5 10 3 4 3" xfId="21964"/>
    <cellStyle name="Comma 5 10 3 5" xfId="6252"/>
    <cellStyle name="Comma 5 10 3 5 2" xfId="15079"/>
    <cellStyle name="Comma 5 10 3 5 3" xfId="25330"/>
    <cellStyle name="Comma 5 10 3 6" xfId="7698"/>
    <cellStyle name="Comma 5 10 3 6 2" xfId="20473"/>
    <cellStyle name="Comma 5 10 3 7" xfId="16957"/>
    <cellStyle name="Comma 5 10 4" xfId="2802"/>
    <cellStyle name="Comma 5 10 4 2" xfId="5180"/>
    <cellStyle name="Comma 5 10 4 2 2" xfId="14019"/>
    <cellStyle name="Comma 5 10 4 2 2 2" xfId="24270"/>
    <cellStyle name="Comma 5 10 4 2 3" xfId="10440"/>
    <cellStyle name="Comma 5 10 4 2 4" xfId="19263"/>
    <cellStyle name="Comma 5 10 4 3" xfId="6637"/>
    <cellStyle name="Comma 5 10 4 3 2" xfId="15464"/>
    <cellStyle name="Comma 5 10 4 3 3" xfId="25715"/>
    <cellStyle name="Comma 5 10 4 4" xfId="8083"/>
    <cellStyle name="Comma 5 10 4 4 2" xfId="22165"/>
    <cellStyle name="Comma 5 10 4 5" xfId="17158"/>
    <cellStyle name="Comma 5 10 5" xfId="4134"/>
    <cellStyle name="Comma 5 10 5 2" xfId="12974"/>
    <cellStyle name="Comma 5 10 5 2 2" xfId="23225"/>
    <cellStyle name="Comma 5 10 5 3" xfId="9395"/>
    <cellStyle name="Comma 5 10 5 4" xfId="18218"/>
    <cellStyle name="Comma 5 10 6" xfId="1911"/>
    <cellStyle name="Comma 5 10 6 2" xfId="11278"/>
    <cellStyle name="Comma 5 10 6 3" xfId="21282"/>
    <cellStyle name="Comma 5 10 7" xfId="5594"/>
    <cellStyle name="Comma 5 10 7 2" xfId="14421"/>
    <cellStyle name="Comma 5 10 7 3" xfId="24672"/>
    <cellStyle name="Comma 5 10 8" xfId="7038"/>
    <cellStyle name="Comma 5 10 8 2" xfId="19764"/>
    <cellStyle name="Comma 5 10 9" xfId="16275"/>
    <cellStyle name="Comma 5 11" xfId="628"/>
    <cellStyle name="Comma 5 11 2" xfId="3116"/>
    <cellStyle name="Comma 5 11 2 2" xfId="12261"/>
    <cellStyle name="Comma 5 11 2 2 2" xfId="22479"/>
    <cellStyle name="Comma 5 11 2 3" xfId="8683"/>
    <cellStyle name="Comma 5 11 2 4" xfId="17472"/>
    <cellStyle name="Comma 5 11 3" xfId="4445"/>
    <cellStyle name="Comma 5 11 3 2" xfId="13285"/>
    <cellStyle name="Comma 5 11 3 2 2" xfId="23536"/>
    <cellStyle name="Comma 5 11 3 3" xfId="9706"/>
    <cellStyle name="Comma 5 11 3 4" xfId="18529"/>
    <cellStyle name="Comma 5 11 4" xfId="2225"/>
    <cellStyle name="Comma 5 11 4 2" xfId="11592"/>
    <cellStyle name="Comma 5 11 4 3" xfId="21596"/>
    <cellStyle name="Comma 5 11 5" xfId="5903"/>
    <cellStyle name="Comma 5 11 5 2" xfId="14730"/>
    <cellStyle name="Comma 5 11 5 3" xfId="24981"/>
    <cellStyle name="Comma 5 11 6" xfId="7347"/>
    <cellStyle name="Comma 5 11 6 2" xfId="20078"/>
    <cellStyle name="Comma 5 11 7" xfId="16589"/>
    <cellStyle name="Comma 5 12" xfId="1054"/>
    <cellStyle name="Comma 5 12 2" xfId="3485"/>
    <cellStyle name="Comma 5 12 2 2" xfId="12623"/>
    <cellStyle name="Comma 5 12 2 2 2" xfId="22842"/>
    <cellStyle name="Comma 5 12 2 3" xfId="9045"/>
    <cellStyle name="Comma 5 12 2 4" xfId="17835"/>
    <cellStyle name="Comma 5 12 3" xfId="4794"/>
    <cellStyle name="Comma 5 12 3 2" xfId="13633"/>
    <cellStyle name="Comma 5 12 3 2 2" xfId="23884"/>
    <cellStyle name="Comma 5 12 3 3" xfId="10054"/>
    <cellStyle name="Comma 5 12 3 4" xfId="18877"/>
    <cellStyle name="Comma 5 12 4" xfId="1720"/>
    <cellStyle name="Comma 5 12 4 2" xfId="11099"/>
    <cellStyle name="Comma 5 12 4 3" xfId="21103"/>
    <cellStyle name="Comma 5 12 5" xfId="6251"/>
    <cellStyle name="Comma 5 12 5 2" xfId="15078"/>
    <cellStyle name="Comma 5 12 5 3" xfId="25329"/>
    <cellStyle name="Comma 5 12 6" xfId="7697"/>
    <cellStyle name="Comma 5 12 6 2" xfId="20441"/>
    <cellStyle name="Comma 5 12 7" xfId="16096"/>
    <cellStyle name="Comma 5 13" xfId="2620"/>
    <cellStyle name="Comma 5 13 2" xfId="5148"/>
    <cellStyle name="Comma 5 13 2 2" xfId="13987"/>
    <cellStyle name="Comma 5 13 2 2 2" xfId="24238"/>
    <cellStyle name="Comma 5 13 2 3" xfId="10408"/>
    <cellStyle name="Comma 5 13 2 4" xfId="19231"/>
    <cellStyle name="Comma 5 13 3" xfId="6605"/>
    <cellStyle name="Comma 5 13 3 2" xfId="15432"/>
    <cellStyle name="Comma 5 13 3 3" xfId="25683"/>
    <cellStyle name="Comma 5 13 4" xfId="8051"/>
    <cellStyle name="Comma 5 13 4 2" xfId="21986"/>
    <cellStyle name="Comma 5 13 5" xfId="16979"/>
    <cellStyle name="Comma 5 14" xfId="4102"/>
    <cellStyle name="Comma 5 14 2" xfId="5562"/>
    <cellStyle name="Comma 5 14 2 2" xfId="14389"/>
    <cellStyle name="Comma 5 14 2 3" xfId="24640"/>
    <cellStyle name="Comma 5 14 3" xfId="7006"/>
    <cellStyle name="Comma 5 14 3 2" xfId="23193"/>
    <cellStyle name="Comma 5 14 4" xfId="18186"/>
    <cellStyle name="Comma 5 15" xfId="1408"/>
    <cellStyle name="Comma 5 15 2" xfId="10787"/>
    <cellStyle name="Comma 5 15 3" xfId="20791"/>
    <cellStyle name="Comma 5 16" xfId="5520"/>
    <cellStyle name="Comma 5 16 2" xfId="14349"/>
    <cellStyle name="Comma 5 16 3" xfId="24600"/>
    <cellStyle name="Comma 5 17" xfId="6961"/>
    <cellStyle name="Comma 5 17 2" xfId="19586"/>
    <cellStyle name="Comma 5 18" xfId="15784"/>
    <cellStyle name="Comma 5 2" xfId="52"/>
    <cellStyle name="Comma 5 2 10" xfId="630"/>
    <cellStyle name="Comma 5 2 10 2" xfId="3118"/>
    <cellStyle name="Comma 5 2 10 2 2" xfId="12263"/>
    <cellStyle name="Comma 5 2 10 2 2 2" xfId="22481"/>
    <cellStyle name="Comma 5 2 10 2 3" xfId="8685"/>
    <cellStyle name="Comma 5 2 10 2 4" xfId="17474"/>
    <cellStyle name="Comma 5 2 10 3" xfId="4447"/>
    <cellStyle name="Comma 5 2 10 3 2" xfId="13287"/>
    <cellStyle name="Comma 5 2 10 3 2 2" xfId="23538"/>
    <cellStyle name="Comma 5 2 10 3 3" xfId="9708"/>
    <cellStyle name="Comma 5 2 10 3 4" xfId="18531"/>
    <cellStyle name="Comma 5 2 10 4" xfId="2227"/>
    <cellStyle name="Comma 5 2 10 4 2" xfId="11594"/>
    <cellStyle name="Comma 5 2 10 4 3" xfId="21598"/>
    <cellStyle name="Comma 5 2 10 5" xfId="5905"/>
    <cellStyle name="Comma 5 2 10 5 2" xfId="14732"/>
    <cellStyle name="Comma 5 2 10 5 3" xfId="24983"/>
    <cellStyle name="Comma 5 2 10 6" xfId="7349"/>
    <cellStyle name="Comma 5 2 10 6 2" xfId="20080"/>
    <cellStyle name="Comma 5 2 10 7" xfId="16591"/>
    <cellStyle name="Comma 5 2 11" xfId="1055"/>
    <cellStyle name="Comma 5 2 11 2" xfId="3486"/>
    <cellStyle name="Comma 5 2 11 2 2" xfId="12624"/>
    <cellStyle name="Comma 5 2 11 2 2 2" xfId="22843"/>
    <cellStyle name="Comma 5 2 11 2 3" xfId="9046"/>
    <cellStyle name="Comma 5 2 11 2 4" xfId="17836"/>
    <cellStyle name="Comma 5 2 11 3" xfId="4796"/>
    <cellStyle name="Comma 5 2 11 3 2" xfId="13635"/>
    <cellStyle name="Comma 5 2 11 3 2 2" xfId="23886"/>
    <cellStyle name="Comma 5 2 11 3 3" xfId="10056"/>
    <cellStyle name="Comma 5 2 11 3 4" xfId="18879"/>
    <cellStyle name="Comma 5 2 11 4" xfId="1721"/>
    <cellStyle name="Comma 5 2 11 4 2" xfId="11100"/>
    <cellStyle name="Comma 5 2 11 4 3" xfId="21104"/>
    <cellStyle name="Comma 5 2 11 5" xfId="6253"/>
    <cellStyle name="Comma 5 2 11 5 2" xfId="15080"/>
    <cellStyle name="Comma 5 2 11 5 3" xfId="25331"/>
    <cellStyle name="Comma 5 2 11 6" xfId="7699"/>
    <cellStyle name="Comma 5 2 11 6 2" xfId="20442"/>
    <cellStyle name="Comma 5 2 11 7" xfId="16097"/>
    <cellStyle name="Comma 5 2 12" xfId="2621"/>
    <cellStyle name="Comma 5 2 12 2" xfId="5149"/>
    <cellStyle name="Comma 5 2 12 2 2" xfId="13988"/>
    <cellStyle name="Comma 5 2 12 2 2 2" xfId="24239"/>
    <cellStyle name="Comma 5 2 12 2 3" xfId="10409"/>
    <cellStyle name="Comma 5 2 12 2 4" xfId="19232"/>
    <cellStyle name="Comma 5 2 12 3" xfId="6606"/>
    <cellStyle name="Comma 5 2 12 3 2" xfId="15433"/>
    <cellStyle name="Comma 5 2 12 3 3" xfId="25684"/>
    <cellStyle name="Comma 5 2 12 4" xfId="8052"/>
    <cellStyle name="Comma 5 2 12 4 2" xfId="21987"/>
    <cellStyle name="Comma 5 2 12 5" xfId="16980"/>
    <cellStyle name="Comma 5 2 13" xfId="4103"/>
    <cellStyle name="Comma 5 2 13 2" xfId="5563"/>
    <cellStyle name="Comma 5 2 13 2 2" xfId="14390"/>
    <cellStyle name="Comma 5 2 13 2 3" xfId="24641"/>
    <cellStyle name="Comma 5 2 13 3" xfId="7007"/>
    <cellStyle name="Comma 5 2 13 3 2" xfId="23194"/>
    <cellStyle name="Comma 5 2 13 4" xfId="18187"/>
    <cellStyle name="Comma 5 2 14" xfId="1409"/>
    <cellStyle name="Comma 5 2 14 2" xfId="10788"/>
    <cellStyle name="Comma 5 2 14 3" xfId="20792"/>
    <cellStyle name="Comma 5 2 15" xfId="5521"/>
    <cellStyle name="Comma 5 2 15 2" xfId="14350"/>
    <cellStyle name="Comma 5 2 15 3" xfId="24601"/>
    <cellStyle name="Comma 5 2 16" xfId="6962"/>
    <cellStyle name="Comma 5 2 16 2" xfId="19587"/>
    <cellStyle name="Comma 5 2 17" xfId="15785"/>
    <cellStyle name="Comma 5 2 2" xfId="123"/>
    <cellStyle name="Comma 5 2 2 10" xfId="4115"/>
    <cellStyle name="Comma 5 2 2 10 2" xfId="5575"/>
    <cellStyle name="Comma 5 2 2 10 2 2" xfId="14402"/>
    <cellStyle name="Comma 5 2 2 10 2 3" xfId="24653"/>
    <cellStyle name="Comma 5 2 2 10 3" xfId="7019"/>
    <cellStyle name="Comma 5 2 2 10 3 2" xfId="23206"/>
    <cellStyle name="Comma 5 2 2 10 4" xfId="18199"/>
    <cellStyle name="Comma 5 2 2 11" xfId="1434"/>
    <cellStyle name="Comma 5 2 2 11 2" xfId="10813"/>
    <cellStyle name="Comma 5 2 2 11 3" xfId="20817"/>
    <cellStyle name="Comma 5 2 2 12" xfId="5543"/>
    <cellStyle name="Comma 5 2 2 12 2" xfId="14372"/>
    <cellStyle name="Comma 5 2 2 12 3" xfId="24623"/>
    <cellStyle name="Comma 5 2 2 13" xfId="6989"/>
    <cellStyle name="Comma 5 2 2 13 2" xfId="19600"/>
    <cellStyle name="Comma 5 2 2 14" xfId="15810"/>
    <cellStyle name="Comma 5 2 2 2" xfId="167"/>
    <cellStyle name="Comma 5 2 2 2 10" xfId="5677"/>
    <cellStyle name="Comma 5 2 2 2 10 2" xfId="14504"/>
    <cellStyle name="Comma 5 2 2 2 10 3" xfId="24755"/>
    <cellStyle name="Comma 5 2 2 2 11" xfId="7121"/>
    <cellStyle name="Comma 5 2 2 2 11 2" xfId="19630"/>
    <cellStyle name="Comma 5 2 2 2 12" xfId="15867"/>
    <cellStyle name="Comma 5 2 2 2 2" xfId="279"/>
    <cellStyle name="Comma 5 2 2 2 2 10" xfId="16071"/>
    <cellStyle name="Comma 5 2 2 2 2 2" xfId="601"/>
    <cellStyle name="Comma 5 2 2 2 2 2 2" xfId="3089"/>
    <cellStyle name="Comma 5 2 2 2 2 2 2 2" xfId="12238"/>
    <cellStyle name="Comma 5 2 2 2 2 2 2 2 2" xfId="22452"/>
    <cellStyle name="Comma 5 2 2 2 2 2 2 3" xfId="8660"/>
    <cellStyle name="Comma 5 2 2 2 2 2 2 4" xfId="17445"/>
    <cellStyle name="Comma 5 2 2 2 2 2 3" xfId="4450"/>
    <cellStyle name="Comma 5 2 2 2 2 2 3 2" xfId="13290"/>
    <cellStyle name="Comma 5 2 2 2 2 2 3 2 2" xfId="23541"/>
    <cellStyle name="Comma 5 2 2 2 2 2 3 3" xfId="9711"/>
    <cellStyle name="Comma 5 2 2 2 2 2 3 4" xfId="18534"/>
    <cellStyle name="Comma 5 2 2 2 2 2 4" xfId="2198"/>
    <cellStyle name="Comma 5 2 2 2 2 2 4 2" xfId="11565"/>
    <cellStyle name="Comma 5 2 2 2 2 2 4 3" xfId="21569"/>
    <cellStyle name="Comma 5 2 2 2 2 2 5" xfId="5908"/>
    <cellStyle name="Comma 5 2 2 2 2 2 5 2" xfId="14735"/>
    <cellStyle name="Comma 5 2 2 2 2 2 5 3" xfId="24986"/>
    <cellStyle name="Comma 5 2 2 2 2 2 6" xfId="7352"/>
    <cellStyle name="Comma 5 2 2 2 2 2 6 2" xfId="20051"/>
    <cellStyle name="Comma 5 2 2 2 2 2 7" xfId="16562"/>
    <cellStyle name="Comma 5 2 2 2 2 3" xfId="633"/>
    <cellStyle name="Comma 5 2 2 2 2 3 2" xfId="3121"/>
    <cellStyle name="Comma 5 2 2 2 2 3 2 2" xfId="12266"/>
    <cellStyle name="Comma 5 2 2 2 2 3 2 2 2" xfId="22484"/>
    <cellStyle name="Comma 5 2 2 2 2 3 2 3" xfId="8688"/>
    <cellStyle name="Comma 5 2 2 2 2 3 2 4" xfId="17477"/>
    <cellStyle name="Comma 5 2 2 2 2 3 3" xfId="4799"/>
    <cellStyle name="Comma 5 2 2 2 2 3 3 2" xfId="13638"/>
    <cellStyle name="Comma 5 2 2 2 2 3 3 2 2" xfId="23889"/>
    <cellStyle name="Comma 5 2 2 2 2 3 3 3" xfId="10059"/>
    <cellStyle name="Comma 5 2 2 2 2 3 3 4" xfId="18882"/>
    <cellStyle name="Comma 5 2 2 2 2 3 4" xfId="2230"/>
    <cellStyle name="Comma 5 2 2 2 2 3 4 2" xfId="11597"/>
    <cellStyle name="Comma 5 2 2 2 2 3 4 3" xfId="21601"/>
    <cellStyle name="Comma 5 2 2 2 2 3 5" xfId="6256"/>
    <cellStyle name="Comma 5 2 2 2 2 3 5 2" xfId="15083"/>
    <cellStyle name="Comma 5 2 2 2 2 3 5 3" xfId="25334"/>
    <cellStyle name="Comma 5 2 2 2 2 3 6" xfId="7702"/>
    <cellStyle name="Comma 5 2 2 2 2 3 6 2" xfId="20083"/>
    <cellStyle name="Comma 5 2 2 2 2 3 7" xfId="16594"/>
    <cellStyle name="Comma 5 2 2 2 2 4" xfId="1373"/>
    <cellStyle name="Comma 5 2 2 2 2 4 2" xfId="3804"/>
    <cellStyle name="Comma 5 2 2 2 2 4 2 2" xfId="12942"/>
    <cellStyle name="Comma 5 2 2 2 2 4 2 2 2" xfId="23161"/>
    <cellStyle name="Comma 5 2 2 2 2 4 2 3" xfId="9363"/>
    <cellStyle name="Comma 5 2 2 2 2 4 2 4" xfId="18154"/>
    <cellStyle name="Comma 5 2 2 2 2 4 3" xfId="5467"/>
    <cellStyle name="Comma 5 2 2 2 2 4 3 2" xfId="14306"/>
    <cellStyle name="Comma 5 2 2 2 2 4 3 2 2" xfId="24557"/>
    <cellStyle name="Comma 5 2 2 2 2 4 3 3" xfId="10727"/>
    <cellStyle name="Comma 5 2 2 2 2 4 3 4" xfId="19550"/>
    <cellStyle name="Comma 5 2 2 2 2 4 4" xfId="1878"/>
    <cellStyle name="Comma 5 2 2 2 2 4 4 2" xfId="11248"/>
    <cellStyle name="Comma 5 2 2 2 2 4 4 3" xfId="21252"/>
    <cellStyle name="Comma 5 2 2 2 2 4 5" xfId="6924"/>
    <cellStyle name="Comma 5 2 2 2 2 4 5 2" xfId="15751"/>
    <cellStyle name="Comma 5 2 2 2 2 4 5 3" xfId="26002"/>
    <cellStyle name="Comma 5 2 2 2 2 4 6" xfId="8370"/>
    <cellStyle name="Comma 5 2 2 2 2 4 6 2" xfId="20760"/>
    <cellStyle name="Comma 5 2 2 2 2 4 7" xfId="16245"/>
    <cellStyle name="Comma 5 2 2 2 2 5" xfId="2772"/>
    <cellStyle name="Comma 5 2 2 2 2 5 2" xfId="12091"/>
    <cellStyle name="Comma 5 2 2 2 2 5 2 2" xfId="22135"/>
    <cellStyle name="Comma 5 2 2 2 2 5 3" xfId="8425"/>
    <cellStyle name="Comma 5 2 2 2 2 5 4" xfId="17128"/>
    <cellStyle name="Comma 5 2 2 2 2 6" xfId="4423"/>
    <cellStyle name="Comma 5 2 2 2 2 6 2" xfId="13263"/>
    <cellStyle name="Comma 5 2 2 2 2 6 2 2" xfId="23514"/>
    <cellStyle name="Comma 5 2 2 2 2 6 3" xfId="9684"/>
    <cellStyle name="Comma 5 2 2 2 2 6 4" xfId="18507"/>
    <cellStyle name="Comma 5 2 2 2 2 7" xfId="1695"/>
    <cellStyle name="Comma 5 2 2 2 2 7 2" xfId="11074"/>
    <cellStyle name="Comma 5 2 2 2 2 7 3" xfId="21078"/>
    <cellStyle name="Comma 5 2 2 2 2 8" xfId="5881"/>
    <cellStyle name="Comma 5 2 2 2 2 8 2" xfId="14708"/>
    <cellStyle name="Comma 5 2 2 2 2 8 3" xfId="24959"/>
    <cellStyle name="Comma 5 2 2 2 2 9" xfId="7325"/>
    <cellStyle name="Comma 5 2 2 2 2 9 2" xfId="19734"/>
    <cellStyle name="Comma 5 2 2 2 3" xfId="497"/>
    <cellStyle name="Comma 5 2 2 2 3 2" xfId="634"/>
    <cellStyle name="Comma 5 2 2 2 3 2 2" xfId="3122"/>
    <cellStyle name="Comma 5 2 2 2 3 2 2 2" xfId="12267"/>
    <cellStyle name="Comma 5 2 2 2 3 2 2 2 2" xfId="22485"/>
    <cellStyle name="Comma 5 2 2 2 3 2 2 3" xfId="8689"/>
    <cellStyle name="Comma 5 2 2 2 3 2 2 4" xfId="17478"/>
    <cellStyle name="Comma 5 2 2 2 3 2 3" xfId="4451"/>
    <cellStyle name="Comma 5 2 2 2 3 2 3 2" xfId="13291"/>
    <cellStyle name="Comma 5 2 2 2 3 2 3 2 2" xfId="23542"/>
    <cellStyle name="Comma 5 2 2 2 3 2 3 3" xfId="9712"/>
    <cellStyle name="Comma 5 2 2 2 3 2 3 4" xfId="18535"/>
    <cellStyle name="Comma 5 2 2 2 3 2 4" xfId="2231"/>
    <cellStyle name="Comma 5 2 2 2 3 2 4 2" xfId="11598"/>
    <cellStyle name="Comma 5 2 2 2 3 2 4 3" xfId="21602"/>
    <cellStyle name="Comma 5 2 2 2 3 2 5" xfId="5909"/>
    <cellStyle name="Comma 5 2 2 2 3 2 5 2" xfId="14736"/>
    <cellStyle name="Comma 5 2 2 2 3 2 5 3" xfId="24987"/>
    <cellStyle name="Comma 5 2 2 2 3 2 6" xfId="7353"/>
    <cellStyle name="Comma 5 2 2 2 3 2 6 2" xfId="20084"/>
    <cellStyle name="Comma 5 2 2 2 3 2 7" xfId="16595"/>
    <cellStyle name="Comma 5 2 2 2 3 3" xfId="1269"/>
    <cellStyle name="Comma 5 2 2 2 3 3 2" xfId="3700"/>
    <cellStyle name="Comma 5 2 2 2 3 3 2 2" xfId="12838"/>
    <cellStyle name="Comma 5 2 2 2 3 3 2 2 2" xfId="23057"/>
    <cellStyle name="Comma 5 2 2 2 3 3 2 3" xfId="9259"/>
    <cellStyle name="Comma 5 2 2 2 3 3 2 4" xfId="18050"/>
    <cellStyle name="Comma 5 2 2 2 3 3 3" xfId="4800"/>
    <cellStyle name="Comma 5 2 2 2 3 3 3 2" xfId="13639"/>
    <cellStyle name="Comma 5 2 2 2 3 3 3 2 2" xfId="23890"/>
    <cellStyle name="Comma 5 2 2 2 3 3 3 3" xfId="10060"/>
    <cellStyle name="Comma 5 2 2 2 3 3 3 4" xfId="18883"/>
    <cellStyle name="Comma 5 2 2 2 3 3 4" xfId="2094"/>
    <cellStyle name="Comma 5 2 2 2 3 3 4 2" xfId="11461"/>
    <cellStyle name="Comma 5 2 2 2 3 3 4 3" xfId="21465"/>
    <cellStyle name="Comma 5 2 2 2 3 3 5" xfId="6257"/>
    <cellStyle name="Comma 5 2 2 2 3 3 5 2" xfId="15084"/>
    <cellStyle name="Comma 5 2 2 2 3 3 5 3" xfId="25335"/>
    <cellStyle name="Comma 5 2 2 2 3 3 6" xfId="7703"/>
    <cellStyle name="Comma 5 2 2 2 3 3 6 2" xfId="20656"/>
    <cellStyle name="Comma 5 2 2 2 3 3 7" xfId="16458"/>
    <cellStyle name="Comma 5 2 2 2 3 4" xfId="2985"/>
    <cellStyle name="Comma 5 2 2 2 3 4 2" xfId="5363"/>
    <cellStyle name="Comma 5 2 2 2 3 4 2 2" xfId="14202"/>
    <cellStyle name="Comma 5 2 2 2 3 4 2 2 2" xfId="24453"/>
    <cellStyle name="Comma 5 2 2 2 3 4 2 3" xfId="10623"/>
    <cellStyle name="Comma 5 2 2 2 3 4 2 4" xfId="19446"/>
    <cellStyle name="Comma 5 2 2 2 3 4 3" xfId="6820"/>
    <cellStyle name="Comma 5 2 2 2 3 4 3 2" xfId="15647"/>
    <cellStyle name="Comma 5 2 2 2 3 4 3 3" xfId="25898"/>
    <cellStyle name="Comma 5 2 2 2 3 4 4" xfId="8266"/>
    <cellStyle name="Comma 5 2 2 2 3 4 4 2" xfId="22348"/>
    <cellStyle name="Comma 5 2 2 2 3 4 5" xfId="17341"/>
    <cellStyle name="Comma 5 2 2 2 3 5" xfId="4319"/>
    <cellStyle name="Comma 5 2 2 2 3 5 2" xfId="13159"/>
    <cellStyle name="Comma 5 2 2 2 3 5 2 2" xfId="23410"/>
    <cellStyle name="Comma 5 2 2 2 3 5 3" xfId="9580"/>
    <cellStyle name="Comma 5 2 2 2 3 5 4" xfId="18403"/>
    <cellStyle name="Comma 5 2 2 2 3 6" xfId="1591"/>
    <cellStyle name="Comma 5 2 2 2 3 6 2" xfId="10970"/>
    <cellStyle name="Comma 5 2 2 2 3 6 3" xfId="20974"/>
    <cellStyle name="Comma 5 2 2 2 3 7" xfId="5777"/>
    <cellStyle name="Comma 5 2 2 2 3 7 2" xfId="14604"/>
    <cellStyle name="Comma 5 2 2 2 3 7 3" xfId="24855"/>
    <cellStyle name="Comma 5 2 2 2 3 8" xfId="7221"/>
    <cellStyle name="Comma 5 2 2 2 3 8 2" xfId="19947"/>
    <cellStyle name="Comma 5 2 2 2 3 9" xfId="15967"/>
    <cellStyle name="Comma 5 2 2 2 4" xfId="397"/>
    <cellStyle name="Comma 5 2 2 2 4 2" xfId="2885"/>
    <cellStyle name="Comma 5 2 2 2 4 2 2" xfId="12175"/>
    <cellStyle name="Comma 5 2 2 2 4 2 2 2" xfId="22248"/>
    <cellStyle name="Comma 5 2 2 2 4 2 3" xfId="8422"/>
    <cellStyle name="Comma 5 2 2 2 4 2 4" xfId="17241"/>
    <cellStyle name="Comma 5 2 2 2 4 3" xfId="4449"/>
    <cellStyle name="Comma 5 2 2 2 4 3 2" xfId="13289"/>
    <cellStyle name="Comma 5 2 2 2 4 3 2 2" xfId="23540"/>
    <cellStyle name="Comma 5 2 2 2 4 3 3" xfId="9710"/>
    <cellStyle name="Comma 5 2 2 2 4 3 4" xfId="18533"/>
    <cellStyle name="Comma 5 2 2 2 4 4" xfId="1994"/>
    <cellStyle name="Comma 5 2 2 2 4 4 2" xfId="11361"/>
    <cellStyle name="Comma 5 2 2 2 4 4 3" xfId="21365"/>
    <cellStyle name="Comma 5 2 2 2 4 5" xfId="5907"/>
    <cellStyle name="Comma 5 2 2 2 4 5 2" xfId="14734"/>
    <cellStyle name="Comma 5 2 2 2 4 5 3" xfId="24985"/>
    <cellStyle name="Comma 5 2 2 2 4 6" xfId="7351"/>
    <cellStyle name="Comma 5 2 2 2 4 6 2" xfId="19847"/>
    <cellStyle name="Comma 5 2 2 2 4 7" xfId="16358"/>
    <cellStyle name="Comma 5 2 2 2 5" xfId="632"/>
    <cellStyle name="Comma 5 2 2 2 5 2" xfId="3120"/>
    <cellStyle name="Comma 5 2 2 2 5 2 2" xfId="12265"/>
    <cellStyle name="Comma 5 2 2 2 5 2 2 2" xfId="22483"/>
    <cellStyle name="Comma 5 2 2 2 5 2 3" xfId="8687"/>
    <cellStyle name="Comma 5 2 2 2 5 2 4" xfId="17476"/>
    <cellStyle name="Comma 5 2 2 2 5 3" xfId="4798"/>
    <cellStyle name="Comma 5 2 2 2 5 3 2" xfId="13637"/>
    <cellStyle name="Comma 5 2 2 2 5 3 2 2" xfId="23888"/>
    <cellStyle name="Comma 5 2 2 2 5 3 3" xfId="10058"/>
    <cellStyle name="Comma 5 2 2 2 5 3 4" xfId="18881"/>
    <cellStyle name="Comma 5 2 2 2 5 4" xfId="2229"/>
    <cellStyle name="Comma 5 2 2 2 5 4 2" xfId="11596"/>
    <cellStyle name="Comma 5 2 2 2 5 4 3" xfId="21600"/>
    <cellStyle name="Comma 5 2 2 2 5 5" xfId="6255"/>
    <cellStyle name="Comma 5 2 2 2 5 5 2" xfId="15082"/>
    <cellStyle name="Comma 5 2 2 2 5 5 3" xfId="25333"/>
    <cellStyle name="Comma 5 2 2 2 5 6" xfId="7701"/>
    <cellStyle name="Comma 5 2 2 2 5 6 2" xfId="20082"/>
    <cellStyle name="Comma 5 2 2 2 5 7" xfId="16593"/>
    <cellStyle name="Comma 5 2 2 2 6" xfId="1169"/>
    <cellStyle name="Comma 5 2 2 2 6 2" xfId="3600"/>
    <cellStyle name="Comma 5 2 2 2 6 2 2" xfId="12738"/>
    <cellStyle name="Comma 5 2 2 2 6 2 2 2" xfId="22957"/>
    <cellStyle name="Comma 5 2 2 2 6 2 3" xfId="9159"/>
    <cellStyle name="Comma 5 2 2 2 6 2 4" xfId="17950"/>
    <cellStyle name="Comma 5 2 2 2 6 3" xfId="5263"/>
    <cellStyle name="Comma 5 2 2 2 6 3 2" xfId="14102"/>
    <cellStyle name="Comma 5 2 2 2 6 3 2 2" xfId="24353"/>
    <cellStyle name="Comma 5 2 2 2 6 3 3" xfId="10523"/>
    <cellStyle name="Comma 5 2 2 2 6 3 4" xfId="19346"/>
    <cellStyle name="Comma 5 2 2 2 6 4" xfId="1771"/>
    <cellStyle name="Comma 5 2 2 2 6 4 2" xfId="11144"/>
    <cellStyle name="Comma 5 2 2 2 6 4 3" xfId="21148"/>
    <cellStyle name="Comma 5 2 2 2 6 5" xfId="6720"/>
    <cellStyle name="Comma 5 2 2 2 6 5 2" xfId="15547"/>
    <cellStyle name="Comma 5 2 2 2 6 5 3" xfId="25798"/>
    <cellStyle name="Comma 5 2 2 2 6 6" xfId="8166"/>
    <cellStyle name="Comma 5 2 2 2 6 6 2" xfId="20556"/>
    <cellStyle name="Comma 5 2 2 2 6 7" xfId="16141"/>
    <cellStyle name="Comma 5 2 2 2 7" xfId="2668"/>
    <cellStyle name="Comma 5 2 2 2 7 2" xfId="11990"/>
    <cellStyle name="Comma 5 2 2 2 7 2 2" xfId="22031"/>
    <cellStyle name="Comma 5 2 2 2 7 3" xfId="8514"/>
    <cellStyle name="Comma 5 2 2 2 7 4" xfId="17024"/>
    <cellStyle name="Comma 5 2 2 2 8" xfId="4219"/>
    <cellStyle name="Comma 5 2 2 2 8 2" xfId="13059"/>
    <cellStyle name="Comma 5 2 2 2 8 2 2" xfId="23310"/>
    <cellStyle name="Comma 5 2 2 2 8 3" xfId="9480"/>
    <cellStyle name="Comma 5 2 2 2 8 4" xfId="18303"/>
    <cellStyle name="Comma 5 2 2 2 9" xfId="1491"/>
    <cellStyle name="Comma 5 2 2 2 9 2" xfId="10870"/>
    <cellStyle name="Comma 5 2 2 2 9 3" xfId="20874"/>
    <cellStyle name="Comma 5 2 2 3" xfId="214"/>
    <cellStyle name="Comma 5 2 2 3 10" xfId="7164"/>
    <cellStyle name="Comma 5 2 2 3 10 2" xfId="19673"/>
    <cellStyle name="Comma 5 2 2 3 11" xfId="15910"/>
    <cellStyle name="Comma 5 2 2 3 2" xfId="540"/>
    <cellStyle name="Comma 5 2 2 3 2 2" xfId="636"/>
    <cellStyle name="Comma 5 2 2 3 2 2 2" xfId="3124"/>
    <cellStyle name="Comma 5 2 2 3 2 2 2 2" xfId="12269"/>
    <cellStyle name="Comma 5 2 2 3 2 2 2 2 2" xfId="22487"/>
    <cellStyle name="Comma 5 2 2 3 2 2 2 3" xfId="8691"/>
    <cellStyle name="Comma 5 2 2 3 2 2 2 4" xfId="17480"/>
    <cellStyle name="Comma 5 2 2 3 2 2 3" xfId="4453"/>
    <cellStyle name="Comma 5 2 2 3 2 2 3 2" xfId="13293"/>
    <cellStyle name="Comma 5 2 2 3 2 2 3 2 2" xfId="23544"/>
    <cellStyle name="Comma 5 2 2 3 2 2 3 3" xfId="9714"/>
    <cellStyle name="Comma 5 2 2 3 2 2 3 4" xfId="18537"/>
    <cellStyle name="Comma 5 2 2 3 2 2 4" xfId="2233"/>
    <cellStyle name="Comma 5 2 2 3 2 2 4 2" xfId="11600"/>
    <cellStyle name="Comma 5 2 2 3 2 2 4 3" xfId="21604"/>
    <cellStyle name="Comma 5 2 2 3 2 2 5" xfId="5911"/>
    <cellStyle name="Comma 5 2 2 3 2 2 5 2" xfId="14738"/>
    <cellStyle name="Comma 5 2 2 3 2 2 5 3" xfId="24989"/>
    <cellStyle name="Comma 5 2 2 3 2 2 6" xfId="7355"/>
    <cellStyle name="Comma 5 2 2 3 2 2 6 2" xfId="20086"/>
    <cellStyle name="Comma 5 2 2 3 2 2 7" xfId="16597"/>
    <cellStyle name="Comma 5 2 2 3 2 3" xfId="1312"/>
    <cellStyle name="Comma 5 2 2 3 2 3 2" xfId="3743"/>
    <cellStyle name="Comma 5 2 2 3 2 3 2 2" xfId="12881"/>
    <cellStyle name="Comma 5 2 2 3 2 3 2 2 2" xfId="23100"/>
    <cellStyle name="Comma 5 2 2 3 2 3 2 3" xfId="9302"/>
    <cellStyle name="Comma 5 2 2 3 2 3 2 4" xfId="18093"/>
    <cellStyle name="Comma 5 2 2 3 2 3 3" xfId="4802"/>
    <cellStyle name="Comma 5 2 2 3 2 3 3 2" xfId="13641"/>
    <cellStyle name="Comma 5 2 2 3 2 3 3 2 2" xfId="23892"/>
    <cellStyle name="Comma 5 2 2 3 2 3 3 3" xfId="10062"/>
    <cellStyle name="Comma 5 2 2 3 2 3 3 4" xfId="18885"/>
    <cellStyle name="Comma 5 2 2 3 2 3 4" xfId="2137"/>
    <cellStyle name="Comma 5 2 2 3 2 3 4 2" xfId="11504"/>
    <cellStyle name="Comma 5 2 2 3 2 3 4 3" xfId="21508"/>
    <cellStyle name="Comma 5 2 2 3 2 3 5" xfId="6259"/>
    <cellStyle name="Comma 5 2 2 3 2 3 5 2" xfId="15086"/>
    <cellStyle name="Comma 5 2 2 3 2 3 5 3" xfId="25337"/>
    <cellStyle name="Comma 5 2 2 3 2 3 6" xfId="7705"/>
    <cellStyle name="Comma 5 2 2 3 2 3 6 2" xfId="20699"/>
    <cellStyle name="Comma 5 2 2 3 2 3 7" xfId="16501"/>
    <cellStyle name="Comma 5 2 2 3 2 4" xfId="3028"/>
    <cellStyle name="Comma 5 2 2 3 2 4 2" xfId="5406"/>
    <cellStyle name="Comma 5 2 2 3 2 4 2 2" xfId="14245"/>
    <cellStyle name="Comma 5 2 2 3 2 4 2 2 2" xfId="24496"/>
    <cellStyle name="Comma 5 2 2 3 2 4 2 3" xfId="10666"/>
    <cellStyle name="Comma 5 2 2 3 2 4 2 4" xfId="19489"/>
    <cellStyle name="Comma 5 2 2 3 2 4 3" xfId="6863"/>
    <cellStyle name="Comma 5 2 2 3 2 4 3 2" xfId="15690"/>
    <cellStyle name="Comma 5 2 2 3 2 4 3 3" xfId="25941"/>
    <cellStyle name="Comma 5 2 2 3 2 4 4" xfId="8309"/>
    <cellStyle name="Comma 5 2 2 3 2 4 4 2" xfId="22391"/>
    <cellStyle name="Comma 5 2 2 3 2 4 5" xfId="17384"/>
    <cellStyle name="Comma 5 2 2 3 2 5" xfId="4362"/>
    <cellStyle name="Comma 5 2 2 3 2 5 2" xfId="13202"/>
    <cellStyle name="Comma 5 2 2 3 2 5 2 2" xfId="23453"/>
    <cellStyle name="Comma 5 2 2 3 2 5 3" xfId="9623"/>
    <cellStyle name="Comma 5 2 2 3 2 5 4" xfId="18446"/>
    <cellStyle name="Comma 5 2 2 3 2 6" xfId="1634"/>
    <cellStyle name="Comma 5 2 2 3 2 6 2" xfId="11013"/>
    <cellStyle name="Comma 5 2 2 3 2 6 3" xfId="21017"/>
    <cellStyle name="Comma 5 2 2 3 2 7" xfId="5820"/>
    <cellStyle name="Comma 5 2 2 3 2 7 2" xfId="14647"/>
    <cellStyle name="Comma 5 2 2 3 2 7 3" xfId="24898"/>
    <cellStyle name="Comma 5 2 2 3 2 8" xfId="7264"/>
    <cellStyle name="Comma 5 2 2 3 2 8 2" xfId="19990"/>
    <cellStyle name="Comma 5 2 2 3 2 9" xfId="16010"/>
    <cellStyle name="Comma 5 2 2 3 3" xfId="440"/>
    <cellStyle name="Comma 5 2 2 3 3 2" xfId="2928"/>
    <cellStyle name="Comma 5 2 2 3 3 2 2" xfId="12218"/>
    <cellStyle name="Comma 5 2 2 3 3 2 2 2" xfId="22291"/>
    <cellStyle name="Comma 5 2 2 3 3 2 3" xfId="8401"/>
    <cellStyle name="Comma 5 2 2 3 3 2 4" xfId="17284"/>
    <cellStyle name="Comma 5 2 2 3 3 3" xfId="4452"/>
    <cellStyle name="Comma 5 2 2 3 3 3 2" xfId="13292"/>
    <cellStyle name="Comma 5 2 2 3 3 3 2 2" xfId="23543"/>
    <cellStyle name="Comma 5 2 2 3 3 3 3" xfId="9713"/>
    <cellStyle name="Comma 5 2 2 3 3 3 4" xfId="18536"/>
    <cellStyle name="Comma 5 2 2 3 3 4" xfId="2037"/>
    <cellStyle name="Comma 5 2 2 3 3 4 2" xfId="11404"/>
    <cellStyle name="Comma 5 2 2 3 3 4 3" xfId="21408"/>
    <cellStyle name="Comma 5 2 2 3 3 5" xfId="5910"/>
    <cellStyle name="Comma 5 2 2 3 3 5 2" xfId="14737"/>
    <cellStyle name="Comma 5 2 2 3 3 5 3" xfId="24988"/>
    <cellStyle name="Comma 5 2 2 3 3 6" xfId="7354"/>
    <cellStyle name="Comma 5 2 2 3 3 6 2" xfId="19890"/>
    <cellStyle name="Comma 5 2 2 3 3 7" xfId="16401"/>
    <cellStyle name="Comma 5 2 2 3 4" xfId="635"/>
    <cellStyle name="Comma 5 2 2 3 4 2" xfId="3123"/>
    <cellStyle name="Comma 5 2 2 3 4 2 2" xfId="12268"/>
    <cellStyle name="Comma 5 2 2 3 4 2 2 2" xfId="22486"/>
    <cellStyle name="Comma 5 2 2 3 4 2 3" xfId="8690"/>
    <cellStyle name="Comma 5 2 2 3 4 2 4" xfId="17479"/>
    <cellStyle name="Comma 5 2 2 3 4 3" xfId="4801"/>
    <cellStyle name="Comma 5 2 2 3 4 3 2" xfId="13640"/>
    <cellStyle name="Comma 5 2 2 3 4 3 2 2" xfId="23891"/>
    <cellStyle name="Comma 5 2 2 3 4 3 3" xfId="10061"/>
    <cellStyle name="Comma 5 2 2 3 4 3 4" xfId="18884"/>
    <cellStyle name="Comma 5 2 2 3 4 4" xfId="2232"/>
    <cellStyle name="Comma 5 2 2 3 4 4 2" xfId="11599"/>
    <cellStyle name="Comma 5 2 2 3 4 4 3" xfId="21603"/>
    <cellStyle name="Comma 5 2 2 3 4 5" xfId="6258"/>
    <cellStyle name="Comma 5 2 2 3 4 5 2" xfId="15085"/>
    <cellStyle name="Comma 5 2 2 3 4 5 3" xfId="25336"/>
    <cellStyle name="Comma 5 2 2 3 4 6" xfId="7704"/>
    <cellStyle name="Comma 5 2 2 3 4 6 2" xfId="20085"/>
    <cellStyle name="Comma 5 2 2 3 4 7" xfId="16596"/>
    <cellStyle name="Comma 5 2 2 3 5" xfId="1212"/>
    <cellStyle name="Comma 5 2 2 3 5 2" xfId="3643"/>
    <cellStyle name="Comma 5 2 2 3 5 2 2" xfId="12781"/>
    <cellStyle name="Comma 5 2 2 3 5 2 2 2" xfId="23000"/>
    <cellStyle name="Comma 5 2 2 3 5 2 3" xfId="9202"/>
    <cellStyle name="Comma 5 2 2 3 5 2 4" xfId="17993"/>
    <cellStyle name="Comma 5 2 2 3 5 3" xfId="5306"/>
    <cellStyle name="Comma 5 2 2 3 5 3 2" xfId="14145"/>
    <cellStyle name="Comma 5 2 2 3 5 3 2 2" xfId="24396"/>
    <cellStyle name="Comma 5 2 2 3 5 3 3" xfId="10566"/>
    <cellStyle name="Comma 5 2 2 3 5 3 4" xfId="19389"/>
    <cellStyle name="Comma 5 2 2 3 5 4" xfId="1817"/>
    <cellStyle name="Comma 5 2 2 3 5 4 2" xfId="11187"/>
    <cellStyle name="Comma 5 2 2 3 5 4 3" xfId="21191"/>
    <cellStyle name="Comma 5 2 2 3 5 5" xfId="6763"/>
    <cellStyle name="Comma 5 2 2 3 5 5 2" xfId="15590"/>
    <cellStyle name="Comma 5 2 2 3 5 5 3" xfId="25841"/>
    <cellStyle name="Comma 5 2 2 3 5 6" xfId="8209"/>
    <cellStyle name="Comma 5 2 2 3 5 6 2" xfId="20599"/>
    <cellStyle name="Comma 5 2 2 3 5 7" xfId="16184"/>
    <cellStyle name="Comma 5 2 2 3 6" xfId="2711"/>
    <cellStyle name="Comma 5 2 2 3 6 2" xfId="12030"/>
    <cellStyle name="Comma 5 2 2 3 6 2 2" xfId="22074"/>
    <cellStyle name="Comma 5 2 2 3 6 3" xfId="8569"/>
    <cellStyle name="Comma 5 2 2 3 6 4" xfId="17067"/>
    <cellStyle name="Comma 5 2 2 3 7" xfId="4262"/>
    <cellStyle name="Comma 5 2 2 3 7 2" xfId="13102"/>
    <cellStyle name="Comma 5 2 2 3 7 2 2" xfId="23353"/>
    <cellStyle name="Comma 5 2 2 3 7 3" xfId="9523"/>
    <cellStyle name="Comma 5 2 2 3 7 4" xfId="18346"/>
    <cellStyle name="Comma 5 2 2 3 8" xfId="1534"/>
    <cellStyle name="Comma 5 2 2 3 8 2" xfId="10913"/>
    <cellStyle name="Comma 5 2 2 3 8 3" xfId="20917"/>
    <cellStyle name="Comma 5 2 2 3 9" xfId="5720"/>
    <cellStyle name="Comma 5 2 2 3 9 2" xfId="14547"/>
    <cellStyle name="Comma 5 2 2 3 9 3" xfId="24798"/>
    <cellStyle name="Comma 5 2 2 4" xfId="249"/>
    <cellStyle name="Comma 5 2 2 4 10" xfId="7091"/>
    <cellStyle name="Comma 5 2 2 4 10 2" xfId="19705"/>
    <cellStyle name="Comma 5 2 2 4 11" xfId="15837"/>
    <cellStyle name="Comma 5 2 2 4 2" xfId="572"/>
    <cellStyle name="Comma 5 2 2 4 2 2" xfId="638"/>
    <cellStyle name="Comma 5 2 2 4 2 2 2" xfId="3126"/>
    <cellStyle name="Comma 5 2 2 4 2 2 2 2" xfId="12271"/>
    <cellStyle name="Comma 5 2 2 4 2 2 2 2 2" xfId="22489"/>
    <cellStyle name="Comma 5 2 2 4 2 2 2 3" xfId="8693"/>
    <cellStyle name="Comma 5 2 2 4 2 2 2 4" xfId="17482"/>
    <cellStyle name="Comma 5 2 2 4 2 2 3" xfId="4455"/>
    <cellStyle name="Comma 5 2 2 4 2 2 3 2" xfId="13295"/>
    <cellStyle name="Comma 5 2 2 4 2 2 3 2 2" xfId="23546"/>
    <cellStyle name="Comma 5 2 2 4 2 2 3 3" xfId="9716"/>
    <cellStyle name="Comma 5 2 2 4 2 2 3 4" xfId="18539"/>
    <cellStyle name="Comma 5 2 2 4 2 2 4" xfId="2235"/>
    <cellStyle name="Comma 5 2 2 4 2 2 4 2" xfId="11602"/>
    <cellStyle name="Comma 5 2 2 4 2 2 4 3" xfId="21606"/>
    <cellStyle name="Comma 5 2 2 4 2 2 5" xfId="5913"/>
    <cellStyle name="Comma 5 2 2 4 2 2 5 2" xfId="14740"/>
    <cellStyle name="Comma 5 2 2 4 2 2 5 3" xfId="24991"/>
    <cellStyle name="Comma 5 2 2 4 2 2 6" xfId="7357"/>
    <cellStyle name="Comma 5 2 2 4 2 2 6 2" xfId="20088"/>
    <cellStyle name="Comma 5 2 2 4 2 2 7" xfId="16599"/>
    <cellStyle name="Comma 5 2 2 4 2 3" xfId="1344"/>
    <cellStyle name="Comma 5 2 2 4 2 3 2" xfId="3775"/>
    <cellStyle name="Comma 5 2 2 4 2 3 2 2" xfId="12913"/>
    <cellStyle name="Comma 5 2 2 4 2 3 2 2 2" xfId="23132"/>
    <cellStyle name="Comma 5 2 2 4 2 3 2 3" xfId="9334"/>
    <cellStyle name="Comma 5 2 2 4 2 3 2 4" xfId="18125"/>
    <cellStyle name="Comma 5 2 2 4 2 3 3" xfId="4804"/>
    <cellStyle name="Comma 5 2 2 4 2 3 3 2" xfId="13643"/>
    <cellStyle name="Comma 5 2 2 4 2 3 3 2 2" xfId="23894"/>
    <cellStyle name="Comma 5 2 2 4 2 3 3 3" xfId="10064"/>
    <cellStyle name="Comma 5 2 2 4 2 3 3 4" xfId="18887"/>
    <cellStyle name="Comma 5 2 2 4 2 3 4" xfId="2169"/>
    <cellStyle name="Comma 5 2 2 4 2 3 4 2" xfId="11536"/>
    <cellStyle name="Comma 5 2 2 4 2 3 4 3" xfId="21540"/>
    <cellStyle name="Comma 5 2 2 4 2 3 5" xfId="6261"/>
    <cellStyle name="Comma 5 2 2 4 2 3 5 2" xfId="15088"/>
    <cellStyle name="Comma 5 2 2 4 2 3 5 3" xfId="25339"/>
    <cellStyle name="Comma 5 2 2 4 2 3 6" xfId="7707"/>
    <cellStyle name="Comma 5 2 2 4 2 3 6 2" xfId="20731"/>
    <cellStyle name="Comma 5 2 2 4 2 3 7" xfId="16533"/>
    <cellStyle name="Comma 5 2 2 4 2 4" xfId="3060"/>
    <cellStyle name="Comma 5 2 2 4 2 4 2" xfId="5438"/>
    <cellStyle name="Comma 5 2 2 4 2 4 2 2" xfId="14277"/>
    <cellStyle name="Comma 5 2 2 4 2 4 2 2 2" xfId="24528"/>
    <cellStyle name="Comma 5 2 2 4 2 4 2 3" xfId="10698"/>
    <cellStyle name="Comma 5 2 2 4 2 4 2 4" xfId="19521"/>
    <cellStyle name="Comma 5 2 2 4 2 4 3" xfId="6895"/>
    <cellStyle name="Comma 5 2 2 4 2 4 3 2" xfId="15722"/>
    <cellStyle name="Comma 5 2 2 4 2 4 3 3" xfId="25973"/>
    <cellStyle name="Comma 5 2 2 4 2 4 4" xfId="8341"/>
    <cellStyle name="Comma 5 2 2 4 2 4 4 2" xfId="22423"/>
    <cellStyle name="Comma 5 2 2 4 2 4 5" xfId="17416"/>
    <cellStyle name="Comma 5 2 2 4 2 5" xfId="4394"/>
    <cellStyle name="Comma 5 2 2 4 2 5 2" xfId="13234"/>
    <cellStyle name="Comma 5 2 2 4 2 5 2 2" xfId="23485"/>
    <cellStyle name="Comma 5 2 2 4 2 5 3" xfId="9655"/>
    <cellStyle name="Comma 5 2 2 4 2 5 4" xfId="18478"/>
    <cellStyle name="Comma 5 2 2 4 2 6" xfId="1666"/>
    <cellStyle name="Comma 5 2 2 4 2 6 2" xfId="11045"/>
    <cellStyle name="Comma 5 2 2 4 2 6 3" xfId="21049"/>
    <cellStyle name="Comma 5 2 2 4 2 7" xfId="5852"/>
    <cellStyle name="Comma 5 2 2 4 2 7 2" xfId="14679"/>
    <cellStyle name="Comma 5 2 2 4 2 7 3" xfId="24930"/>
    <cellStyle name="Comma 5 2 2 4 2 8" xfId="7296"/>
    <cellStyle name="Comma 5 2 2 4 2 8 2" xfId="20022"/>
    <cellStyle name="Comma 5 2 2 4 2 9" xfId="16042"/>
    <cellStyle name="Comma 5 2 2 4 3" xfId="367"/>
    <cellStyle name="Comma 5 2 2 4 3 2" xfId="2855"/>
    <cellStyle name="Comma 5 2 2 4 3 2 2" xfId="12145"/>
    <cellStyle name="Comma 5 2 2 4 3 2 2 2" xfId="22218"/>
    <cellStyle name="Comma 5 2 2 4 3 2 3" xfId="8455"/>
    <cellStyle name="Comma 5 2 2 4 3 2 4" xfId="17211"/>
    <cellStyle name="Comma 5 2 2 4 3 3" xfId="4454"/>
    <cellStyle name="Comma 5 2 2 4 3 3 2" xfId="13294"/>
    <cellStyle name="Comma 5 2 2 4 3 3 2 2" xfId="23545"/>
    <cellStyle name="Comma 5 2 2 4 3 3 3" xfId="9715"/>
    <cellStyle name="Comma 5 2 2 4 3 3 4" xfId="18538"/>
    <cellStyle name="Comma 5 2 2 4 3 4" xfId="1964"/>
    <cellStyle name="Comma 5 2 2 4 3 4 2" xfId="11331"/>
    <cellStyle name="Comma 5 2 2 4 3 4 3" xfId="21335"/>
    <cellStyle name="Comma 5 2 2 4 3 5" xfId="5912"/>
    <cellStyle name="Comma 5 2 2 4 3 5 2" xfId="14739"/>
    <cellStyle name="Comma 5 2 2 4 3 5 3" xfId="24990"/>
    <cellStyle name="Comma 5 2 2 4 3 6" xfId="7356"/>
    <cellStyle name="Comma 5 2 2 4 3 6 2" xfId="19817"/>
    <cellStyle name="Comma 5 2 2 4 3 7" xfId="16328"/>
    <cellStyle name="Comma 5 2 2 4 4" xfId="637"/>
    <cellStyle name="Comma 5 2 2 4 4 2" xfId="3125"/>
    <cellStyle name="Comma 5 2 2 4 4 2 2" xfId="12270"/>
    <cellStyle name="Comma 5 2 2 4 4 2 2 2" xfId="22488"/>
    <cellStyle name="Comma 5 2 2 4 4 2 3" xfId="8692"/>
    <cellStyle name="Comma 5 2 2 4 4 2 4" xfId="17481"/>
    <cellStyle name="Comma 5 2 2 4 4 3" xfId="4803"/>
    <cellStyle name="Comma 5 2 2 4 4 3 2" xfId="13642"/>
    <cellStyle name="Comma 5 2 2 4 4 3 2 2" xfId="23893"/>
    <cellStyle name="Comma 5 2 2 4 4 3 3" xfId="10063"/>
    <cellStyle name="Comma 5 2 2 4 4 3 4" xfId="18886"/>
    <cellStyle name="Comma 5 2 2 4 4 4" xfId="2234"/>
    <cellStyle name="Comma 5 2 2 4 4 4 2" xfId="11601"/>
    <cellStyle name="Comma 5 2 2 4 4 4 3" xfId="21605"/>
    <cellStyle name="Comma 5 2 2 4 4 5" xfId="6260"/>
    <cellStyle name="Comma 5 2 2 4 4 5 2" xfId="15087"/>
    <cellStyle name="Comma 5 2 2 4 4 5 3" xfId="25338"/>
    <cellStyle name="Comma 5 2 2 4 4 6" xfId="7706"/>
    <cellStyle name="Comma 5 2 2 4 4 6 2" xfId="20087"/>
    <cellStyle name="Comma 5 2 2 4 4 7" xfId="16598"/>
    <cellStyle name="Comma 5 2 2 4 5" xfId="1139"/>
    <cellStyle name="Comma 5 2 2 4 5 2" xfId="3570"/>
    <cellStyle name="Comma 5 2 2 4 5 2 2" xfId="12708"/>
    <cellStyle name="Comma 5 2 2 4 5 2 2 2" xfId="22927"/>
    <cellStyle name="Comma 5 2 2 4 5 2 3" xfId="9129"/>
    <cellStyle name="Comma 5 2 2 4 5 2 4" xfId="17920"/>
    <cellStyle name="Comma 5 2 2 4 5 3" xfId="5233"/>
    <cellStyle name="Comma 5 2 2 4 5 3 2" xfId="14072"/>
    <cellStyle name="Comma 5 2 2 4 5 3 2 2" xfId="24323"/>
    <cellStyle name="Comma 5 2 2 4 5 3 3" xfId="10493"/>
    <cellStyle name="Comma 5 2 2 4 5 3 4" xfId="19316"/>
    <cellStyle name="Comma 5 2 2 4 5 4" xfId="1849"/>
    <cellStyle name="Comma 5 2 2 4 5 4 2" xfId="11219"/>
    <cellStyle name="Comma 5 2 2 4 5 4 3" xfId="21223"/>
    <cellStyle name="Comma 5 2 2 4 5 5" xfId="6690"/>
    <cellStyle name="Comma 5 2 2 4 5 5 2" xfId="15517"/>
    <cellStyle name="Comma 5 2 2 4 5 5 3" xfId="25768"/>
    <cellStyle name="Comma 5 2 2 4 5 6" xfId="8136"/>
    <cellStyle name="Comma 5 2 2 4 5 6 2" xfId="20526"/>
    <cellStyle name="Comma 5 2 2 4 5 7" xfId="16216"/>
    <cellStyle name="Comma 5 2 2 4 6" xfId="2743"/>
    <cellStyle name="Comma 5 2 2 4 6 2" xfId="12062"/>
    <cellStyle name="Comma 5 2 2 4 6 2 2" xfId="22106"/>
    <cellStyle name="Comma 5 2 2 4 6 3" xfId="8562"/>
    <cellStyle name="Comma 5 2 2 4 6 4" xfId="17099"/>
    <cellStyle name="Comma 5 2 2 4 7" xfId="4189"/>
    <cellStyle name="Comma 5 2 2 4 7 2" xfId="13029"/>
    <cellStyle name="Comma 5 2 2 4 7 2 2" xfId="23280"/>
    <cellStyle name="Comma 5 2 2 4 7 3" xfId="9450"/>
    <cellStyle name="Comma 5 2 2 4 7 4" xfId="18273"/>
    <cellStyle name="Comma 5 2 2 4 8" xfId="1461"/>
    <cellStyle name="Comma 5 2 2 4 8 2" xfId="10840"/>
    <cellStyle name="Comma 5 2 2 4 8 3" xfId="20844"/>
    <cellStyle name="Comma 5 2 2 4 9" xfId="5647"/>
    <cellStyle name="Comma 5 2 2 4 9 2" xfId="14474"/>
    <cellStyle name="Comma 5 2 2 4 9 3" xfId="24725"/>
    <cellStyle name="Comma 5 2 2 5" xfId="467"/>
    <cellStyle name="Comma 5 2 2 5 2" xfId="639"/>
    <cellStyle name="Comma 5 2 2 5 2 2" xfId="3127"/>
    <cellStyle name="Comma 5 2 2 5 2 2 2" xfId="12272"/>
    <cellStyle name="Comma 5 2 2 5 2 2 2 2" xfId="22490"/>
    <cellStyle name="Comma 5 2 2 5 2 2 3" xfId="8694"/>
    <cellStyle name="Comma 5 2 2 5 2 2 4" xfId="17483"/>
    <cellStyle name="Comma 5 2 2 5 2 3" xfId="4456"/>
    <cellStyle name="Comma 5 2 2 5 2 3 2" xfId="13296"/>
    <cellStyle name="Comma 5 2 2 5 2 3 2 2" xfId="23547"/>
    <cellStyle name="Comma 5 2 2 5 2 3 3" xfId="9717"/>
    <cellStyle name="Comma 5 2 2 5 2 3 4" xfId="18540"/>
    <cellStyle name="Comma 5 2 2 5 2 4" xfId="2236"/>
    <cellStyle name="Comma 5 2 2 5 2 4 2" xfId="11603"/>
    <cellStyle name="Comma 5 2 2 5 2 4 3" xfId="21607"/>
    <cellStyle name="Comma 5 2 2 5 2 5" xfId="5914"/>
    <cellStyle name="Comma 5 2 2 5 2 5 2" xfId="14741"/>
    <cellStyle name="Comma 5 2 2 5 2 5 3" xfId="24992"/>
    <cellStyle name="Comma 5 2 2 5 2 6" xfId="7358"/>
    <cellStyle name="Comma 5 2 2 5 2 6 2" xfId="20089"/>
    <cellStyle name="Comma 5 2 2 5 2 7" xfId="16600"/>
    <cellStyle name="Comma 5 2 2 5 3" xfId="1239"/>
    <cellStyle name="Comma 5 2 2 5 3 2" xfId="3670"/>
    <cellStyle name="Comma 5 2 2 5 3 2 2" xfId="12808"/>
    <cellStyle name="Comma 5 2 2 5 3 2 2 2" xfId="23027"/>
    <cellStyle name="Comma 5 2 2 5 3 2 3" xfId="9229"/>
    <cellStyle name="Comma 5 2 2 5 3 2 4" xfId="18020"/>
    <cellStyle name="Comma 5 2 2 5 3 3" xfId="4805"/>
    <cellStyle name="Comma 5 2 2 5 3 3 2" xfId="13644"/>
    <cellStyle name="Comma 5 2 2 5 3 3 2 2" xfId="23895"/>
    <cellStyle name="Comma 5 2 2 5 3 3 3" xfId="10065"/>
    <cellStyle name="Comma 5 2 2 5 3 3 4" xfId="18888"/>
    <cellStyle name="Comma 5 2 2 5 3 4" xfId="2064"/>
    <cellStyle name="Comma 5 2 2 5 3 4 2" xfId="11431"/>
    <cellStyle name="Comma 5 2 2 5 3 4 3" xfId="21435"/>
    <cellStyle name="Comma 5 2 2 5 3 5" xfId="6262"/>
    <cellStyle name="Comma 5 2 2 5 3 5 2" xfId="15089"/>
    <cellStyle name="Comma 5 2 2 5 3 5 3" xfId="25340"/>
    <cellStyle name="Comma 5 2 2 5 3 6" xfId="7708"/>
    <cellStyle name="Comma 5 2 2 5 3 6 2" xfId="20626"/>
    <cellStyle name="Comma 5 2 2 5 3 7" xfId="16428"/>
    <cellStyle name="Comma 5 2 2 5 4" xfId="2955"/>
    <cellStyle name="Comma 5 2 2 5 4 2" xfId="5333"/>
    <cellStyle name="Comma 5 2 2 5 4 2 2" xfId="14172"/>
    <cellStyle name="Comma 5 2 2 5 4 2 2 2" xfId="24423"/>
    <cellStyle name="Comma 5 2 2 5 4 2 3" xfId="10593"/>
    <cellStyle name="Comma 5 2 2 5 4 2 4" xfId="19416"/>
    <cellStyle name="Comma 5 2 2 5 4 3" xfId="6790"/>
    <cellStyle name="Comma 5 2 2 5 4 3 2" xfId="15617"/>
    <cellStyle name="Comma 5 2 2 5 4 3 3" xfId="25868"/>
    <cellStyle name="Comma 5 2 2 5 4 4" xfId="8236"/>
    <cellStyle name="Comma 5 2 2 5 4 4 2" xfId="22318"/>
    <cellStyle name="Comma 5 2 2 5 4 5" xfId="17311"/>
    <cellStyle name="Comma 5 2 2 5 5" xfId="4289"/>
    <cellStyle name="Comma 5 2 2 5 5 2" xfId="13129"/>
    <cellStyle name="Comma 5 2 2 5 5 2 2" xfId="23380"/>
    <cellStyle name="Comma 5 2 2 5 5 3" xfId="9550"/>
    <cellStyle name="Comma 5 2 2 5 5 4" xfId="18373"/>
    <cellStyle name="Comma 5 2 2 5 6" xfId="1561"/>
    <cellStyle name="Comma 5 2 2 5 6 2" xfId="10940"/>
    <cellStyle name="Comma 5 2 2 5 6 3" xfId="20944"/>
    <cellStyle name="Comma 5 2 2 5 7" xfId="5747"/>
    <cellStyle name="Comma 5 2 2 5 7 2" xfId="14574"/>
    <cellStyle name="Comma 5 2 2 5 7 3" xfId="24825"/>
    <cellStyle name="Comma 5 2 2 5 8" xfId="7191"/>
    <cellStyle name="Comma 5 2 2 5 8 2" xfId="19917"/>
    <cellStyle name="Comma 5 2 2 5 9" xfId="15937"/>
    <cellStyle name="Comma 5 2 2 6" xfId="340"/>
    <cellStyle name="Comma 5 2 2 6 2" xfId="640"/>
    <cellStyle name="Comma 5 2 2 6 2 2" xfId="3128"/>
    <cellStyle name="Comma 5 2 2 6 2 2 2" xfId="12273"/>
    <cellStyle name="Comma 5 2 2 6 2 2 2 2" xfId="22491"/>
    <cellStyle name="Comma 5 2 2 6 2 2 3" xfId="8695"/>
    <cellStyle name="Comma 5 2 2 6 2 2 4" xfId="17484"/>
    <cellStyle name="Comma 5 2 2 6 2 3" xfId="4457"/>
    <cellStyle name="Comma 5 2 2 6 2 3 2" xfId="13297"/>
    <cellStyle name="Comma 5 2 2 6 2 3 2 2" xfId="23548"/>
    <cellStyle name="Comma 5 2 2 6 2 3 3" xfId="9718"/>
    <cellStyle name="Comma 5 2 2 6 2 3 4" xfId="18541"/>
    <cellStyle name="Comma 5 2 2 6 2 4" xfId="2237"/>
    <cellStyle name="Comma 5 2 2 6 2 4 2" xfId="11604"/>
    <cellStyle name="Comma 5 2 2 6 2 4 3" xfId="21608"/>
    <cellStyle name="Comma 5 2 2 6 2 5" xfId="5915"/>
    <cellStyle name="Comma 5 2 2 6 2 5 2" xfId="14742"/>
    <cellStyle name="Comma 5 2 2 6 2 5 3" xfId="24993"/>
    <cellStyle name="Comma 5 2 2 6 2 6" xfId="7359"/>
    <cellStyle name="Comma 5 2 2 6 2 6 2" xfId="20090"/>
    <cellStyle name="Comma 5 2 2 6 2 7" xfId="16601"/>
    <cellStyle name="Comma 5 2 2 6 3" xfId="1112"/>
    <cellStyle name="Comma 5 2 2 6 3 2" xfId="3543"/>
    <cellStyle name="Comma 5 2 2 6 3 2 2" xfId="12681"/>
    <cellStyle name="Comma 5 2 2 6 3 2 2 2" xfId="22900"/>
    <cellStyle name="Comma 5 2 2 6 3 2 3" xfId="9102"/>
    <cellStyle name="Comma 5 2 2 6 3 2 4" xfId="17893"/>
    <cellStyle name="Comma 5 2 2 6 3 3" xfId="4806"/>
    <cellStyle name="Comma 5 2 2 6 3 3 2" xfId="13645"/>
    <cellStyle name="Comma 5 2 2 6 3 3 2 2" xfId="23896"/>
    <cellStyle name="Comma 5 2 2 6 3 3 3" xfId="10066"/>
    <cellStyle name="Comma 5 2 2 6 3 3 4" xfId="18889"/>
    <cellStyle name="Comma 5 2 2 6 3 4" xfId="2585"/>
    <cellStyle name="Comma 5 2 2 6 3 4 2" xfId="11951"/>
    <cellStyle name="Comma 5 2 2 6 3 4 3" xfId="21955"/>
    <cellStyle name="Comma 5 2 2 6 3 5" xfId="6263"/>
    <cellStyle name="Comma 5 2 2 6 3 5 2" xfId="15090"/>
    <cellStyle name="Comma 5 2 2 6 3 5 3" xfId="25341"/>
    <cellStyle name="Comma 5 2 2 6 3 6" xfId="7709"/>
    <cellStyle name="Comma 5 2 2 6 3 6 2" xfId="20499"/>
    <cellStyle name="Comma 5 2 2 6 3 7" xfId="16948"/>
    <cellStyle name="Comma 5 2 2 6 4" xfId="2828"/>
    <cellStyle name="Comma 5 2 2 6 4 2" xfId="5206"/>
    <cellStyle name="Comma 5 2 2 6 4 2 2" xfId="14045"/>
    <cellStyle name="Comma 5 2 2 6 4 2 2 2" xfId="24296"/>
    <cellStyle name="Comma 5 2 2 6 4 2 3" xfId="10466"/>
    <cellStyle name="Comma 5 2 2 6 4 2 4" xfId="19289"/>
    <cellStyle name="Comma 5 2 2 6 4 3" xfId="6663"/>
    <cellStyle name="Comma 5 2 2 6 4 3 2" xfId="15490"/>
    <cellStyle name="Comma 5 2 2 6 4 3 3" xfId="25741"/>
    <cellStyle name="Comma 5 2 2 6 4 4" xfId="8109"/>
    <cellStyle name="Comma 5 2 2 6 4 4 2" xfId="22191"/>
    <cellStyle name="Comma 5 2 2 6 4 5" xfId="17184"/>
    <cellStyle name="Comma 5 2 2 6 5" xfId="4160"/>
    <cellStyle name="Comma 5 2 2 6 5 2" xfId="13000"/>
    <cellStyle name="Comma 5 2 2 6 5 2 2" xfId="23251"/>
    <cellStyle name="Comma 5 2 2 6 5 3" xfId="9421"/>
    <cellStyle name="Comma 5 2 2 6 5 4" xfId="18244"/>
    <cellStyle name="Comma 5 2 2 6 6" xfId="1937"/>
    <cellStyle name="Comma 5 2 2 6 6 2" xfId="11304"/>
    <cellStyle name="Comma 5 2 2 6 6 3" xfId="21308"/>
    <cellStyle name="Comma 5 2 2 6 7" xfId="5620"/>
    <cellStyle name="Comma 5 2 2 6 7 2" xfId="14447"/>
    <cellStyle name="Comma 5 2 2 6 7 3" xfId="24698"/>
    <cellStyle name="Comma 5 2 2 6 8" xfId="7064"/>
    <cellStyle name="Comma 5 2 2 6 8 2" xfId="19790"/>
    <cellStyle name="Comma 5 2 2 6 9" xfId="16301"/>
    <cellStyle name="Comma 5 2 2 7" xfId="631"/>
    <cellStyle name="Comma 5 2 2 7 2" xfId="3119"/>
    <cellStyle name="Comma 5 2 2 7 2 2" xfId="12264"/>
    <cellStyle name="Comma 5 2 2 7 2 2 2" xfId="22482"/>
    <cellStyle name="Comma 5 2 2 7 2 3" xfId="8686"/>
    <cellStyle name="Comma 5 2 2 7 2 4" xfId="17475"/>
    <cellStyle name="Comma 5 2 2 7 3" xfId="4448"/>
    <cellStyle name="Comma 5 2 2 7 3 2" xfId="13288"/>
    <cellStyle name="Comma 5 2 2 7 3 2 2" xfId="23539"/>
    <cellStyle name="Comma 5 2 2 7 3 3" xfId="9709"/>
    <cellStyle name="Comma 5 2 2 7 3 4" xfId="18532"/>
    <cellStyle name="Comma 5 2 2 7 4" xfId="2228"/>
    <cellStyle name="Comma 5 2 2 7 4 2" xfId="11595"/>
    <cellStyle name="Comma 5 2 2 7 4 3" xfId="21599"/>
    <cellStyle name="Comma 5 2 2 7 5" xfId="5906"/>
    <cellStyle name="Comma 5 2 2 7 5 2" xfId="14733"/>
    <cellStyle name="Comma 5 2 2 7 5 3" xfId="24984"/>
    <cellStyle name="Comma 5 2 2 7 6" xfId="7350"/>
    <cellStyle name="Comma 5 2 2 7 6 2" xfId="20081"/>
    <cellStyle name="Comma 5 2 2 7 7" xfId="16592"/>
    <cellStyle name="Comma 5 2 2 8" xfId="1067"/>
    <cellStyle name="Comma 5 2 2 8 2" xfId="3498"/>
    <cellStyle name="Comma 5 2 2 8 2 2" xfId="12636"/>
    <cellStyle name="Comma 5 2 2 8 2 2 2" xfId="22855"/>
    <cellStyle name="Comma 5 2 2 8 2 3" xfId="9058"/>
    <cellStyle name="Comma 5 2 2 8 2 4" xfId="17848"/>
    <cellStyle name="Comma 5 2 2 8 3" xfId="4797"/>
    <cellStyle name="Comma 5 2 2 8 3 2" xfId="13636"/>
    <cellStyle name="Comma 5 2 2 8 3 2 2" xfId="23887"/>
    <cellStyle name="Comma 5 2 2 8 3 3" xfId="10057"/>
    <cellStyle name="Comma 5 2 2 8 3 4" xfId="18880"/>
    <cellStyle name="Comma 5 2 2 8 4" xfId="1737"/>
    <cellStyle name="Comma 5 2 2 8 4 2" xfId="11113"/>
    <cellStyle name="Comma 5 2 2 8 4 3" xfId="21117"/>
    <cellStyle name="Comma 5 2 2 8 5" xfId="6254"/>
    <cellStyle name="Comma 5 2 2 8 5 2" xfId="15081"/>
    <cellStyle name="Comma 5 2 2 8 5 3" xfId="25332"/>
    <cellStyle name="Comma 5 2 2 8 6" xfId="7700"/>
    <cellStyle name="Comma 5 2 2 8 6 2" xfId="20454"/>
    <cellStyle name="Comma 5 2 2 8 7" xfId="16110"/>
    <cellStyle name="Comma 5 2 2 9" xfId="2635"/>
    <cellStyle name="Comma 5 2 2 9 2" xfId="5161"/>
    <cellStyle name="Comma 5 2 2 9 2 2" xfId="14000"/>
    <cellStyle name="Comma 5 2 2 9 2 2 2" xfId="24251"/>
    <cellStyle name="Comma 5 2 2 9 2 3" xfId="10421"/>
    <cellStyle name="Comma 5 2 2 9 2 4" xfId="19244"/>
    <cellStyle name="Comma 5 2 2 9 3" xfId="6618"/>
    <cellStyle name="Comma 5 2 2 9 3 2" xfId="15445"/>
    <cellStyle name="Comma 5 2 2 9 3 3" xfId="25696"/>
    <cellStyle name="Comma 5 2 2 9 4" xfId="8064"/>
    <cellStyle name="Comma 5 2 2 9 4 2" xfId="22000"/>
    <cellStyle name="Comma 5 2 2 9 5" xfId="16993"/>
    <cellStyle name="Comma 5 2 3" xfId="135"/>
    <cellStyle name="Comma 5 2 3 10" xfId="4123"/>
    <cellStyle name="Comma 5 2 3 10 2" xfId="5583"/>
    <cellStyle name="Comma 5 2 3 10 2 2" xfId="14410"/>
    <cellStyle name="Comma 5 2 3 10 2 3" xfId="24661"/>
    <cellStyle name="Comma 5 2 3 10 3" xfId="7027"/>
    <cellStyle name="Comma 5 2 3 10 3 2" xfId="23214"/>
    <cellStyle name="Comma 5 2 3 10 4" xfId="18207"/>
    <cellStyle name="Comma 5 2 3 11" xfId="1442"/>
    <cellStyle name="Comma 5 2 3 11 2" xfId="10821"/>
    <cellStyle name="Comma 5 2 3 11 3" xfId="20825"/>
    <cellStyle name="Comma 5 2 3 12" xfId="5551"/>
    <cellStyle name="Comma 5 2 3 12 2" xfId="14380"/>
    <cellStyle name="Comma 5 2 3 12 3" xfId="24631"/>
    <cellStyle name="Comma 5 2 3 13" xfId="6997"/>
    <cellStyle name="Comma 5 2 3 13 2" xfId="19606"/>
    <cellStyle name="Comma 5 2 3 14" xfId="15818"/>
    <cellStyle name="Comma 5 2 3 2" xfId="175"/>
    <cellStyle name="Comma 5 2 3 2 10" xfId="5685"/>
    <cellStyle name="Comma 5 2 3 2 10 2" xfId="14512"/>
    <cellStyle name="Comma 5 2 3 2 10 3" xfId="24763"/>
    <cellStyle name="Comma 5 2 3 2 11" xfId="7129"/>
    <cellStyle name="Comma 5 2 3 2 11 2" xfId="19638"/>
    <cellStyle name="Comma 5 2 3 2 12" xfId="15875"/>
    <cellStyle name="Comma 5 2 3 2 2" xfId="287"/>
    <cellStyle name="Comma 5 2 3 2 2 10" xfId="16079"/>
    <cellStyle name="Comma 5 2 3 2 2 2" xfId="609"/>
    <cellStyle name="Comma 5 2 3 2 2 2 2" xfId="3097"/>
    <cellStyle name="Comma 5 2 3 2 2 2 2 2" xfId="12242"/>
    <cellStyle name="Comma 5 2 3 2 2 2 2 2 2" xfId="22460"/>
    <cellStyle name="Comma 5 2 3 2 2 2 2 3" xfId="8664"/>
    <cellStyle name="Comma 5 2 3 2 2 2 2 4" xfId="17453"/>
    <cellStyle name="Comma 5 2 3 2 2 2 3" xfId="4460"/>
    <cellStyle name="Comma 5 2 3 2 2 2 3 2" xfId="13300"/>
    <cellStyle name="Comma 5 2 3 2 2 2 3 2 2" xfId="23551"/>
    <cellStyle name="Comma 5 2 3 2 2 2 3 3" xfId="9721"/>
    <cellStyle name="Comma 5 2 3 2 2 2 3 4" xfId="18544"/>
    <cellStyle name="Comma 5 2 3 2 2 2 4" xfId="2206"/>
    <cellStyle name="Comma 5 2 3 2 2 2 4 2" xfId="11573"/>
    <cellStyle name="Comma 5 2 3 2 2 2 4 3" xfId="21577"/>
    <cellStyle name="Comma 5 2 3 2 2 2 5" xfId="5918"/>
    <cellStyle name="Comma 5 2 3 2 2 2 5 2" xfId="14745"/>
    <cellStyle name="Comma 5 2 3 2 2 2 5 3" xfId="24996"/>
    <cellStyle name="Comma 5 2 3 2 2 2 6" xfId="7362"/>
    <cellStyle name="Comma 5 2 3 2 2 2 6 2" xfId="20059"/>
    <cellStyle name="Comma 5 2 3 2 2 2 7" xfId="16570"/>
    <cellStyle name="Comma 5 2 3 2 2 3" xfId="643"/>
    <cellStyle name="Comma 5 2 3 2 2 3 2" xfId="3131"/>
    <cellStyle name="Comma 5 2 3 2 2 3 2 2" xfId="12276"/>
    <cellStyle name="Comma 5 2 3 2 2 3 2 2 2" xfId="22494"/>
    <cellStyle name="Comma 5 2 3 2 2 3 2 3" xfId="8698"/>
    <cellStyle name="Comma 5 2 3 2 2 3 2 4" xfId="17487"/>
    <cellStyle name="Comma 5 2 3 2 2 3 3" xfId="4809"/>
    <cellStyle name="Comma 5 2 3 2 2 3 3 2" xfId="13648"/>
    <cellStyle name="Comma 5 2 3 2 2 3 3 2 2" xfId="23899"/>
    <cellStyle name="Comma 5 2 3 2 2 3 3 3" xfId="10069"/>
    <cellStyle name="Comma 5 2 3 2 2 3 3 4" xfId="18892"/>
    <cellStyle name="Comma 5 2 3 2 2 3 4" xfId="2240"/>
    <cellStyle name="Comma 5 2 3 2 2 3 4 2" xfId="11607"/>
    <cellStyle name="Comma 5 2 3 2 2 3 4 3" xfId="21611"/>
    <cellStyle name="Comma 5 2 3 2 2 3 5" xfId="6266"/>
    <cellStyle name="Comma 5 2 3 2 2 3 5 2" xfId="15093"/>
    <cellStyle name="Comma 5 2 3 2 2 3 5 3" xfId="25344"/>
    <cellStyle name="Comma 5 2 3 2 2 3 6" xfId="7712"/>
    <cellStyle name="Comma 5 2 3 2 2 3 6 2" xfId="20093"/>
    <cellStyle name="Comma 5 2 3 2 2 3 7" xfId="16604"/>
    <cellStyle name="Comma 5 2 3 2 2 4" xfId="1381"/>
    <cellStyle name="Comma 5 2 3 2 2 4 2" xfId="3812"/>
    <cellStyle name="Comma 5 2 3 2 2 4 2 2" xfId="12950"/>
    <cellStyle name="Comma 5 2 3 2 2 4 2 2 2" xfId="23169"/>
    <cellStyle name="Comma 5 2 3 2 2 4 2 3" xfId="9371"/>
    <cellStyle name="Comma 5 2 3 2 2 4 2 4" xfId="18162"/>
    <cellStyle name="Comma 5 2 3 2 2 4 3" xfId="5475"/>
    <cellStyle name="Comma 5 2 3 2 2 4 3 2" xfId="14314"/>
    <cellStyle name="Comma 5 2 3 2 2 4 3 2 2" xfId="24565"/>
    <cellStyle name="Comma 5 2 3 2 2 4 3 3" xfId="10735"/>
    <cellStyle name="Comma 5 2 3 2 2 4 3 4" xfId="19558"/>
    <cellStyle name="Comma 5 2 3 2 2 4 4" xfId="1886"/>
    <cellStyle name="Comma 5 2 3 2 2 4 4 2" xfId="11256"/>
    <cellStyle name="Comma 5 2 3 2 2 4 4 3" xfId="21260"/>
    <cellStyle name="Comma 5 2 3 2 2 4 5" xfId="6932"/>
    <cellStyle name="Comma 5 2 3 2 2 4 5 2" xfId="15759"/>
    <cellStyle name="Comma 5 2 3 2 2 4 5 3" xfId="26010"/>
    <cellStyle name="Comma 5 2 3 2 2 4 6" xfId="8378"/>
    <cellStyle name="Comma 5 2 3 2 2 4 6 2" xfId="20768"/>
    <cellStyle name="Comma 5 2 3 2 2 4 7" xfId="16253"/>
    <cellStyle name="Comma 5 2 3 2 2 5" xfId="2780"/>
    <cellStyle name="Comma 5 2 3 2 2 5 2" xfId="12099"/>
    <cellStyle name="Comma 5 2 3 2 2 5 2 2" xfId="22143"/>
    <cellStyle name="Comma 5 2 3 2 2 5 3" xfId="8644"/>
    <cellStyle name="Comma 5 2 3 2 2 5 4" xfId="17136"/>
    <cellStyle name="Comma 5 2 3 2 2 6" xfId="4431"/>
    <cellStyle name="Comma 5 2 3 2 2 6 2" xfId="13271"/>
    <cellStyle name="Comma 5 2 3 2 2 6 2 2" xfId="23522"/>
    <cellStyle name="Comma 5 2 3 2 2 6 3" xfId="9692"/>
    <cellStyle name="Comma 5 2 3 2 2 6 4" xfId="18515"/>
    <cellStyle name="Comma 5 2 3 2 2 7" xfId="1703"/>
    <cellStyle name="Comma 5 2 3 2 2 7 2" xfId="11082"/>
    <cellStyle name="Comma 5 2 3 2 2 7 3" xfId="21086"/>
    <cellStyle name="Comma 5 2 3 2 2 8" xfId="5889"/>
    <cellStyle name="Comma 5 2 3 2 2 8 2" xfId="14716"/>
    <cellStyle name="Comma 5 2 3 2 2 8 3" xfId="24967"/>
    <cellStyle name="Comma 5 2 3 2 2 9" xfId="7333"/>
    <cellStyle name="Comma 5 2 3 2 2 9 2" xfId="19742"/>
    <cellStyle name="Comma 5 2 3 2 3" xfId="505"/>
    <cellStyle name="Comma 5 2 3 2 3 2" xfId="644"/>
    <cellStyle name="Comma 5 2 3 2 3 2 2" xfId="3132"/>
    <cellStyle name="Comma 5 2 3 2 3 2 2 2" xfId="12277"/>
    <cellStyle name="Comma 5 2 3 2 3 2 2 2 2" xfId="22495"/>
    <cellStyle name="Comma 5 2 3 2 3 2 2 3" xfId="8699"/>
    <cellStyle name="Comma 5 2 3 2 3 2 2 4" xfId="17488"/>
    <cellStyle name="Comma 5 2 3 2 3 2 3" xfId="4461"/>
    <cellStyle name="Comma 5 2 3 2 3 2 3 2" xfId="13301"/>
    <cellStyle name="Comma 5 2 3 2 3 2 3 2 2" xfId="23552"/>
    <cellStyle name="Comma 5 2 3 2 3 2 3 3" xfId="9722"/>
    <cellStyle name="Comma 5 2 3 2 3 2 3 4" xfId="18545"/>
    <cellStyle name="Comma 5 2 3 2 3 2 4" xfId="2241"/>
    <cellStyle name="Comma 5 2 3 2 3 2 4 2" xfId="11608"/>
    <cellStyle name="Comma 5 2 3 2 3 2 4 3" xfId="21612"/>
    <cellStyle name="Comma 5 2 3 2 3 2 5" xfId="5919"/>
    <cellStyle name="Comma 5 2 3 2 3 2 5 2" xfId="14746"/>
    <cellStyle name="Comma 5 2 3 2 3 2 5 3" xfId="24997"/>
    <cellStyle name="Comma 5 2 3 2 3 2 6" xfId="7363"/>
    <cellStyle name="Comma 5 2 3 2 3 2 6 2" xfId="20094"/>
    <cellStyle name="Comma 5 2 3 2 3 2 7" xfId="16605"/>
    <cellStyle name="Comma 5 2 3 2 3 3" xfId="1277"/>
    <cellStyle name="Comma 5 2 3 2 3 3 2" xfId="3708"/>
    <cellStyle name="Comma 5 2 3 2 3 3 2 2" xfId="12846"/>
    <cellStyle name="Comma 5 2 3 2 3 3 2 2 2" xfId="23065"/>
    <cellStyle name="Comma 5 2 3 2 3 3 2 3" xfId="9267"/>
    <cellStyle name="Comma 5 2 3 2 3 3 2 4" xfId="18058"/>
    <cellStyle name="Comma 5 2 3 2 3 3 3" xfId="4810"/>
    <cellStyle name="Comma 5 2 3 2 3 3 3 2" xfId="13649"/>
    <cellStyle name="Comma 5 2 3 2 3 3 3 2 2" xfId="23900"/>
    <cellStyle name="Comma 5 2 3 2 3 3 3 3" xfId="10070"/>
    <cellStyle name="Comma 5 2 3 2 3 3 3 4" xfId="18893"/>
    <cellStyle name="Comma 5 2 3 2 3 3 4" xfId="2102"/>
    <cellStyle name="Comma 5 2 3 2 3 3 4 2" xfId="11469"/>
    <cellStyle name="Comma 5 2 3 2 3 3 4 3" xfId="21473"/>
    <cellStyle name="Comma 5 2 3 2 3 3 5" xfId="6267"/>
    <cellStyle name="Comma 5 2 3 2 3 3 5 2" xfId="15094"/>
    <cellStyle name="Comma 5 2 3 2 3 3 5 3" xfId="25345"/>
    <cellStyle name="Comma 5 2 3 2 3 3 6" xfId="7713"/>
    <cellStyle name="Comma 5 2 3 2 3 3 6 2" xfId="20664"/>
    <cellStyle name="Comma 5 2 3 2 3 3 7" xfId="16466"/>
    <cellStyle name="Comma 5 2 3 2 3 4" xfId="2993"/>
    <cellStyle name="Comma 5 2 3 2 3 4 2" xfId="5371"/>
    <cellStyle name="Comma 5 2 3 2 3 4 2 2" xfId="14210"/>
    <cellStyle name="Comma 5 2 3 2 3 4 2 2 2" xfId="24461"/>
    <cellStyle name="Comma 5 2 3 2 3 4 2 3" xfId="10631"/>
    <cellStyle name="Comma 5 2 3 2 3 4 2 4" xfId="19454"/>
    <cellStyle name="Comma 5 2 3 2 3 4 3" xfId="6828"/>
    <cellStyle name="Comma 5 2 3 2 3 4 3 2" xfId="15655"/>
    <cellStyle name="Comma 5 2 3 2 3 4 3 3" xfId="25906"/>
    <cellStyle name="Comma 5 2 3 2 3 4 4" xfId="8274"/>
    <cellStyle name="Comma 5 2 3 2 3 4 4 2" xfId="22356"/>
    <cellStyle name="Comma 5 2 3 2 3 4 5" xfId="17349"/>
    <cellStyle name="Comma 5 2 3 2 3 5" xfId="4327"/>
    <cellStyle name="Comma 5 2 3 2 3 5 2" xfId="13167"/>
    <cellStyle name="Comma 5 2 3 2 3 5 2 2" xfId="23418"/>
    <cellStyle name="Comma 5 2 3 2 3 5 3" xfId="9588"/>
    <cellStyle name="Comma 5 2 3 2 3 5 4" xfId="18411"/>
    <cellStyle name="Comma 5 2 3 2 3 6" xfId="1599"/>
    <cellStyle name="Comma 5 2 3 2 3 6 2" xfId="10978"/>
    <cellStyle name="Comma 5 2 3 2 3 6 3" xfId="20982"/>
    <cellStyle name="Comma 5 2 3 2 3 7" xfId="5785"/>
    <cellStyle name="Comma 5 2 3 2 3 7 2" xfId="14612"/>
    <cellStyle name="Comma 5 2 3 2 3 7 3" xfId="24863"/>
    <cellStyle name="Comma 5 2 3 2 3 8" xfId="7229"/>
    <cellStyle name="Comma 5 2 3 2 3 8 2" xfId="19955"/>
    <cellStyle name="Comma 5 2 3 2 3 9" xfId="15975"/>
    <cellStyle name="Comma 5 2 3 2 4" xfId="405"/>
    <cellStyle name="Comma 5 2 3 2 4 2" xfId="2893"/>
    <cellStyle name="Comma 5 2 3 2 4 2 2" xfId="12183"/>
    <cellStyle name="Comma 5 2 3 2 4 2 2 2" xfId="22256"/>
    <cellStyle name="Comma 5 2 3 2 4 2 3" xfId="8651"/>
    <cellStyle name="Comma 5 2 3 2 4 2 4" xfId="17249"/>
    <cellStyle name="Comma 5 2 3 2 4 3" xfId="4459"/>
    <cellStyle name="Comma 5 2 3 2 4 3 2" xfId="13299"/>
    <cellStyle name="Comma 5 2 3 2 4 3 2 2" xfId="23550"/>
    <cellStyle name="Comma 5 2 3 2 4 3 3" xfId="9720"/>
    <cellStyle name="Comma 5 2 3 2 4 3 4" xfId="18543"/>
    <cellStyle name="Comma 5 2 3 2 4 4" xfId="2002"/>
    <cellStyle name="Comma 5 2 3 2 4 4 2" xfId="11369"/>
    <cellStyle name="Comma 5 2 3 2 4 4 3" xfId="21373"/>
    <cellStyle name="Comma 5 2 3 2 4 5" xfId="5917"/>
    <cellStyle name="Comma 5 2 3 2 4 5 2" xfId="14744"/>
    <cellStyle name="Comma 5 2 3 2 4 5 3" xfId="24995"/>
    <cellStyle name="Comma 5 2 3 2 4 6" xfId="7361"/>
    <cellStyle name="Comma 5 2 3 2 4 6 2" xfId="19855"/>
    <cellStyle name="Comma 5 2 3 2 4 7" xfId="16366"/>
    <cellStyle name="Comma 5 2 3 2 5" xfId="642"/>
    <cellStyle name="Comma 5 2 3 2 5 2" xfId="3130"/>
    <cellStyle name="Comma 5 2 3 2 5 2 2" xfId="12275"/>
    <cellStyle name="Comma 5 2 3 2 5 2 2 2" xfId="22493"/>
    <cellStyle name="Comma 5 2 3 2 5 2 3" xfId="8697"/>
    <cellStyle name="Comma 5 2 3 2 5 2 4" xfId="17486"/>
    <cellStyle name="Comma 5 2 3 2 5 3" xfId="4808"/>
    <cellStyle name="Comma 5 2 3 2 5 3 2" xfId="13647"/>
    <cellStyle name="Comma 5 2 3 2 5 3 2 2" xfId="23898"/>
    <cellStyle name="Comma 5 2 3 2 5 3 3" xfId="10068"/>
    <cellStyle name="Comma 5 2 3 2 5 3 4" xfId="18891"/>
    <cellStyle name="Comma 5 2 3 2 5 4" xfId="2239"/>
    <cellStyle name="Comma 5 2 3 2 5 4 2" xfId="11606"/>
    <cellStyle name="Comma 5 2 3 2 5 4 3" xfId="21610"/>
    <cellStyle name="Comma 5 2 3 2 5 5" xfId="6265"/>
    <cellStyle name="Comma 5 2 3 2 5 5 2" xfId="15092"/>
    <cellStyle name="Comma 5 2 3 2 5 5 3" xfId="25343"/>
    <cellStyle name="Comma 5 2 3 2 5 6" xfId="7711"/>
    <cellStyle name="Comma 5 2 3 2 5 6 2" xfId="20092"/>
    <cellStyle name="Comma 5 2 3 2 5 7" xfId="16603"/>
    <cellStyle name="Comma 5 2 3 2 6" xfId="1177"/>
    <cellStyle name="Comma 5 2 3 2 6 2" xfId="3608"/>
    <cellStyle name="Comma 5 2 3 2 6 2 2" xfId="12746"/>
    <cellStyle name="Comma 5 2 3 2 6 2 2 2" xfId="22965"/>
    <cellStyle name="Comma 5 2 3 2 6 2 3" xfId="9167"/>
    <cellStyle name="Comma 5 2 3 2 6 2 4" xfId="17958"/>
    <cellStyle name="Comma 5 2 3 2 6 3" xfId="5271"/>
    <cellStyle name="Comma 5 2 3 2 6 3 2" xfId="14110"/>
    <cellStyle name="Comma 5 2 3 2 6 3 2 2" xfId="24361"/>
    <cellStyle name="Comma 5 2 3 2 6 3 3" xfId="10531"/>
    <cellStyle name="Comma 5 2 3 2 6 3 4" xfId="19354"/>
    <cellStyle name="Comma 5 2 3 2 6 4" xfId="1779"/>
    <cellStyle name="Comma 5 2 3 2 6 4 2" xfId="11152"/>
    <cellStyle name="Comma 5 2 3 2 6 4 3" xfId="21156"/>
    <cellStyle name="Comma 5 2 3 2 6 5" xfId="6728"/>
    <cellStyle name="Comma 5 2 3 2 6 5 2" xfId="15555"/>
    <cellStyle name="Comma 5 2 3 2 6 5 3" xfId="25806"/>
    <cellStyle name="Comma 5 2 3 2 6 6" xfId="8174"/>
    <cellStyle name="Comma 5 2 3 2 6 6 2" xfId="20564"/>
    <cellStyle name="Comma 5 2 3 2 6 7" xfId="16149"/>
    <cellStyle name="Comma 5 2 3 2 7" xfId="2676"/>
    <cellStyle name="Comma 5 2 3 2 7 2" xfId="11995"/>
    <cellStyle name="Comma 5 2 3 2 7 2 2" xfId="22039"/>
    <cellStyle name="Comma 5 2 3 2 7 3" xfId="8618"/>
    <cellStyle name="Comma 5 2 3 2 7 4" xfId="17032"/>
    <cellStyle name="Comma 5 2 3 2 8" xfId="4227"/>
    <cellStyle name="Comma 5 2 3 2 8 2" xfId="13067"/>
    <cellStyle name="Comma 5 2 3 2 8 2 2" xfId="23318"/>
    <cellStyle name="Comma 5 2 3 2 8 3" xfId="9488"/>
    <cellStyle name="Comma 5 2 3 2 8 4" xfId="18311"/>
    <cellStyle name="Comma 5 2 3 2 9" xfId="1499"/>
    <cellStyle name="Comma 5 2 3 2 9 2" xfId="10878"/>
    <cellStyle name="Comma 5 2 3 2 9 3" xfId="20882"/>
    <cellStyle name="Comma 5 2 3 3" xfId="222"/>
    <cellStyle name="Comma 5 2 3 3 10" xfId="7172"/>
    <cellStyle name="Comma 5 2 3 3 10 2" xfId="19681"/>
    <cellStyle name="Comma 5 2 3 3 11" xfId="15918"/>
    <cellStyle name="Comma 5 2 3 3 2" xfId="548"/>
    <cellStyle name="Comma 5 2 3 3 2 2" xfId="646"/>
    <cellStyle name="Comma 5 2 3 3 2 2 2" xfId="3134"/>
    <cellStyle name="Comma 5 2 3 3 2 2 2 2" xfId="12279"/>
    <cellStyle name="Comma 5 2 3 3 2 2 2 2 2" xfId="22497"/>
    <cellStyle name="Comma 5 2 3 3 2 2 2 3" xfId="8701"/>
    <cellStyle name="Comma 5 2 3 3 2 2 2 4" xfId="17490"/>
    <cellStyle name="Comma 5 2 3 3 2 2 3" xfId="4463"/>
    <cellStyle name="Comma 5 2 3 3 2 2 3 2" xfId="13303"/>
    <cellStyle name="Comma 5 2 3 3 2 2 3 2 2" xfId="23554"/>
    <cellStyle name="Comma 5 2 3 3 2 2 3 3" xfId="9724"/>
    <cellStyle name="Comma 5 2 3 3 2 2 3 4" xfId="18547"/>
    <cellStyle name="Comma 5 2 3 3 2 2 4" xfId="2243"/>
    <cellStyle name="Comma 5 2 3 3 2 2 4 2" xfId="11610"/>
    <cellStyle name="Comma 5 2 3 3 2 2 4 3" xfId="21614"/>
    <cellStyle name="Comma 5 2 3 3 2 2 5" xfId="5921"/>
    <cellStyle name="Comma 5 2 3 3 2 2 5 2" xfId="14748"/>
    <cellStyle name="Comma 5 2 3 3 2 2 5 3" xfId="24999"/>
    <cellStyle name="Comma 5 2 3 3 2 2 6" xfId="7365"/>
    <cellStyle name="Comma 5 2 3 3 2 2 6 2" xfId="20096"/>
    <cellStyle name="Comma 5 2 3 3 2 2 7" xfId="16607"/>
    <cellStyle name="Comma 5 2 3 3 2 3" xfId="1320"/>
    <cellStyle name="Comma 5 2 3 3 2 3 2" xfId="3751"/>
    <cellStyle name="Comma 5 2 3 3 2 3 2 2" xfId="12889"/>
    <cellStyle name="Comma 5 2 3 3 2 3 2 2 2" xfId="23108"/>
    <cellStyle name="Comma 5 2 3 3 2 3 2 3" xfId="9310"/>
    <cellStyle name="Comma 5 2 3 3 2 3 2 4" xfId="18101"/>
    <cellStyle name="Comma 5 2 3 3 2 3 3" xfId="4812"/>
    <cellStyle name="Comma 5 2 3 3 2 3 3 2" xfId="13651"/>
    <cellStyle name="Comma 5 2 3 3 2 3 3 2 2" xfId="23902"/>
    <cellStyle name="Comma 5 2 3 3 2 3 3 3" xfId="10072"/>
    <cellStyle name="Comma 5 2 3 3 2 3 3 4" xfId="18895"/>
    <cellStyle name="Comma 5 2 3 3 2 3 4" xfId="2145"/>
    <cellStyle name="Comma 5 2 3 3 2 3 4 2" xfId="11512"/>
    <cellStyle name="Comma 5 2 3 3 2 3 4 3" xfId="21516"/>
    <cellStyle name="Comma 5 2 3 3 2 3 5" xfId="6269"/>
    <cellStyle name="Comma 5 2 3 3 2 3 5 2" xfId="15096"/>
    <cellStyle name="Comma 5 2 3 3 2 3 5 3" xfId="25347"/>
    <cellStyle name="Comma 5 2 3 3 2 3 6" xfId="7715"/>
    <cellStyle name="Comma 5 2 3 3 2 3 6 2" xfId="20707"/>
    <cellStyle name="Comma 5 2 3 3 2 3 7" xfId="16509"/>
    <cellStyle name="Comma 5 2 3 3 2 4" xfId="3036"/>
    <cellStyle name="Comma 5 2 3 3 2 4 2" xfId="5414"/>
    <cellStyle name="Comma 5 2 3 3 2 4 2 2" xfId="14253"/>
    <cellStyle name="Comma 5 2 3 3 2 4 2 2 2" xfId="24504"/>
    <cellStyle name="Comma 5 2 3 3 2 4 2 3" xfId="10674"/>
    <cellStyle name="Comma 5 2 3 3 2 4 2 4" xfId="19497"/>
    <cellStyle name="Comma 5 2 3 3 2 4 3" xfId="6871"/>
    <cellStyle name="Comma 5 2 3 3 2 4 3 2" xfId="15698"/>
    <cellStyle name="Comma 5 2 3 3 2 4 3 3" xfId="25949"/>
    <cellStyle name="Comma 5 2 3 3 2 4 4" xfId="8317"/>
    <cellStyle name="Comma 5 2 3 3 2 4 4 2" xfId="22399"/>
    <cellStyle name="Comma 5 2 3 3 2 4 5" xfId="17392"/>
    <cellStyle name="Comma 5 2 3 3 2 5" xfId="4370"/>
    <cellStyle name="Comma 5 2 3 3 2 5 2" xfId="13210"/>
    <cellStyle name="Comma 5 2 3 3 2 5 2 2" xfId="23461"/>
    <cellStyle name="Comma 5 2 3 3 2 5 3" xfId="9631"/>
    <cellStyle name="Comma 5 2 3 3 2 5 4" xfId="18454"/>
    <cellStyle name="Comma 5 2 3 3 2 6" xfId="1642"/>
    <cellStyle name="Comma 5 2 3 3 2 6 2" xfId="11021"/>
    <cellStyle name="Comma 5 2 3 3 2 6 3" xfId="21025"/>
    <cellStyle name="Comma 5 2 3 3 2 7" xfId="5828"/>
    <cellStyle name="Comma 5 2 3 3 2 7 2" xfId="14655"/>
    <cellStyle name="Comma 5 2 3 3 2 7 3" xfId="24906"/>
    <cellStyle name="Comma 5 2 3 3 2 8" xfId="7272"/>
    <cellStyle name="Comma 5 2 3 3 2 8 2" xfId="19998"/>
    <cellStyle name="Comma 5 2 3 3 2 9" xfId="16018"/>
    <cellStyle name="Comma 5 2 3 3 3" xfId="448"/>
    <cellStyle name="Comma 5 2 3 3 3 2" xfId="2936"/>
    <cellStyle name="Comma 5 2 3 3 3 2 2" xfId="12226"/>
    <cellStyle name="Comma 5 2 3 3 3 2 2 2" xfId="22299"/>
    <cellStyle name="Comma 5 2 3 3 3 2 3" xfId="8611"/>
    <cellStyle name="Comma 5 2 3 3 3 2 4" xfId="17292"/>
    <cellStyle name="Comma 5 2 3 3 3 3" xfId="4462"/>
    <cellStyle name="Comma 5 2 3 3 3 3 2" xfId="13302"/>
    <cellStyle name="Comma 5 2 3 3 3 3 2 2" xfId="23553"/>
    <cellStyle name="Comma 5 2 3 3 3 3 3" xfId="9723"/>
    <cellStyle name="Comma 5 2 3 3 3 3 4" xfId="18546"/>
    <cellStyle name="Comma 5 2 3 3 3 4" xfId="2045"/>
    <cellStyle name="Comma 5 2 3 3 3 4 2" xfId="11412"/>
    <cellStyle name="Comma 5 2 3 3 3 4 3" xfId="21416"/>
    <cellStyle name="Comma 5 2 3 3 3 5" xfId="5920"/>
    <cellStyle name="Comma 5 2 3 3 3 5 2" xfId="14747"/>
    <cellStyle name="Comma 5 2 3 3 3 5 3" xfId="24998"/>
    <cellStyle name="Comma 5 2 3 3 3 6" xfId="7364"/>
    <cellStyle name="Comma 5 2 3 3 3 6 2" xfId="19898"/>
    <cellStyle name="Comma 5 2 3 3 3 7" xfId="16409"/>
    <cellStyle name="Comma 5 2 3 3 4" xfId="645"/>
    <cellStyle name="Comma 5 2 3 3 4 2" xfId="3133"/>
    <cellStyle name="Comma 5 2 3 3 4 2 2" xfId="12278"/>
    <cellStyle name="Comma 5 2 3 3 4 2 2 2" xfId="22496"/>
    <cellStyle name="Comma 5 2 3 3 4 2 3" xfId="8700"/>
    <cellStyle name="Comma 5 2 3 3 4 2 4" xfId="17489"/>
    <cellStyle name="Comma 5 2 3 3 4 3" xfId="4811"/>
    <cellStyle name="Comma 5 2 3 3 4 3 2" xfId="13650"/>
    <cellStyle name="Comma 5 2 3 3 4 3 2 2" xfId="23901"/>
    <cellStyle name="Comma 5 2 3 3 4 3 3" xfId="10071"/>
    <cellStyle name="Comma 5 2 3 3 4 3 4" xfId="18894"/>
    <cellStyle name="Comma 5 2 3 3 4 4" xfId="2242"/>
    <cellStyle name="Comma 5 2 3 3 4 4 2" xfId="11609"/>
    <cellStyle name="Comma 5 2 3 3 4 4 3" xfId="21613"/>
    <cellStyle name="Comma 5 2 3 3 4 5" xfId="6268"/>
    <cellStyle name="Comma 5 2 3 3 4 5 2" xfId="15095"/>
    <cellStyle name="Comma 5 2 3 3 4 5 3" xfId="25346"/>
    <cellStyle name="Comma 5 2 3 3 4 6" xfId="7714"/>
    <cellStyle name="Comma 5 2 3 3 4 6 2" xfId="20095"/>
    <cellStyle name="Comma 5 2 3 3 4 7" xfId="16606"/>
    <cellStyle name="Comma 5 2 3 3 5" xfId="1220"/>
    <cellStyle name="Comma 5 2 3 3 5 2" xfId="3651"/>
    <cellStyle name="Comma 5 2 3 3 5 2 2" xfId="12789"/>
    <cellStyle name="Comma 5 2 3 3 5 2 2 2" xfId="23008"/>
    <cellStyle name="Comma 5 2 3 3 5 2 3" xfId="9210"/>
    <cellStyle name="Comma 5 2 3 3 5 2 4" xfId="18001"/>
    <cellStyle name="Comma 5 2 3 3 5 3" xfId="5314"/>
    <cellStyle name="Comma 5 2 3 3 5 3 2" xfId="14153"/>
    <cellStyle name="Comma 5 2 3 3 5 3 2 2" xfId="24404"/>
    <cellStyle name="Comma 5 2 3 3 5 3 3" xfId="10574"/>
    <cellStyle name="Comma 5 2 3 3 5 3 4" xfId="19397"/>
    <cellStyle name="Comma 5 2 3 3 5 4" xfId="1825"/>
    <cellStyle name="Comma 5 2 3 3 5 4 2" xfId="11195"/>
    <cellStyle name="Comma 5 2 3 3 5 4 3" xfId="21199"/>
    <cellStyle name="Comma 5 2 3 3 5 5" xfId="6771"/>
    <cellStyle name="Comma 5 2 3 3 5 5 2" xfId="15598"/>
    <cellStyle name="Comma 5 2 3 3 5 5 3" xfId="25849"/>
    <cellStyle name="Comma 5 2 3 3 5 6" xfId="8217"/>
    <cellStyle name="Comma 5 2 3 3 5 6 2" xfId="20607"/>
    <cellStyle name="Comma 5 2 3 3 5 7" xfId="16192"/>
    <cellStyle name="Comma 5 2 3 3 6" xfId="2719"/>
    <cellStyle name="Comma 5 2 3 3 6 2" xfId="12038"/>
    <cellStyle name="Comma 5 2 3 3 6 2 2" xfId="22082"/>
    <cellStyle name="Comma 5 2 3 3 6 3" xfId="7509"/>
    <cellStyle name="Comma 5 2 3 3 6 4" xfId="17075"/>
    <cellStyle name="Comma 5 2 3 3 7" xfId="4270"/>
    <cellStyle name="Comma 5 2 3 3 7 2" xfId="13110"/>
    <cellStyle name="Comma 5 2 3 3 7 2 2" xfId="23361"/>
    <cellStyle name="Comma 5 2 3 3 7 3" xfId="9531"/>
    <cellStyle name="Comma 5 2 3 3 7 4" xfId="18354"/>
    <cellStyle name="Comma 5 2 3 3 8" xfId="1542"/>
    <cellStyle name="Comma 5 2 3 3 8 2" xfId="10921"/>
    <cellStyle name="Comma 5 2 3 3 8 3" xfId="20925"/>
    <cellStyle name="Comma 5 2 3 3 9" xfId="5728"/>
    <cellStyle name="Comma 5 2 3 3 9 2" xfId="14555"/>
    <cellStyle name="Comma 5 2 3 3 9 3" xfId="24806"/>
    <cellStyle name="Comma 5 2 3 4" xfId="255"/>
    <cellStyle name="Comma 5 2 3 4 10" xfId="7097"/>
    <cellStyle name="Comma 5 2 3 4 10 2" xfId="19711"/>
    <cellStyle name="Comma 5 2 3 4 11" xfId="15843"/>
    <cellStyle name="Comma 5 2 3 4 2" xfId="578"/>
    <cellStyle name="Comma 5 2 3 4 2 2" xfId="648"/>
    <cellStyle name="Comma 5 2 3 4 2 2 2" xfId="3136"/>
    <cellStyle name="Comma 5 2 3 4 2 2 2 2" xfId="12281"/>
    <cellStyle name="Comma 5 2 3 4 2 2 2 2 2" xfId="22499"/>
    <cellStyle name="Comma 5 2 3 4 2 2 2 3" xfId="8703"/>
    <cellStyle name="Comma 5 2 3 4 2 2 2 4" xfId="17492"/>
    <cellStyle name="Comma 5 2 3 4 2 2 3" xfId="4465"/>
    <cellStyle name="Comma 5 2 3 4 2 2 3 2" xfId="13305"/>
    <cellStyle name="Comma 5 2 3 4 2 2 3 2 2" xfId="23556"/>
    <cellStyle name="Comma 5 2 3 4 2 2 3 3" xfId="9726"/>
    <cellStyle name="Comma 5 2 3 4 2 2 3 4" xfId="18549"/>
    <cellStyle name="Comma 5 2 3 4 2 2 4" xfId="2245"/>
    <cellStyle name="Comma 5 2 3 4 2 2 4 2" xfId="11612"/>
    <cellStyle name="Comma 5 2 3 4 2 2 4 3" xfId="21616"/>
    <cellStyle name="Comma 5 2 3 4 2 2 5" xfId="5923"/>
    <cellStyle name="Comma 5 2 3 4 2 2 5 2" xfId="14750"/>
    <cellStyle name="Comma 5 2 3 4 2 2 5 3" xfId="25001"/>
    <cellStyle name="Comma 5 2 3 4 2 2 6" xfId="7367"/>
    <cellStyle name="Comma 5 2 3 4 2 2 6 2" xfId="20098"/>
    <cellStyle name="Comma 5 2 3 4 2 2 7" xfId="16609"/>
    <cellStyle name="Comma 5 2 3 4 2 3" xfId="1350"/>
    <cellStyle name="Comma 5 2 3 4 2 3 2" xfId="3781"/>
    <cellStyle name="Comma 5 2 3 4 2 3 2 2" xfId="12919"/>
    <cellStyle name="Comma 5 2 3 4 2 3 2 2 2" xfId="23138"/>
    <cellStyle name="Comma 5 2 3 4 2 3 2 3" xfId="9340"/>
    <cellStyle name="Comma 5 2 3 4 2 3 2 4" xfId="18131"/>
    <cellStyle name="Comma 5 2 3 4 2 3 3" xfId="4814"/>
    <cellStyle name="Comma 5 2 3 4 2 3 3 2" xfId="13653"/>
    <cellStyle name="Comma 5 2 3 4 2 3 3 2 2" xfId="23904"/>
    <cellStyle name="Comma 5 2 3 4 2 3 3 3" xfId="10074"/>
    <cellStyle name="Comma 5 2 3 4 2 3 3 4" xfId="18897"/>
    <cellStyle name="Comma 5 2 3 4 2 3 4" xfId="2175"/>
    <cellStyle name="Comma 5 2 3 4 2 3 4 2" xfId="11542"/>
    <cellStyle name="Comma 5 2 3 4 2 3 4 3" xfId="21546"/>
    <cellStyle name="Comma 5 2 3 4 2 3 5" xfId="6271"/>
    <cellStyle name="Comma 5 2 3 4 2 3 5 2" xfId="15098"/>
    <cellStyle name="Comma 5 2 3 4 2 3 5 3" xfId="25349"/>
    <cellStyle name="Comma 5 2 3 4 2 3 6" xfId="7717"/>
    <cellStyle name="Comma 5 2 3 4 2 3 6 2" xfId="20737"/>
    <cellStyle name="Comma 5 2 3 4 2 3 7" xfId="16539"/>
    <cellStyle name="Comma 5 2 3 4 2 4" xfId="3066"/>
    <cellStyle name="Comma 5 2 3 4 2 4 2" xfId="5444"/>
    <cellStyle name="Comma 5 2 3 4 2 4 2 2" xfId="14283"/>
    <cellStyle name="Comma 5 2 3 4 2 4 2 2 2" xfId="24534"/>
    <cellStyle name="Comma 5 2 3 4 2 4 2 3" xfId="10704"/>
    <cellStyle name="Comma 5 2 3 4 2 4 2 4" xfId="19527"/>
    <cellStyle name="Comma 5 2 3 4 2 4 3" xfId="6901"/>
    <cellStyle name="Comma 5 2 3 4 2 4 3 2" xfId="15728"/>
    <cellStyle name="Comma 5 2 3 4 2 4 3 3" xfId="25979"/>
    <cellStyle name="Comma 5 2 3 4 2 4 4" xfId="8347"/>
    <cellStyle name="Comma 5 2 3 4 2 4 4 2" xfId="22429"/>
    <cellStyle name="Comma 5 2 3 4 2 4 5" xfId="17422"/>
    <cellStyle name="Comma 5 2 3 4 2 5" xfId="4400"/>
    <cellStyle name="Comma 5 2 3 4 2 5 2" xfId="13240"/>
    <cellStyle name="Comma 5 2 3 4 2 5 2 2" xfId="23491"/>
    <cellStyle name="Comma 5 2 3 4 2 5 3" xfId="9661"/>
    <cellStyle name="Comma 5 2 3 4 2 5 4" xfId="18484"/>
    <cellStyle name="Comma 5 2 3 4 2 6" xfId="1672"/>
    <cellStyle name="Comma 5 2 3 4 2 6 2" xfId="11051"/>
    <cellStyle name="Comma 5 2 3 4 2 6 3" xfId="21055"/>
    <cellStyle name="Comma 5 2 3 4 2 7" xfId="5858"/>
    <cellStyle name="Comma 5 2 3 4 2 7 2" xfId="14685"/>
    <cellStyle name="Comma 5 2 3 4 2 7 3" xfId="24936"/>
    <cellStyle name="Comma 5 2 3 4 2 8" xfId="7302"/>
    <cellStyle name="Comma 5 2 3 4 2 8 2" xfId="20028"/>
    <cellStyle name="Comma 5 2 3 4 2 9" xfId="16048"/>
    <cellStyle name="Comma 5 2 3 4 3" xfId="373"/>
    <cellStyle name="Comma 5 2 3 4 3 2" xfId="2861"/>
    <cellStyle name="Comma 5 2 3 4 3 2 2" xfId="12151"/>
    <cellStyle name="Comma 5 2 3 4 3 2 2 2" xfId="22224"/>
    <cellStyle name="Comma 5 2 3 4 3 2 3" xfId="8469"/>
    <cellStyle name="Comma 5 2 3 4 3 2 4" xfId="17217"/>
    <cellStyle name="Comma 5 2 3 4 3 3" xfId="4464"/>
    <cellStyle name="Comma 5 2 3 4 3 3 2" xfId="13304"/>
    <cellStyle name="Comma 5 2 3 4 3 3 2 2" xfId="23555"/>
    <cellStyle name="Comma 5 2 3 4 3 3 3" xfId="9725"/>
    <cellStyle name="Comma 5 2 3 4 3 3 4" xfId="18548"/>
    <cellStyle name="Comma 5 2 3 4 3 4" xfId="1970"/>
    <cellStyle name="Comma 5 2 3 4 3 4 2" xfId="11337"/>
    <cellStyle name="Comma 5 2 3 4 3 4 3" xfId="21341"/>
    <cellStyle name="Comma 5 2 3 4 3 5" xfId="5922"/>
    <cellStyle name="Comma 5 2 3 4 3 5 2" xfId="14749"/>
    <cellStyle name="Comma 5 2 3 4 3 5 3" xfId="25000"/>
    <cellStyle name="Comma 5 2 3 4 3 6" xfId="7366"/>
    <cellStyle name="Comma 5 2 3 4 3 6 2" xfId="19823"/>
    <cellStyle name="Comma 5 2 3 4 3 7" xfId="16334"/>
    <cellStyle name="Comma 5 2 3 4 4" xfId="647"/>
    <cellStyle name="Comma 5 2 3 4 4 2" xfId="3135"/>
    <cellStyle name="Comma 5 2 3 4 4 2 2" xfId="12280"/>
    <cellStyle name="Comma 5 2 3 4 4 2 2 2" xfId="22498"/>
    <cellStyle name="Comma 5 2 3 4 4 2 3" xfId="8702"/>
    <cellStyle name="Comma 5 2 3 4 4 2 4" xfId="17491"/>
    <cellStyle name="Comma 5 2 3 4 4 3" xfId="4813"/>
    <cellStyle name="Comma 5 2 3 4 4 3 2" xfId="13652"/>
    <cellStyle name="Comma 5 2 3 4 4 3 2 2" xfId="23903"/>
    <cellStyle name="Comma 5 2 3 4 4 3 3" xfId="10073"/>
    <cellStyle name="Comma 5 2 3 4 4 3 4" xfId="18896"/>
    <cellStyle name="Comma 5 2 3 4 4 4" xfId="2244"/>
    <cellStyle name="Comma 5 2 3 4 4 4 2" xfId="11611"/>
    <cellStyle name="Comma 5 2 3 4 4 4 3" xfId="21615"/>
    <cellStyle name="Comma 5 2 3 4 4 5" xfId="6270"/>
    <cellStyle name="Comma 5 2 3 4 4 5 2" xfId="15097"/>
    <cellStyle name="Comma 5 2 3 4 4 5 3" xfId="25348"/>
    <cellStyle name="Comma 5 2 3 4 4 6" xfId="7716"/>
    <cellStyle name="Comma 5 2 3 4 4 6 2" xfId="20097"/>
    <cellStyle name="Comma 5 2 3 4 4 7" xfId="16608"/>
    <cellStyle name="Comma 5 2 3 4 5" xfId="1145"/>
    <cellStyle name="Comma 5 2 3 4 5 2" xfId="3576"/>
    <cellStyle name="Comma 5 2 3 4 5 2 2" xfId="12714"/>
    <cellStyle name="Comma 5 2 3 4 5 2 2 2" xfId="22933"/>
    <cellStyle name="Comma 5 2 3 4 5 2 3" xfId="9135"/>
    <cellStyle name="Comma 5 2 3 4 5 2 4" xfId="17926"/>
    <cellStyle name="Comma 5 2 3 4 5 3" xfId="5239"/>
    <cellStyle name="Comma 5 2 3 4 5 3 2" xfId="14078"/>
    <cellStyle name="Comma 5 2 3 4 5 3 2 2" xfId="24329"/>
    <cellStyle name="Comma 5 2 3 4 5 3 3" xfId="10499"/>
    <cellStyle name="Comma 5 2 3 4 5 3 4" xfId="19322"/>
    <cellStyle name="Comma 5 2 3 4 5 4" xfId="1855"/>
    <cellStyle name="Comma 5 2 3 4 5 4 2" xfId="11225"/>
    <cellStyle name="Comma 5 2 3 4 5 4 3" xfId="21229"/>
    <cellStyle name="Comma 5 2 3 4 5 5" xfId="6696"/>
    <cellStyle name="Comma 5 2 3 4 5 5 2" xfId="15523"/>
    <cellStyle name="Comma 5 2 3 4 5 5 3" xfId="25774"/>
    <cellStyle name="Comma 5 2 3 4 5 6" xfId="8142"/>
    <cellStyle name="Comma 5 2 3 4 5 6 2" xfId="20532"/>
    <cellStyle name="Comma 5 2 3 4 5 7" xfId="16222"/>
    <cellStyle name="Comma 5 2 3 4 6" xfId="2749"/>
    <cellStyle name="Comma 5 2 3 4 6 2" xfId="12068"/>
    <cellStyle name="Comma 5 2 3 4 6 2 2" xfId="22112"/>
    <cellStyle name="Comma 5 2 3 4 6 3" xfId="8495"/>
    <cellStyle name="Comma 5 2 3 4 6 4" xfId="17105"/>
    <cellStyle name="Comma 5 2 3 4 7" xfId="4195"/>
    <cellStyle name="Comma 5 2 3 4 7 2" xfId="13035"/>
    <cellStyle name="Comma 5 2 3 4 7 2 2" xfId="23286"/>
    <cellStyle name="Comma 5 2 3 4 7 3" xfId="9456"/>
    <cellStyle name="Comma 5 2 3 4 7 4" xfId="18279"/>
    <cellStyle name="Comma 5 2 3 4 8" xfId="1467"/>
    <cellStyle name="Comma 5 2 3 4 8 2" xfId="10846"/>
    <cellStyle name="Comma 5 2 3 4 8 3" xfId="20850"/>
    <cellStyle name="Comma 5 2 3 4 9" xfId="5653"/>
    <cellStyle name="Comma 5 2 3 4 9 2" xfId="14480"/>
    <cellStyle name="Comma 5 2 3 4 9 3" xfId="24731"/>
    <cellStyle name="Comma 5 2 3 5" xfId="473"/>
    <cellStyle name="Comma 5 2 3 5 2" xfId="649"/>
    <cellStyle name="Comma 5 2 3 5 2 2" xfId="3137"/>
    <cellStyle name="Comma 5 2 3 5 2 2 2" xfId="12282"/>
    <cellStyle name="Comma 5 2 3 5 2 2 2 2" xfId="22500"/>
    <cellStyle name="Comma 5 2 3 5 2 2 3" xfId="8704"/>
    <cellStyle name="Comma 5 2 3 5 2 2 4" xfId="17493"/>
    <cellStyle name="Comma 5 2 3 5 2 3" xfId="4466"/>
    <cellStyle name="Comma 5 2 3 5 2 3 2" xfId="13306"/>
    <cellStyle name="Comma 5 2 3 5 2 3 2 2" xfId="23557"/>
    <cellStyle name="Comma 5 2 3 5 2 3 3" xfId="9727"/>
    <cellStyle name="Comma 5 2 3 5 2 3 4" xfId="18550"/>
    <cellStyle name="Comma 5 2 3 5 2 4" xfId="2246"/>
    <cellStyle name="Comma 5 2 3 5 2 4 2" xfId="11613"/>
    <cellStyle name="Comma 5 2 3 5 2 4 3" xfId="21617"/>
    <cellStyle name="Comma 5 2 3 5 2 5" xfId="5924"/>
    <cellStyle name="Comma 5 2 3 5 2 5 2" xfId="14751"/>
    <cellStyle name="Comma 5 2 3 5 2 5 3" xfId="25002"/>
    <cellStyle name="Comma 5 2 3 5 2 6" xfId="7368"/>
    <cellStyle name="Comma 5 2 3 5 2 6 2" xfId="20099"/>
    <cellStyle name="Comma 5 2 3 5 2 7" xfId="16610"/>
    <cellStyle name="Comma 5 2 3 5 3" xfId="1245"/>
    <cellStyle name="Comma 5 2 3 5 3 2" xfId="3676"/>
    <cellStyle name="Comma 5 2 3 5 3 2 2" xfId="12814"/>
    <cellStyle name="Comma 5 2 3 5 3 2 2 2" xfId="23033"/>
    <cellStyle name="Comma 5 2 3 5 3 2 3" xfId="9235"/>
    <cellStyle name="Comma 5 2 3 5 3 2 4" xfId="18026"/>
    <cellStyle name="Comma 5 2 3 5 3 3" xfId="4815"/>
    <cellStyle name="Comma 5 2 3 5 3 3 2" xfId="13654"/>
    <cellStyle name="Comma 5 2 3 5 3 3 2 2" xfId="23905"/>
    <cellStyle name="Comma 5 2 3 5 3 3 3" xfId="10075"/>
    <cellStyle name="Comma 5 2 3 5 3 3 4" xfId="18898"/>
    <cellStyle name="Comma 5 2 3 5 3 4" xfId="2070"/>
    <cellStyle name="Comma 5 2 3 5 3 4 2" xfId="11437"/>
    <cellStyle name="Comma 5 2 3 5 3 4 3" xfId="21441"/>
    <cellStyle name="Comma 5 2 3 5 3 5" xfId="6272"/>
    <cellStyle name="Comma 5 2 3 5 3 5 2" xfId="15099"/>
    <cellStyle name="Comma 5 2 3 5 3 5 3" xfId="25350"/>
    <cellStyle name="Comma 5 2 3 5 3 6" xfId="7718"/>
    <cellStyle name="Comma 5 2 3 5 3 6 2" xfId="20632"/>
    <cellStyle name="Comma 5 2 3 5 3 7" xfId="16434"/>
    <cellStyle name="Comma 5 2 3 5 4" xfId="2961"/>
    <cellStyle name="Comma 5 2 3 5 4 2" xfId="5339"/>
    <cellStyle name="Comma 5 2 3 5 4 2 2" xfId="14178"/>
    <cellStyle name="Comma 5 2 3 5 4 2 2 2" xfId="24429"/>
    <cellStyle name="Comma 5 2 3 5 4 2 3" xfId="10599"/>
    <cellStyle name="Comma 5 2 3 5 4 2 4" xfId="19422"/>
    <cellStyle name="Comma 5 2 3 5 4 3" xfId="6796"/>
    <cellStyle name="Comma 5 2 3 5 4 3 2" xfId="15623"/>
    <cellStyle name="Comma 5 2 3 5 4 3 3" xfId="25874"/>
    <cellStyle name="Comma 5 2 3 5 4 4" xfId="8242"/>
    <cellStyle name="Comma 5 2 3 5 4 4 2" xfId="22324"/>
    <cellStyle name="Comma 5 2 3 5 4 5" xfId="17317"/>
    <cellStyle name="Comma 5 2 3 5 5" xfId="4295"/>
    <cellStyle name="Comma 5 2 3 5 5 2" xfId="13135"/>
    <cellStyle name="Comma 5 2 3 5 5 2 2" xfId="23386"/>
    <cellStyle name="Comma 5 2 3 5 5 3" xfId="9556"/>
    <cellStyle name="Comma 5 2 3 5 5 4" xfId="18379"/>
    <cellStyle name="Comma 5 2 3 5 6" xfId="1567"/>
    <cellStyle name="Comma 5 2 3 5 6 2" xfId="10946"/>
    <cellStyle name="Comma 5 2 3 5 6 3" xfId="20950"/>
    <cellStyle name="Comma 5 2 3 5 7" xfId="5753"/>
    <cellStyle name="Comma 5 2 3 5 7 2" xfId="14580"/>
    <cellStyle name="Comma 5 2 3 5 7 3" xfId="24831"/>
    <cellStyle name="Comma 5 2 3 5 8" xfId="7197"/>
    <cellStyle name="Comma 5 2 3 5 8 2" xfId="19923"/>
    <cellStyle name="Comma 5 2 3 5 9" xfId="15943"/>
    <cellStyle name="Comma 5 2 3 6" xfId="348"/>
    <cellStyle name="Comma 5 2 3 6 2" xfId="650"/>
    <cellStyle name="Comma 5 2 3 6 2 2" xfId="3138"/>
    <cellStyle name="Comma 5 2 3 6 2 2 2" xfId="12283"/>
    <cellStyle name="Comma 5 2 3 6 2 2 2 2" xfId="22501"/>
    <cellStyle name="Comma 5 2 3 6 2 2 3" xfId="8705"/>
    <cellStyle name="Comma 5 2 3 6 2 2 4" xfId="17494"/>
    <cellStyle name="Comma 5 2 3 6 2 3" xfId="4467"/>
    <cellStyle name="Comma 5 2 3 6 2 3 2" xfId="13307"/>
    <cellStyle name="Comma 5 2 3 6 2 3 2 2" xfId="23558"/>
    <cellStyle name="Comma 5 2 3 6 2 3 3" xfId="9728"/>
    <cellStyle name="Comma 5 2 3 6 2 3 4" xfId="18551"/>
    <cellStyle name="Comma 5 2 3 6 2 4" xfId="2247"/>
    <cellStyle name="Comma 5 2 3 6 2 4 2" xfId="11614"/>
    <cellStyle name="Comma 5 2 3 6 2 4 3" xfId="21618"/>
    <cellStyle name="Comma 5 2 3 6 2 5" xfId="5925"/>
    <cellStyle name="Comma 5 2 3 6 2 5 2" xfId="14752"/>
    <cellStyle name="Comma 5 2 3 6 2 5 3" xfId="25003"/>
    <cellStyle name="Comma 5 2 3 6 2 6" xfId="7369"/>
    <cellStyle name="Comma 5 2 3 6 2 6 2" xfId="20100"/>
    <cellStyle name="Comma 5 2 3 6 2 7" xfId="16611"/>
    <cellStyle name="Comma 5 2 3 6 3" xfId="1120"/>
    <cellStyle name="Comma 5 2 3 6 3 2" xfId="3551"/>
    <cellStyle name="Comma 5 2 3 6 3 2 2" xfId="12689"/>
    <cellStyle name="Comma 5 2 3 6 3 2 2 2" xfId="22908"/>
    <cellStyle name="Comma 5 2 3 6 3 2 3" xfId="9110"/>
    <cellStyle name="Comma 5 2 3 6 3 2 4" xfId="17901"/>
    <cellStyle name="Comma 5 2 3 6 3 3" xfId="4816"/>
    <cellStyle name="Comma 5 2 3 6 3 3 2" xfId="13655"/>
    <cellStyle name="Comma 5 2 3 6 3 3 2 2" xfId="23906"/>
    <cellStyle name="Comma 5 2 3 6 3 3 3" xfId="10076"/>
    <cellStyle name="Comma 5 2 3 6 3 3 4" xfId="18899"/>
    <cellStyle name="Comma 5 2 3 6 3 4" xfId="2583"/>
    <cellStyle name="Comma 5 2 3 6 3 4 2" xfId="11949"/>
    <cellStyle name="Comma 5 2 3 6 3 4 3" xfId="21953"/>
    <cellStyle name="Comma 5 2 3 6 3 5" xfId="6273"/>
    <cellStyle name="Comma 5 2 3 6 3 5 2" xfId="15100"/>
    <cellStyle name="Comma 5 2 3 6 3 5 3" xfId="25351"/>
    <cellStyle name="Comma 5 2 3 6 3 6" xfId="7719"/>
    <cellStyle name="Comma 5 2 3 6 3 6 2" xfId="20507"/>
    <cellStyle name="Comma 5 2 3 6 3 7" xfId="16946"/>
    <cellStyle name="Comma 5 2 3 6 4" xfId="2836"/>
    <cellStyle name="Comma 5 2 3 6 4 2" xfId="5214"/>
    <cellStyle name="Comma 5 2 3 6 4 2 2" xfId="14053"/>
    <cellStyle name="Comma 5 2 3 6 4 2 2 2" xfId="24304"/>
    <cellStyle name="Comma 5 2 3 6 4 2 3" xfId="10474"/>
    <cellStyle name="Comma 5 2 3 6 4 2 4" xfId="19297"/>
    <cellStyle name="Comma 5 2 3 6 4 3" xfId="6671"/>
    <cellStyle name="Comma 5 2 3 6 4 3 2" xfId="15498"/>
    <cellStyle name="Comma 5 2 3 6 4 3 3" xfId="25749"/>
    <cellStyle name="Comma 5 2 3 6 4 4" xfId="8117"/>
    <cellStyle name="Comma 5 2 3 6 4 4 2" xfId="22199"/>
    <cellStyle name="Comma 5 2 3 6 4 5" xfId="17192"/>
    <cellStyle name="Comma 5 2 3 6 5" xfId="4168"/>
    <cellStyle name="Comma 5 2 3 6 5 2" xfId="13008"/>
    <cellStyle name="Comma 5 2 3 6 5 2 2" xfId="23259"/>
    <cellStyle name="Comma 5 2 3 6 5 3" xfId="9429"/>
    <cellStyle name="Comma 5 2 3 6 5 4" xfId="18252"/>
    <cellStyle name="Comma 5 2 3 6 6" xfId="1945"/>
    <cellStyle name="Comma 5 2 3 6 6 2" xfId="11312"/>
    <cellStyle name="Comma 5 2 3 6 6 3" xfId="21316"/>
    <cellStyle name="Comma 5 2 3 6 7" xfId="5628"/>
    <cellStyle name="Comma 5 2 3 6 7 2" xfId="14455"/>
    <cellStyle name="Comma 5 2 3 6 7 3" xfId="24706"/>
    <cellStyle name="Comma 5 2 3 6 8" xfId="7072"/>
    <cellStyle name="Comma 5 2 3 6 8 2" xfId="19798"/>
    <cellStyle name="Comma 5 2 3 6 9" xfId="16309"/>
    <cellStyle name="Comma 5 2 3 7" xfId="641"/>
    <cellStyle name="Comma 5 2 3 7 2" xfId="3129"/>
    <cellStyle name="Comma 5 2 3 7 2 2" xfId="12274"/>
    <cellStyle name="Comma 5 2 3 7 2 2 2" xfId="22492"/>
    <cellStyle name="Comma 5 2 3 7 2 3" xfId="8696"/>
    <cellStyle name="Comma 5 2 3 7 2 4" xfId="17485"/>
    <cellStyle name="Comma 5 2 3 7 3" xfId="4458"/>
    <cellStyle name="Comma 5 2 3 7 3 2" xfId="13298"/>
    <cellStyle name="Comma 5 2 3 7 3 2 2" xfId="23549"/>
    <cellStyle name="Comma 5 2 3 7 3 3" xfId="9719"/>
    <cellStyle name="Comma 5 2 3 7 3 4" xfId="18542"/>
    <cellStyle name="Comma 5 2 3 7 4" xfId="2238"/>
    <cellStyle name="Comma 5 2 3 7 4 2" xfId="11605"/>
    <cellStyle name="Comma 5 2 3 7 4 3" xfId="21609"/>
    <cellStyle name="Comma 5 2 3 7 5" xfId="5916"/>
    <cellStyle name="Comma 5 2 3 7 5 2" xfId="14743"/>
    <cellStyle name="Comma 5 2 3 7 5 3" xfId="24994"/>
    <cellStyle name="Comma 5 2 3 7 6" xfId="7360"/>
    <cellStyle name="Comma 5 2 3 7 6 2" xfId="20091"/>
    <cellStyle name="Comma 5 2 3 7 7" xfId="16602"/>
    <cellStyle name="Comma 5 2 3 8" xfId="1075"/>
    <cellStyle name="Comma 5 2 3 8 2" xfId="3506"/>
    <cellStyle name="Comma 5 2 3 8 2 2" xfId="12644"/>
    <cellStyle name="Comma 5 2 3 8 2 2 2" xfId="22863"/>
    <cellStyle name="Comma 5 2 3 8 2 3" xfId="9066"/>
    <cellStyle name="Comma 5 2 3 8 2 4" xfId="17856"/>
    <cellStyle name="Comma 5 2 3 8 3" xfId="4807"/>
    <cellStyle name="Comma 5 2 3 8 3 2" xfId="13646"/>
    <cellStyle name="Comma 5 2 3 8 3 2 2" xfId="23897"/>
    <cellStyle name="Comma 5 2 3 8 3 3" xfId="10067"/>
    <cellStyle name="Comma 5 2 3 8 3 4" xfId="18890"/>
    <cellStyle name="Comma 5 2 3 8 4" xfId="1743"/>
    <cellStyle name="Comma 5 2 3 8 4 2" xfId="11119"/>
    <cellStyle name="Comma 5 2 3 8 4 3" xfId="21123"/>
    <cellStyle name="Comma 5 2 3 8 5" xfId="6264"/>
    <cellStyle name="Comma 5 2 3 8 5 2" xfId="15091"/>
    <cellStyle name="Comma 5 2 3 8 5 3" xfId="25342"/>
    <cellStyle name="Comma 5 2 3 8 6" xfId="7710"/>
    <cellStyle name="Comma 5 2 3 8 6 2" xfId="20462"/>
    <cellStyle name="Comma 5 2 3 8 7" xfId="16116"/>
    <cellStyle name="Comma 5 2 3 9" xfId="2643"/>
    <cellStyle name="Comma 5 2 3 9 2" xfId="5169"/>
    <cellStyle name="Comma 5 2 3 9 2 2" xfId="14008"/>
    <cellStyle name="Comma 5 2 3 9 2 2 2" xfId="24259"/>
    <cellStyle name="Comma 5 2 3 9 2 3" xfId="10429"/>
    <cellStyle name="Comma 5 2 3 9 2 4" xfId="19252"/>
    <cellStyle name="Comma 5 2 3 9 3" xfId="6626"/>
    <cellStyle name="Comma 5 2 3 9 3 2" xfId="15453"/>
    <cellStyle name="Comma 5 2 3 9 3 3" xfId="25704"/>
    <cellStyle name="Comma 5 2 3 9 4" xfId="8072"/>
    <cellStyle name="Comma 5 2 3 9 4 2" xfId="22007"/>
    <cellStyle name="Comma 5 2 3 9 5" xfId="17000"/>
    <cellStyle name="Comma 5 2 4" xfId="150"/>
    <cellStyle name="Comma 5 2 4 10" xfId="1420"/>
    <cellStyle name="Comma 5 2 4 10 2" xfId="10799"/>
    <cellStyle name="Comma 5 2 4 10 3" xfId="20803"/>
    <cellStyle name="Comma 5 2 4 11" xfId="5531"/>
    <cellStyle name="Comma 5 2 4 11 2" xfId="14360"/>
    <cellStyle name="Comma 5 2 4 11 3" xfId="24611"/>
    <cellStyle name="Comma 5 2 4 12" xfId="6973"/>
    <cellStyle name="Comma 5 2 4 12 2" xfId="19618"/>
    <cellStyle name="Comma 5 2 4 13" xfId="15796"/>
    <cellStyle name="Comma 5 2 4 2" xfId="200"/>
    <cellStyle name="Comma 5 2 4 2 10" xfId="7152"/>
    <cellStyle name="Comma 5 2 4 2 10 2" xfId="19661"/>
    <cellStyle name="Comma 5 2 4 2 11" xfId="15898"/>
    <cellStyle name="Comma 5 2 4 2 2" xfId="528"/>
    <cellStyle name="Comma 5 2 4 2 2 2" xfId="653"/>
    <cellStyle name="Comma 5 2 4 2 2 2 2" xfId="3141"/>
    <cellStyle name="Comma 5 2 4 2 2 2 2 2" xfId="12286"/>
    <cellStyle name="Comma 5 2 4 2 2 2 2 2 2" xfId="22504"/>
    <cellStyle name="Comma 5 2 4 2 2 2 2 3" xfId="8708"/>
    <cellStyle name="Comma 5 2 4 2 2 2 2 4" xfId="17497"/>
    <cellStyle name="Comma 5 2 4 2 2 2 3" xfId="4470"/>
    <cellStyle name="Comma 5 2 4 2 2 2 3 2" xfId="13310"/>
    <cellStyle name="Comma 5 2 4 2 2 2 3 2 2" xfId="23561"/>
    <cellStyle name="Comma 5 2 4 2 2 2 3 3" xfId="9731"/>
    <cellStyle name="Comma 5 2 4 2 2 2 3 4" xfId="18554"/>
    <cellStyle name="Comma 5 2 4 2 2 2 4" xfId="2250"/>
    <cellStyle name="Comma 5 2 4 2 2 2 4 2" xfId="11617"/>
    <cellStyle name="Comma 5 2 4 2 2 2 4 3" xfId="21621"/>
    <cellStyle name="Comma 5 2 4 2 2 2 5" xfId="5928"/>
    <cellStyle name="Comma 5 2 4 2 2 2 5 2" xfId="14755"/>
    <cellStyle name="Comma 5 2 4 2 2 2 5 3" xfId="25006"/>
    <cellStyle name="Comma 5 2 4 2 2 2 6" xfId="7372"/>
    <cellStyle name="Comma 5 2 4 2 2 2 6 2" xfId="20103"/>
    <cellStyle name="Comma 5 2 4 2 2 2 7" xfId="16614"/>
    <cellStyle name="Comma 5 2 4 2 2 3" xfId="1300"/>
    <cellStyle name="Comma 5 2 4 2 2 3 2" xfId="3731"/>
    <cellStyle name="Comma 5 2 4 2 2 3 2 2" xfId="12869"/>
    <cellStyle name="Comma 5 2 4 2 2 3 2 2 2" xfId="23088"/>
    <cellStyle name="Comma 5 2 4 2 2 3 2 3" xfId="9290"/>
    <cellStyle name="Comma 5 2 4 2 2 3 2 4" xfId="18081"/>
    <cellStyle name="Comma 5 2 4 2 2 3 3" xfId="4819"/>
    <cellStyle name="Comma 5 2 4 2 2 3 3 2" xfId="13658"/>
    <cellStyle name="Comma 5 2 4 2 2 3 3 2 2" xfId="23909"/>
    <cellStyle name="Comma 5 2 4 2 2 3 3 3" xfId="10079"/>
    <cellStyle name="Comma 5 2 4 2 2 3 3 4" xfId="18902"/>
    <cellStyle name="Comma 5 2 4 2 2 3 4" xfId="2125"/>
    <cellStyle name="Comma 5 2 4 2 2 3 4 2" xfId="11492"/>
    <cellStyle name="Comma 5 2 4 2 2 3 4 3" xfId="21496"/>
    <cellStyle name="Comma 5 2 4 2 2 3 5" xfId="6276"/>
    <cellStyle name="Comma 5 2 4 2 2 3 5 2" xfId="15103"/>
    <cellStyle name="Comma 5 2 4 2 2 3 5 3" xfId="25354"/>
    <cellStyle name="Comma 5 2 4 2 2 3 6" xfId="7722"/>
    <cellStyle name="Comma 5 2 4 2 2 3 6 2" xfId="20687"/>
    <cellStyle name="Comma 5 2 4 2 2 3 7" xfId="16489"/>
    <cellStyle name="Comma 5 2 4 2 2 4" xfId="3016"/>
    <cellStyle name="Comma 5 2 4 2 2 4 2" xfId="5394"/>
    <cellStyle name="Comma 5 2 4 2 2 4 2 2" xfId="14233"/>
    <cellStyle name="Comma 5 2 4 2 2 4 2 2 2" xfId="24484"/>
    <cellStyle name="Comma 5 2 4 2 2 4 2 3" xfId="10654"/>
    <cellStyle name="Comma 5 2 4 2 2 4 2 4" xfId="19477"/>
    <cellStyle name="Comma 5 2 4 2 2 4 3" xfId="6851"/>
    <cellStyle name="Comma 5 2 4 2 2 4 3 2" xfId="15678"/>
    <cellStyle name="Comma 5 2 4 2 2 4 3 3" xfId="25929"/>
    <cellStyle name="Comma 5 2 4 2 2 4 4" xfId="8297"/>
    <cellStyle name="Comma 5 2 4 2 2 4 4 2" xfId="22379"/>
    <cellStyle name="Comma 5 2 4 2 2 4 5" xfId="17372"/>
    <cellStyle name="Comma 5 2 4 2 2 5" xfId="4350"/>
    <cellStyle name="Comma 5 2 4 2 2 5 2" xfId="13190"/>
    <cellStyle name="Comma 5 2 4 2 2 5 2 2" xfId="23441"/>
    <cellStyle name="Comma 5 2 4 2 2 5 3" xfId="9611"/>
    <cellStyle name="Comma 5 2 4 2 2 5 4" xfId="18434"/>
    <cellStyle name="Comma 5 2 4 2 2 6" xfId="1622"/>
    <cellStyle name="Comma 5 2 4 2 2 6 2" xfId="11001"/>
    <cellStyle name="Comma 5 2 4 2 2 6 3" xfId="21005"/>
    <cellStyle name="Comma 5 2 4 2 2 7" xfId="5808"/>
    <cellStyle name="Comma 5 2 4 2 2 7 2" xfId="14635"/>
    <cellStyle name="Comma 5 2 4 2 2 7 3" xfId="24886"/>
    <cellStyle name="Comma 5 2 4 2 2 8" xfId="7252"/>
    <cellStyle name="Comma 5 2 4 2 2 8 2" xfId="19978"/>
    <cellStyle name="Comma 5 2 4 2 2 9" xfId="15998"/>
    <cellStyle name="Comma 5 2 4 2 3" xfId="428"/>
    <cellStyle name="Comma 5 2 4 2 3 2" xfId="2916"/>
    <cellStyle name="Comma 5 2 4 2 3 2 2" xfId="12206"/>
    <cellStyle name="Comma 5 2 4 2 3 2 2 2" xfId="22279"/>
    <cellStyle name="Comma 5 2 4 2 3 2 3" xfId="8527"/>
    <cellStyle name="Comma 5 2 4 2 3 2 4" xfId="17272"/>
    <cellStyle name="Comma 5 2 4 2 3 3" xfId="4469"/>
    <cellStyle name="Comma 5 2 4 2 3 3 2" xfId="13309"/>
    <cellStyle name="Comma 5 2 4 2 3 3 2 2" xfId="23560"/>
    <cellStyle name="Comma 5 2 4 2 3 3 3" xfId="9730"/>
    <cellStyle name="Comma 5 2 4 2 3 3 4" xfId="18553"/>
    <cellStyle name="Comma 5 2 4 2 3 4" xfId="2025"/>
    <cellStyle name="Comma 5 2 4 2 3 4 2" xfId="11392"/>
    <cellStyle name="Comma 5 2 4 2 3 4 3" xfId="21396"/>
    <cellStyle name="Comma 5 2 4 2 3 5" xfId="5927"/>
    <cellStyle name="Comma 5 2 4 2 3 5 2" xfId="14754"/>
    <cellStyle name="Comma 5 2 4 2 3 5 3" xfId="25005"/>
    <cellStyle name="Comma 5 2 4 2 3 6" xfId="7371"/>
    <cellStyle name="Comma 5 2 4 2 3 6 2" xfId="19878"/>
    <cellStyle name="Comma 5 2 4 2 3 7" xfId="16389"/>
    <cellStyle name="Comma 5 2 4 2 4" xfId="652"/>
    <cellStyle name="Comma 5 2 4 2 4 2" xfId="3140"/>
    <cellStyle name="Comma 5 2 4 2 4 2 2" xfId="12285"/>
    <cellStyle name="Comma 5 2 4 2 4 2 2 2" xfId="22503"/>
    <cellStyle name="Comma 5 2 4 2 4 2 3" xfId="8707"/>
    <cellStyle name="Comma 5 2 4 2 4 2 4" xfId="17496"/>
    <cellStyle name="Comma 5 2 4 2 4 3" xfId="4818"/>
    <cellStyle name="Comma 5 2 4 2 4 3 2" xfId="13657"/>
    <cellStyle name="Comma 5 2 4 2 4 3 2 2" xfId="23908"/>
    <cellStyle name="Comma 5 2 4 2 4 3 3" xfId="10078"/>
    <cellStyle name="Comma 5 2 4 2 4 3 4" xfId="18901"/>
    <cellStyle name="Comma 5 2 4 2 4 4" xfId="2249"/>
    <cellStyle name="Comma 5 2 4 2 4 4 2" xfId="11616"/>
    <cellStyle name="Comma 5 2 4 2 4 4 3" xfId="21620"/>
    <cellStyle name="Comma 5 2 4 2 4 5" xfId="6275"/>
    <cellStyle name="Comma 5 2 4 2 4 5 2" xfId="15102"/>
    <cellStyle name="Comma 5 2 4 2 4 5 3" xfId="25353"/>
    <cellStyle name="Comma 5 2 4 2 4 6" xfId="7721"/>
    <cellStyle name="Comma 5 2 4 2 4 6 2" xfId="20102"/>
    <cellStyle name="Comma 5 2 4 2 4 7" xfId="16613"/>
    <cellStyle name="Comma 5 2 4 2 5" xfId="1200"/>
    <cellStyle name="Comma 5 2 4 2 5 2" xfId="3631"/>
    <cellStyle name="Comma 5 2 4 2 5 2 2" xfId="12769"/>
    <cellStyle name="Comma 5 2 4 2 5 2 2 2" xfId="22988"/>
    <cellStyle name="Comma 5 2 4 2 5 2 3" xfId="9190"/>
    <cellStyle name="Comma 5 2 4 2 5 2 4" xfId="17981"/>
    <cellStyle name="Comma 5 2 4 2 5 3" xfId="5294"/>
    <cellStyle name="Comma 5 2 4 2 5 3 2" xfId="14133"/>
    <cellStyle name="Comma 5 2 4 2 5 3 2 2" xfId="24384"/>
    <cellStyle name="Comma 5 2 4 2 5 3 3" xfId="10554"/>
    <cellStyle name="Comma 5 2 4 2 5 3 4" xfId="19377"/>
    <cellStyle name="Comma 5 2 4 2 5 4" xfId="1804"/>
    <cellStyle name="Comma 5 2 4 2 5 4 2" xfId="11175"/>
    <cellStyle name="Comma 5 2 4 2 5 4 3" xfId="21179"/>
    <cellStyle name="Comma 5 2 4 2 5 5" xfId="6751"/>
    <cellStyle name="Comma 5 2 4 2 5 5 2" xfId="15578"/>
    <cellStyle name="Comma 5 2 4 2 5 5 3" xfId="25829"/>
    <cellStyle name="Comma 5 2 4 2 5 6" xfId="8197"/>
    <cellStyle name="Comma 5 2 4 2 5 6 2" xfId="20587"/>
    <cellStyle name="Comma 5 2 4 2 5 7" xfId="16172"/>
    <cellStyle name="Comma 5 2 4 2 6" xfId="2699"/>
    <cellStyle name="Comma 5 2 4 2 6 2" xfId="12018"/>
    <cellStyle name="Comma 5 2 4 2 6 2 2" xfId="22062"/>
    <cellStyle name="Comma 5 2 4 2 6 3" xfId="8598"/>
    <cellStyle name="Comma 5 2 4 2 6 4" xfId="17055"/>
    <cellStyle name="Comma 5 2 4 2 7" xfId="4250"/>
    <cellStyle name="Comma 5 2 4 2 7 2" xfId="13090"/>
    <cellStyle name="Comma 5 2 4 2 7 2 2" xfId="23341"/>
    <cellStyle name="Comma 5 2 4 2 7 3" xfId="9511"/>
    <cellStyle name="Comma 5 2 4 2 7 4" xfId="18334"/>
    <cellStyle name="Comma 5 2 4 2 8" xfId="1522"/>
    <cellStyle name="Comma 5 2 4 2 8 2" xfId="10901"/>
    <cellStyle name="Comma 5 2 4 2 8 3" xfId="20905"/>
    <cellStyle name="Comma 5 2 4 2 9" xfId="5708"/>
    <cellStyle name="Comma 5 2 4 2 9 2" xfId="14535"/>
    <cellStyle name="Comma 5 2 4 2 9 3" xfId="24786"/>
    <cellStyle name="Comma 5 2 4 3" xfId="267"/>
    <cellStyle name="Comma 5 2 4 3 10" xfId="7109"/>
    <cellStyle name="Comma 5 2 4 3 10 2" xfId="19723"/>
    <cellStyle name="Comma 5 2 4 3 11" xfId="15855"/>
    <cellStyle name="Comma 5 2 4 3 2" xfId="590"/>
    <cellStyle name="Comma 5 2 4 3 2 2" xfId="655"/>
    <cellStyle name="Comma 5 2 4 3 2 2 2" xfId="3143"/>
    <cellStyle name="Comma 5 2 4 3 2 2 2 2" xfId="12288"/>
    <cellStyle name="Comma 5 2 4 3 2 2 2 2 2" xfId="22506"/>
    <cellStyle name="Comma 5 2 4 3 2 2 2 3" xfId="8710"/>
    <cellStyle name="Comma 5 2 4 3 2 2 2 4" xfId="17499"/>
    <cellStyle name="Comma 5 2 4 3 2 2 3" xfId="4472"/>
    <cellStyle name="Comma 5 2 4 3 2 2 3 2" xfId="13312"/>
    <cellStyle name="Comma 5 2 4 3 2 2 3 2 2" xfId="23563"/>
    <cellStyle name="Comma 5 2 4 3 2 2 3 3" xfId="9733"/>
    <cellStyle name="Comma 5 2 4 3 2 2 3 4" xfId="18556"/>
    <cellStyle name="Comma 5 2 4 3 2 2 4" xfId="2252"/>
    <cellStyle name="Comma 5 2 4 3 2 2 4 2" xfId="11619"/>
    <cellStyle name="Comma 5 2 4 3 2 2 4 3" xfId="21623"/>
    <cellStyle name="Comma 5 2 4 3 2 2 5" xfId="5930"/>
    <cellStyle name="Comma 5 2 4 3 2 2 5 2" xfId="14757"/>
    <cellStyle name="Comma 5 2 4 3 2 2 5 3" xfId="25008"/>
    <cellStyle name="Comma 5 2 4 3 2 2 6" xfId="7374"/>
    <cellStyle name="Comma 5 2 4 3 2 2 6 2" xfId="20105"/>
    <cellStyle name="Comma 5 2 4 3 2 2 7" xfId="16616"/>
    <cellStyle name="Comma 5 2 4 3 2 3" xfId="1362"/>
    <cellStyle name="Comma 5 2 4 3 2 3 2" xfId="3793"/>
    <cellStyle name="Comma 5 2 4 3 2 3 2 2" xfId="12931"/>
    <cellStyle name="Comma 5 2 4 3 2 3 2 2 2" xfId="23150"/>
    <cellStyle name="Comma 5 2 4 3 2 3 2 3" xfId="9352"/>
    <cellStyle name="Comma 5 2 4 3 2 3 2 4" xfId="18143"/>
    <cellStyle name="Comma 5 2 4 3 2 3 3" xfId="4821"/>
    <cellStyle name="Comma 5 2 4 3 2 3 3 2" xfId="13660"/>
    <cellStyle name="Comma 5 2 4 3 2 3 3 2 2" xfId="23911"/>
    <cellStyle name="Comma 5 2 4 3 2 3 3 3" xfId="10081"/>
    <cellStyle name="Comma 5 2 4 3 2 3 3 4" xfId="18904"/>
    <cellStyle name="Comma 5 2 4 3 2 3 4" xfId="2187"/>
    <cellStyle name="Comma 5 2 4 3 2 3 4 2" xfId="11554"/>
    <cellStyle name="Comma 5 2 4 3 2 3 4 3" xfId="21558"/>
    <cellStyle name="Comma 5 2 4 3 2 3 5" xfId="6278"/>
    <cellStyle name="Comma 5 2 4 3 2 3 5 2" xfId="15105"/>
    <cellStyle name="Comma 5 2 4 3 2 3 5 3" xfId="25356"/>
    <cellStyle name="Comma 5 2 4 3 2 3 6" xfId="7724"/>
    <cellStyle name="Comma 5 2 4 3 2 3 6 2" xfId="20749"/>
    <cellStyle name="Comma 5 2 4 3 2 3 7" xfId="16551"/>
    <cellStyle name="Comma 5 2 4 3 2 4" xfId="3078"/>
    <cellStyle name="Comma 5 2 4 3 2 4 2" xfId="5456"/>
    <cellStyle name="Comma 5 2 4 3 2 4 2 2" xfId="14295"/>
    <cellStyle name="Comma 5 2 4 3 2 4 2 2 2" xfId="24546"/>
    <cellStyle name="Comma 5 2 4 3 2 4 2 3" xfId="10716"/>
    <cellStyle name="Comma 5 2 4 3 2 4 2 4" xfId="19539"/>
    <cellStyle name="Comma 5 2 4 3 2 4 3" xfId="6913"/>
    <cellStyle name="Comma 5 2 4 3 2 4 3 2" xfId="15740"/>
    <cellStyle name="Comma 5 2 4 3 2 4 3 3" xfId="25991"/>
    <cellStyle name="Comma 5 2 4 3 2 4 4" xfId="8359"/>
    <cellStyle name="Comma 5 2 4 3 2 4 4 2" xfId="22441"/>
    <cellStyle name="Comma 5 2 4 3 2 4 5" xfId="17434"/>
    <cellStyle name="Comma 5 2 4 3 2 5" xfId="4412"/>
    <cellStyle name="Comma 5 2 4 3 2 5 2" xfId="13252"/>
    <cellStyle name="Comma 5 2 4 3 2 5 2 2" xfId="23503"/>
    <cellStyle name="Comma 5 2 4 3 2 5 3" xfId="9673"/>
    <cellStyle name="Comma 5 2 4 3 2 5 4" xfId="18496"/>
    <cellStyle name="Comma 5 2 4 3 2 6" xfId="1684"/>
    <cellStyle name="Comma 5 2 4 3 2 6 2" xfId="11063"/>
    <cellStyle name="Comma 5 2 4 3 2 6 3" xfId="21067"/>
    <cellStyle name="Comma 5 2 4 3 2 7" xfId="5870"/>
    <cellStyle name="Comma 5 2 4 3 2 7 2" xfId="14697"/>
    <cellStyle name="Comma 5 2 4 3 2 7 3" xfId="24948"/>
    <cellStyle name="Comma 5 2 4 3 2 8" xfId="7314"/>
    <cellStyle name="Comma 5 2 4 3 2 8 2" xfId="20040"/>
    <cellStyle name="Comma 5 2 4 3 2 9" xfId="16060"/>
    <cellStyle name="Comma 5 2 4 3 3" xfId="385"/>
    <cellStyle name="Comma 5 2 4 3 3 2" xfId="2873"/>
    <cellStyle name="Comma 5 2 4 3 3 2 2" xfId="12163"/>
    <cellStyle name="Comma 5 2 4 3 3 2 2 2" xfId="22236"/>
    <cellStyle name="Comma 5 2 4 3 3 2 3" xfId="8647"/>
    <cellStyle name="Comma 5 2 4 3 3 2 4" xfId="17229"/>
    <cellStyle name="Comma 5 2 4 3 3 3" xfId="4471"/>
    <cellStyle name="Comma 5 2 4 3 3 3 2" xfId="13311"/>
    <cellStyle name="Comma 5 2 4 3 3 3 2 2" xfId="23562"/>
    <cellStyle name="Comma 5 2 4 3 3 3 3" xfId="9732"/>
    <cellStyle name="Comma 5 2 4 3 3 3 4" xfId="18555"/>
    <cellStyle name="Comma 5 2 4 3 3 4" xfId="1982"/>
    <cellStyle name="Comma 5 2 4 3 3 4 2" xfId="11349"/>
    <cellStyle name="Comma 5 2 4 3 3 4 3" xfId="21353"/>
    <cellStyle name="Comma 5 2 4 3 3 5" xfId="5929"/>
    <cellStyle name="Comma 5 2 4 3 3 5 2" xfId="14756"/>
    <cellStyle name="Comma 5 2 4 3 3 5 3" xfId="25007"/>
    <cellStyle name="Comma 5 2 4 3 3 6" xfId="7373"/>
    <cellStyle name="Comma 5 2 4 3 3 6 2" xfId="19835"/>
    <cellStyle name="Comma 5 2 4 3 3 7" xfId="16346"/>
    <cellStyle name="Comma 5 2 4 3 4" xfId="654"/>
    <cellStyle name="Comma 5 2 4 3 4 2" xfId="3142"/>
    <cellStyle name="Comma 5 2 4 3 4 2 2" xfId="12287"/>
    <cellStyle name="Comma 5 2 4 3 4 2 2 2" xfId="22505"/>
    <cellStyle name="Comma 5 2 4 3 4 2 3" xfId="8709"/>
    <cellStyle name="Comma 5 2 4 3 4 2 4" xfId="17498"/>
    <cellStyle name="Comma 5 2 4 3 4 3" xfId="4820"/>
    <cellStyle name="Comma 5 2 4 3 4 3 2" xfId="13659"/>
    <cellStyle name="Comma 5 2 4 3 4 3 2 2" xfId="23910"/>
    <cellStyle name="Comma 5 2 4 3 4 3 3" xfId="10080"/>
    <cellStyle name="Comma 5 2 4 3 4 3 4" xfId="18903"/>
    <cellStyle name="Comma 5 2 4 3 4 4" xfId="2251"/>
    <cellStyle name="Comma 5 2 4 3 4 4 2" xfId="11618"/>
    <cellStyle name="Comma 5 2 4 3 4 4 3" xfId="21622"/>
    <cellStyle name="Comma 5 2 4 3 4 5" xfId="6277"/>
    <cellStyle name="Comma 5 2 4 3 4 5 2" xfId="15104"/>
    <cellStyle name="Comma 5 2 4 3 4 5 3" xfId="25355"/>
    <cellStyle name="Comma 5 2 4 3 4 6" xfId="7723"/>
    <cellStyle name="Comma 5 2 4 3 4 6 2" xfId="20104"/>
    <cellStyle name="Comma 5 2 4 3 4 7" xfId="16615"/>
    <cellStyle name="Comma 5 2 4 3 5" xfId="1157"/>
    <cellStyle name="Comma 5 2 4 3 5 2" xfId="3588"/>
    <cellStyle name="Comma 5 2 4 3 5 2 2" xfId="12726"/>
    <cellStyle name="Comma 5 2 4 3 5 2 2 2" xfId="22945"/>
    <cellStyle name="Comma 5 2 4 3 5 2 3" xfId="9147"/>
    <cellStyle name="Comma 5 2 4 3 5 2 4" xfId="17938"/>
    <cellStyle name="Comma 5 2 4 3 5 3" xfId="5251"/>
    <cellStyle name="Comma 5 2 4 3 5 3 2" xfId="14090"/>
    <cellStyle name="Comma 5 2 4 3 5 3 2 2" xfId="24341"/>
    <cellStyle name="Comma 5 2 4 3 5 3 3" xfId="10511"/>
    <cellStyle name="Comma 5 2 4 3 5 3 4" xfId="19334"/>
    <cellStyle name="Comma 5 2 4 3 5 4" xfId="1867"/>
    <cellStyle name="Comma 5 2 4 3 5 4 2" xfId="11237"/>
    <cellStyle name="Comma 5 2 4 3 5 4 3" xfId="21241"/>
    <cellStyle name="Comma 5 2 4 3 5 5" xfId="6708"/>
    <cellStyle name="Comma 5 2 4 3 5 5 2" xfId="15535"/>
    <cellStyle name="Comma 5 2 4 3 5 5 3" xfId="25786"/>
    <cellStyle name="Comma 5 2 4 3 5 6" xfId="8154"/>
    <cellStyle name="Comma 5 2 4 3 5 6 2" xfId="20544"/>
    <cellStyle name="Comma 5 2 4 3 5 7" xfId="16234"/>
    <cellStyle name="Comma 5 2 4 3 6" xfId="2761"/>
    <cellStyle name="Comma 5 2 4 3 6 2" xfId="12080"/>
    <cellStyle name="Comma 5 2 4 3 6 2 2" xfId="22124"/>
    <cellStyle name="Comma 5 2 4 3 6 3" xfId="8649"/>
    <cellStyle name="Comma 5 2 4 3 6 4" xfId="17117"/>
    <cellStyle name="Comma 5 2 4 3 7" xfId="4207"/>
    <cellStyle name="Comma 5 2 4 3 7 2" xfId="13047"/>
    <cellStyle name="Comma 5 2 4 3 7 2 2" xfId="23298"/>
    <cellStyle name="Comma 5 2 4 3 7 3" xfId="9468"/>
    <cellStyle name="Comma 5 2 4 3 7 4" xfId="18291"/>
    <cellStyle name="Comma 5 2 4 3 8" xfId="1479"/>
    <cellStyle name="Comma 5 2 4 3 8 2" xfId="10858"/>
    <cellStyle name="Comma 5 2 4 3 8 3" xfId="20862"/>
    <cellStyle name="Comma 5 2 4 3 9" xfId="5665"/>
    <cellStyle name="Comma 5 2 4 3 9 2" xfId="14492"/>
    <cellStyle name="Comma 5 2 4 3 9 3" xfId="24743"/>
    <cellStyle name="Comma 5 2 4 4" xfId="485"/>
    <cellStyle name="Comma 5 2 4 4 2" xfId="656"/>
    <cellStyle name="Comma 5 2 4 4 2 2" xfId="3144"/>
    <cellStyle name="Comma 5 2 4 4 2 2 2" xfId="12289"/>
    <cellStyle name="Comma 5 2 4 4 2 2 2 2" xfId="22507"/>
    <cellStyle name="Comma 5 2 4 4 2 2 3" xfId="8711"/>
    <cellStyle name="Comma 5 2 4 4 2 2 4" xfId="17500"/>
    <cellStyle name="Comma 5 2 4 4 2 3" xfId="4473"/>
    <cellStyle name="Comma 5 2 4 4 2 3 2" xfId="13313"/>
    <cellStyle name="Comma 5 2 4 4 2 3 2 2" xfId="23564"/>
    <cellStyle name="Comma 5 2 4 4 2 3 3" xfId="9734"/>
    <cellStyle name="Comma 5 2 4 4 2 3 4" xfId="18557"/>
    <cellStyle name="Comma 5 2 4 4 2 4" xfId="2253"/>
    <cellStyle name="Comma 5 2 4 4 2 4 2" xfId="11620"/>
    <cellStyle name="Comma 5 2 4 4 2 4 3" xfId="21624"/>
    <cellStyle name="Comma 5 2 4 4 2 5" xfId="5931"/>
    <cellStyle name="Comma 5 2 4 4 2 5 2" xfId="14758"/>
    <cellStyle name="Comma 5 2 4 4 2 5 3" xfId="25009"/>
    <cellStyle name="Comma 5 2 4 4 2 6" xfId="7375"/>
    <cellStyle name="Comma 5 2 4 4 2 6 2" xfId="20106"/>
    <cellStyle name="Comma 5 2 4 4 2 7" xfId="16617"/>
    <cellStyle name="Comma 5 2 4 4 3" xfId="1257"/>
    <cellStyle name="Comma 5 2 4 4 3 2" xfId="3688"/>
    <cellStyle name="Comma 5 2 4 4 3 2 2" xfId="12826"/>
    <cellStyle name="Comma 5 2 4 4 3 2 2 2" xfId="23045"/>
    <cellStyle name="Comma 5 2 4 4 3 2 3" xfId="9247"/>
    <cellStyle name="Comma 5 2 4 4 3 2 4" xfId="18038"/>
    <cellStyle name="Comma 5 2 4 4 3 3" xfId="4822"/>
    <cellStyle name="Comma 5 2 4 4 3 3 2" xfId="13661"/>
    <cellStyle name="Comma 5 2 4 4 3 3 2 2" xfId="23912"/>
    <cellStyle name="Comma 5 2 4 4 3 3 3" xfId="10082"/>
    <cellStyle name="Comma 5 2 4 4 3 3 4" xfId="18905"/>
    <cellStyle name="Comma 5 2 4 4 3 4" xfId="2082"/>
    <cellStyle name="Comma 5 2 4 4 3 4 2" xfId="11449"/>
    <cellStyle name="Comma 5 2 4 4 3 4 3" xfId="21453"/>
    <cellStyle name="Comma 5 2 4 4 3 5" xfId="6279"/>
    <cellStyle name="Comma 5 2 4 4 3 5 2" xfId="15106"/>
    <cellStyle name="Comma 5 2 4 4 3 5 3" xfId="25357"/>
    <cellStyle name="Comma 5 2 4 4 3 6" xfId="7725"/>
    <cellStyle name="Comma 5 2 4 4 3 6 2" xfId="20644"/>
    <cellStyle name="Comma 5 2 4 4 3 7" xfId="16446"/>
    <cellStyle name="Comma 5 2 4 4 4" xfId="2973"/>
    <cellStyle name="Comma 5 2 4 4 4 2" xfId="5351"/>
    <cellStyle name="Comma 5 2 4 4 4 2 2" xfId="14190"/>
    <cellStyle name="Comma 5 2 4 4 4 2 2 2" xfId="24441"/>
    <cellStyle name="Comma 5 2 4 4 4 2 3" xfId="10611"/>
    <cellStyle name="Comma 5 2 4 4 4 2 4" xfId="19434"/>
    <cellStyle name="Comma 5 2 4 4 4 3" xfId="6808"/>
    <cellStyle name="Comma 5 2 4 4 4 3 2" xfId="15635"/>
    <cellStyle name="Comma 5 2 4 4 4 3 3" xfId="25886"/>
    <cellStyle name="Comma 5 2 4 4 4 4" xfId="8254"/>
    <cellStyle name="Comma 5 2 4 4 4 4 2" xfId="22336"/>
    <cellStyle name="Comma 5 2 4 4 4 5" xfId="17329"/>
    <cellStyle name="Comma 5 2 4 4 5" xfId="4307"/>
    <cellStyle name="Comma 5 2 4 4 5 2" xfId="13147"/>
    <cellStyle name="Comma 5 2 4 4 5 2 2" xfId="23398"/>
    <cellStyle name="Comma 5 2 4 4 5 3" xfId="9568"/>
    <cellStyle name="Comma 5 2 4 4 5 4" xfId="18391"/>
    <cellStyle name="Comma 5 2 4 4 6" xfId="1579"/>
    <cellStyle name="Comma 5 2 4 4 6 2" xfId="10958"/>
    <cellStyle name="Comma 5 2 4 4 6 3" xfId="20962"/>
    <cellStyle name="Comma 5 2 4 4 7" xfId="5765"/>
    <cellStyle name="Comma 5 2 4 4 7 2" xfId="14592"/>
    <cellStyle name="Comma 5 2 4 4 7 3" xfId="24843"/>
    <cellStyle name="Comma 5 2 4 4 8" xfId="7209"/>
    <cellStyle name="Comma 5 2 4 4 8 2" xfId="19935"/>
    <cellStyle name="Comma 5 2 4 4 9" xfId="15955"/>
    <cellStyle name="Comma 5 2 4 5" xfId="326"/>
    <cellStyle name="Comma 5 2 4 5 2" xfId="2814"/>
    <cellStyle name="Comma 5 2 4 5 2 2" xfId="12120"/>
    <cellStyle name="Comma 5 2 4 5 2 2 2" xfId="22177"/>
    <cellStyle name="Comma 5 2 4 5 2 3" xfId="8487"/>
    <cellStyle name="Comma 5 2 4 5 2 4" xfId="17170"/>
    <cellStyle name="Comma 5 2 4 5 3" xfId="4468"/>
    <cellStyle name="Comma 5 2 4 5 3 2" xfId="13308"/>
    <cellStyle name="Comma 5 2 4 5 3 2 2" xfId="23559"/>
    <cellStyle name="Comma 5 2 4 5 3 3" xfId="9729"/>
    <cellStyle name="Comma 5 2 4 5 3 4" xfId="18552"/>
    <cellStyle name="Comma 5 2 4 5 4" xfId="1923"/>
    <cellStyle name="Comma 5 2 4 5 4 2" xfId="11290"/>
    <cellStyle name="Comma 5 2 4 5 4 3" xfId="21294"/>
    <cellStyle name="Comma 5 2 4 5 5" xfId="5926"/>
    <cellStyle name="Comma 5 2 4 5 5 2" xfId="14753"/>
    <cellStyle name="Comma 5 2 4 5 5 3" xfId="25004"/>
    <cellStyle name="Comma 5 2 4 5 6" xfId="7370"/>
    <cellStyle name="Comma 5 2 4 5 6 2" xfId="19776"/>
    <cellStyle name="Comma 5 2 4 5 7" xfId="16287"/>
    <cellStyle name="Comma 5 2 4 6" xfId="651"/>
    <cellStyle name="Comma 5 2 4 6 2" xfId="3139"/>
    <cellStyle name="Comma 5 2 4 6 2 2" xfId="12284"/>
    <cellStyle name="Comma 5 2 4 6 2 2 2" xfId="22502"/>
    <cellStyle name="Comma 5 2 4 6 2 3" xfId="8706"/>
    <cellStyle name="Comma 5 2 4 6 2 4" xfId="17495"/>
    <cellStyle name="Comma 5 2 4 6 3" xfId="4817"/>
    <cellStyle name="Comma 5 2 4 6 3 2" xfId="13656"/>
    <cellStyle name="Comma 5 2 4 6 3 2 2" xfId="23907"/>
    <cellStyle name="Comma 5 2 4 6 3 3" xfId="10077"/>
    <cellStyle name="Comma 5 2 4 6 3 4" xfId="18900"/>
    <cellStyle name="Comma 5 2 4 6 4" xfId="2248"/>
    <cellStyle name="Comma 5 2 4 6 4 2" xfId="11615"/>
    <cellStyle name="Comma 5 2 4 6 4 3" xfId="21619"/>
    <cellStyle name="Comma 5 2 4 6 5" xfId="6274"/>
    <cellStyle name="Comma 5 2 4 6 5 2" xfId="15101"/>
    <cellStyle name="Comma 5 2 4 6 5 3" xfId="25352"/>
    <cellStyle name="Comma 5 2 4 6 6" xfId="7720"/>
    <cellStyle name="Comma 5 2 4 6 6 2" xfId="20101"/>
    <cellStyle name="Comma 5 2 4 6 7" xfId="16612"/>
    <cellStyle name="Comma 5 2 4 7" xfId="1098"/>
    <cellStyle name="Comma 5 2 4 7 2" xfId="3529"/>
    <cellStyle name="Comma 5 2 4 7 2 2" xfId="12667"/>
    <cellStyle name="Comma 5 2 4 7 2 2 2" xfId="22886"/>
    <cellStyle name="Comma 5 2 4 7 2 3" xfId="9089"/>
    <cellStyle name="Comma 5 2 4 7 2 4" xfId="17879"/>
    <cellStyle name="Comma 5 2 4 7 3" xfId="5192"/>
    <cellStyle name="Comma 5 2 4 7 3 2" xfId="14031"/>
    <cellStyle name="Comma 5 2 4 7 3 2 2" xfId="24282"/>
    <cellStyle name="Comma 5 2 4 7 3 3" xfId="10452"/>
    <cellStyle name="Comma 5 2 4 7 3 4" xfId="19275"/>
    <cellStyle name="Comma 5 2 4 7 4" xfId="1758"/>
    <cellStyle name="Comma 5 2 4 7 4 2" xfId="11131"/>
    <cellStyle name="Comma 5 2 4 7 4 3" xfId="21135"/>
    <cellStyle name="Comma 5 2 4 7 5" xfId="6649"/>
    <cellStyle name="Comma 5 2 4 7 5 2" xfId="15476"/>
    <cellStyle name="Comma 5 2 4 7 5 3" xfId="25727"/>
    <cellStyle name="Comma 5 2 4 7 6" xfId="8095"/>
    <cellStyle name="Comma 5 2 4 7 6 2" xfId="20485"/>
    <cellStyle name="Comma 5 2 4 7 7" xfId="16128"/>
    <cellStyle name="Comma 5 2 4 8" xfId="2656"/>
    <cellStyle name="Comma 5 2 4 8 2" xfId="5606"/>
    <cellStyle name="Comma 5 2 4 8 2 2" xfId="14433"/>
    <cellStyle name="Comma 5 2 4 8 2 3" xfId="24684"/>
    <cellStyle name="Comma 5 2 4 8 3" xfId="7050"/>
    <cellStyle name="Comma 5 2 4 8 3 2" xfId="22019"/>
    <cellStyle name="Comma 5 2 4 8 4" xfId="17012"/>
    <cellStyle name="Comma 5 2 4 9" xfId="4146"/>
    <cellStyle name="Comma 5 2 4 9 2" xfId="12986"/>
    <cellStyle name="Comma 5 2 4 9 2 2" xfId="23237"/>
    <cellStyle name="Comma 5 2 4 9 3" xfId="9407"/>
    <cellStyle name="Comma 5 2 4 9 4" xfId="18230"/>
    <cellStyle name="Comma 5 2 5" xfId="183"/>
    <cellStyle name="Comma 5 2 5 10" xfId="7135"/>
    <cellStyle name="Comma 5 2 5 10 2" xfId="19644"/>
    <cellStyle name="Comma 5 2 5 11" xfId="15881"/>
    <cellStyle name="Comma 5 2 5 2" xfId="511"/>
    <cellStyle name="Comma 5 2 5 2 2" xfId="658"/>
    <cellStyle name="Comma 5 2 5 2 2 2" xfId="3146"/>
    <cellStyle name="Comma 5 2 5 2 2 2 2" xfId="12291"/>
    <cellStyle name="Comma 5 2 5 2 2 2 2 2" xfId="22509"/>
    <cellStyle name="Comma 5 2 5 2 2 2 3" xfId="8713"/>
    <cellStyle name="Comma 5 2 5 2 2 2 4" xfId="17502"/>
    <cellStyle name="Comma 5 2 5 2 2 3" xfId="4475"/>
    <cellStyle name="Comma 5 2 5 2 2 3 2" xfId="13315"/>
    <cellStyle name="Comma 5 2 5 2 2 3 2 2" xfId="23566"/>
    <cellStyle name="Comma 5 2 5 2 2 3 3" xfId="9736"/>
    <cellStyle name="Comma 5 2 5 2 2 3 4" xfId="18559"/>
    <cellStyle name="Comma 5 2 5 2 2 4" xfId="2255"/>
    <cellStyle name="Comma 5 2 5 2 2 4 2" xfId="11622"/>
    <cellStyle name="Comma 5 2 5 2 2 4 3" xfId="21626"/>
    <cellStyle name="Comma 5 2 5 2 2 5" xfId="5933"/>
    <cellStyle name="Comma 5 2 5 2 2 5 2" xfId="14760"/>
    <cellStyle name="Comma 5 2 5 2 2 5 3" xfId="25011"/>
    <cellStyle name="Comma 5 2 5 2 2 6" xfId="7377"/>
    <cellStyle name="Comma 5 2 5 2 2 6 2" xfId="20108"/>
    <cellStyle name="Comma 5 2 5 2 2 7" xfId="16619"/>
    <cellStyle name="Comma 5 2 5 2 3" xfId="1283"/>
    <cellStyle name="Comma 5 2 5 2 3 2" xfId="3714"/>
    <cellStyle name="Comma 5 2 5 2 3 2 2" xfId="12852"/>
    <cellStyle name="Comma 5 2 5 2 3 2 2 2" xfId="23071"/>
    <cellStyle name="Comma 5 2 5 2 3 2 3" xfId="9273"/>
    <cellStyle name="Comma 5 2 5 2 3 2 4" xfId="18064"/>
    <cellStyle name="Comma 5 2 5 2 3 3" xfId="4824"/>
    <cellStyle name="Comma 5 2 5 2 3 3 2" xfId="13663"/>
    <cellStyle name="Comma 5 2 5 2 3 3 2 2" xfId="23914"/>
    <cellStyle name="Comma 5 2 5 2 3 3 3" xfId="10084"/>
    <cellStyle name="Comma 5 2 5 2 3 3 4" xfId="18907"/>
    <cellStyle name="Comma 5 2 5 2 3 4" xfId="2108"/>
    <cellStyle name="Comma 5 2 5 2 3 4 2" xfId="11475"/>
    <cellStyle name="Comma 5 2 5 2 3 4 3" xfId="21479"/>
    <cellStyle name="Comma 5 2 5 2 3 5" xfId="6281"/>
    <cellStyle name="Comma 5 2 5 2 3 5 2" xfId="15108"/>
    <cellStyle name="Comma 5 2 5 2 3 5 3" xfId="25359"/>
    <cellStyle name="Comma 5 2 5 2 3 6" xfId="7727"/>
    <cellStyle name="Comma 5 2 5 2 3 6 2" xfId="20670"/>
    <cellStyle name="Comma 5 2 5 2 3 7" xfId="16472"/>
    <cellStyle name="Comma 5 2 5 2 4" xfId="2999"/>
    <cellStyle name="Comma 5 2 5 2 4 2" xfId="5377"/>
    <cellStyle name="Comma 5 2 5 2 4 2 2" xfId="14216"/>
    <cellStyle name="Comma 5 2 5 2 4 2 2 2" xfId="24467"/>
    <cellStyle name="Comma 5 2 5 2 4 2 3" xfId="10637"/>
    <cellStyle name="Comma 5 2 5 2 4 2 4" xfId="19460"/>
    <cellStyle name="Comma 5 2 5 2 4 3" xfId="6834"/>
    <cellStyle name="Comma 5 2 5 2 4 3 2" xfId="15661"/>
    <cellStyle name="Comma 5 2 5 2 4 3 3" xfId="25912"/>
    <cellStyle name="Comma 5 2 5 2 4 4" xfId="8280"/>
    <cellStyle name="Comma 5 2 5 2 4 4 2" xfId="22362"/>
    <cellStyle name="Comma 5 2 5 2 4 5" xfId="17355"/>
    <cellStyle name="Comma 5 2 5 2 5" xfId="4333"/>
    <cellStyle name="Comma 5 2 5 2 5 2" xfId="13173"/>
    <cellStyle name="Comma 5 2 5 2 5 2 2" xfId="23424"/>
    <cellStyle name="Comma 5 2 5 2 5 3" xfId="9594"/>
    <cellStyle name="Comma 5 2 5 2 5 4" xfId="18417"/>
    <cellStyle name="Comma 5 2 5 2 6" xfId="1605"/>
    <cellStyle name="Comma 5 2 5 2 6 2" xfId="10984"/>
    <cellStyle name="Comma 5 2 5 2 6 3" xfId="20988"/>
    <cellStyle name="Comma 5 2 5 2 7" xfId="5791"/>
    <cellStyle name="Comma 5 2 5 2 7 2" xfId="14618"/>
    <cellStyle name="Comma 5 2 5 2 7 3" xfId="24869"/>
    <cellStyle name="Comma 5 2 5 2 8" xfId="7235"/>
    <cellStyle name="Comma 5 2 5 2 8 2" xfId="19961"/>
    <cellStyle name="Comma 5 2 5 2 9" xfId="15981"/>
    <cellStyle name="Comma 5 2 5 3" xfId="411"/>
    <cellStyle name="Comma 5 2 5 3 2" xfId="2899"/>
    <cellStyle name="Comma 5 2 5 3 2 2" xfId="12189"/>
    <cellStyle name="Comma 5 2 5 3 2 2 2" xfId="22262"/>
    <cellStyle name="Comma 5 2 5 3 2 3" xfId="6983"/>
    <cellStyle name="Comma 5 2 5 3 2 4" xfId="17255"/>
    <cellStyle name="Comma 5 2 5 3 3" xfId="4474"/>
    <cellStyle name="Comma 5 2 5 3 3 2" xfId="13314"/>
    <cellStyle name="Comma 5 2 5 3 3 2 2" xfId="23565"/>
    <cellStyle name="Comma 5 2 5 3 3 3" xfId="9735"/>
    <cellStyle name="Comma 5 2 5 3 3 4" xfId="18558"/>
    <cellStyle name="Comma 5 2 5 3 4" xfId="2008"/>
    <cellStyle name="Comma 5 2 5 3 4 2" xfId="11375"/>
    <cellStyle name="Comma 5 2 5 3 4 3" xfId="21379"/>
    <cellStyle name="Comma 5 2 5 3 5" xfId="5932"/>
    <cellStyle name="Comma 5 2 5 3 5 2" xfId="14759"/>
    <cellStyle name="Comma 5 2 5 3 5 3" xfId="25010"/>
    <cellStyle name="Comma 5 2 5 3 6" xfId="7376"/>
    <cellStyle name="Comma 5 2 5 3 6 2" xfId="19861"/>
    <cellStyle name="Comma 5 2 5 3 7" xfId="16372"/>
    <cellStyle name="Comma 5 2 5 4" xfId="657"/>
    <cellStyle name="Comma 5 2 5 4 2" xfId="3145"/>
    <cellStyle name="Comma 5 2 5 4 2 2" xfId="12290"/>
    <cellStyle name="Comma 5 2 5 4 2 2 2" xfId="22508"/>
    <cellStyle name="Comma 5 2 5 4 2 3" xfId="8712"/>
    <cellStyle name="Comma 5 2 5 4 2 4" xfId="17501"/>
    <cellStyle name="Comma 5 2 5 4 3" xfId="4823"/>
    <cellStyle name="Comma 5 2 5 4 3 2" xfId="13662"/>
    <cellStyle name="Comma 5 2 5 4 3 2 2" xfId="23913"/>
    <cellStyle name="Comma 5 2 5 4 3 3" xfId="10083"/>
    <cellStyle name="Comma 5 2 5 4 3 4" xfId="18906"/>
    <cellStyle name="Comma 5 2 5 4 4" xfId="2254"/>
    <cellStyle name="Comma 5 2 5 4 4 2" xfId="11621"/>
    <cellStyle name="Comma 5 2 5 4 4 3" xfId="21625"/>
    <cellStyle name="Comma 5 2 5 4 5" xfId="6280"/>
    <cellStyle name="Comma 5 2 5 4 5 2" xfId="15107"/>
    <cellStyle name="Comma 5 2 5 4 5 3" xfId="25358"/>
    <cellStyle name="Comma 5 2 5 4 6" xfId="7726"/>
    <cellStyle name="Comma 5 2 5 4 6 2" xfId="20107"/>
    <cellStyle name="Comma 5 2 5 4 7" xfId="16618"/>
    <cellStyle name="Comma 5 2 5 5" xfId="1183"/>
    <cellStyle name="Comma 5 2 5 5 2" xfId="3614"/>
    <cellStyle name="Comma 5 2 5 5 2 2" xfId="12752"/>
    <cellStyle name="Comma 5 2 5 5 2 2 2" xfId="22971"/>
    <cellStyle name="Comma 5 2 5 5 2 3" xfId="9173"/>
    <cellStyle name="Comma 5 2 5 5 2 4" xfId="17964"/>
    <cellStyle name="Comma 5 2 5 5 3" xfId="5277"/>
    <cellStyle name="Comma 5 2 5 5 3 2" xfId="14116"/>
    <cellStyle name="Comma 5 2 5 5 3 2 2" xfId="24367"/>
    <cellStyle name="Comma 5 2 5 5 3 3" xfId="10537"/>
    <cellStyle name="Comma 5 2 5 5 3 4" xfId="19360"/>
    <cellStyle name="Comma 5 2 5 5 4" xfId="1787"/>
    <cellStyle name="Comma 5 2 5 5 4 2" xfId="11158"/>
    <cellStyle name="Comma 5 2 5 5 4 3" xfId="21162"/>
    <cellStyle name="Comma 5 2 5 5 5" xfId="6734"/>
    <cellStyle name="Comma 5 2 5 5 5 2" xfId="15561"/>
    <cellStyle name="Comma 5 2 5 5 5 3" xfId="25812"/>
    <cellStyle name="Comma 5 2 5 5 6" xfId="8180"/>
    <cellStyle name="Comma 5 2 5 5 6 2" xfId="20570"/>
    <cellStyle name="Comma 5 2 5 5 7" xfId="16155"/>
    <cellStyle name="Comma 5 2 5 6" xfId="2682"/>
    <cellStyle name="Comma 5 2 5 6 2" xfId="12001"/>
    <cellStyle name="Comma 5 2 5 6 2 2" xfId="22045"/>
    <cellStyle name="Comma 5 2 5 6 3" xfId="8513"/>
    <cellStyle name="Comma 5 2 5 6 4" xfId="17038"/>
    <cellStyle name="Comma 5 2 5 7" xfId="4233"/>
    <cellStyle name="Comma 5 2 5 7 2" xfId="13073"/>
    <cellStyle name="Comma 5 2 5 7 2 2" xfId="23324"/>
    <cellStyle name="Comma 5 2 5 7 3" xfId="9494"/>
    <cellStyle name="Comma 5 2 5 7 4" xfId="18317"/>
    <cellStyle name="Comma 5 2 5 8" xfId="1505"/>
    <cellStyle name="Comma 5 2 5 8 2" xfId="10884"/>
    <cellStyle name="Comma 5 2 5 8 3" xfId="20888"/>
    <cellStyle name="Comma 5 2 5 9" xfId="5691"/>
    <cellStyle name="Comma 5 2 5 9 2" xfId="14518"/>
    <cellStyle name="Comma 5 2 5 9 3" xfId="24769"/>
    <cellStyle name="Comma 5 2 6" xfId="236"/>
    <cellStyle name="Comma 5 2 6 10" xfId="7078"/>
    <cellStyle name="Comma 5 2 6 10 2" xfId="19692"/>
    <cellStyle name="Comma 5 2 6 11" xfId="15824"/>
    <cellStyle name="Comma 5 2 6 2" xfId="559"/>
    <cellStyle name="Comma 5 2 6 2 2" xfId="660"/>
    <cellStyle name="Comma 5 2 6 2 2 2" xfId="3148"/>
    <cellStyle name="Comma 5 2 6 2 2 2 2" xfId="12293"/>
    <cellStyle name="Comma 5 2 6 2 2 2 2 2" xfId="22511"/>
    <cellStyle name="Comma 5 2 6 2 2 2 3" xfId="8715"/>
    <cellStyle name="Comma 5 2 6 2 2 2 4" xfId="17504"/>
    <cellStyle name="Comma 5 2 6 2 2 3" xfId="4477"/>
    <cellStyle name="Comma 5 2 6 2 2 3 2" xfId="13317"/>
    <cellStyle name="Comma 5 2 6 2 2 3 2 2" xfId="23568"/>
    <cellStyle name="Comma 5 2 6 2 2 3 3" xfId="9738"/>
    <cellStyle name="Comma 5 2 6 2 2 3 4" xfId="18561"/>
    <cellStyle name="Comma 5 2 6 2 2 4" xfId="2257"/>
    <cellStyle name="Comma 5 2 6 2 2 4 2" xfId="11624"/>
    <cellStyle name="Comma 5 2 6 2 2 4 3" xfId="21628"/>
    <cellStyle name="Comma 5 2 6 2 2 5" xfId="5935"/>
    <cellStyle name="Comma 5 2 6 2 2 5 2" xfId="14762"/>
    <cellStyle name="Comma 5 2 6 2 2 5 3" xfId="25013"/>
    <cellStyle name="Comma 5 2 6 2 2 6" xfId="7379"/>
    <cellStyle name="Comma 5 2 6 2 2 6 2" xfId="20110"/>
    <cellStyle name="Comma 5 2 6 2 2 7" xfId="16621"/>
    <cellStyle name="Comma 5 2 6 2 3" xfId="1331"/>
    <cellStyle name="Comma 5 2 6 2 3 2" xfId="3762"/>
    <cellStyle name="Comma 5 2 6 2 3 2 2" xfId="12900"/>
    <cellStyle name="Comma 5 2 6 2 3 2 2 2" xfId="23119"/>
    <cellStyle name="Comma 5 2 6 2 3 2 3" xfId="9321"/>
    <cellStyle name="Comma 5 2 6 2 3 2 4" xfId="18112"/>
    <cellStyle name="Comma 5 2 6 2 3 3" xfId="4826"/>
    <cellStyle name="Comma 5 2 6 2 3 3 2" xfId="13665"/>
    <cellStyle name="Comma 5 2 6 2 3 3 2 2" xfId="23916"/>
    <cellStyle name="Comma 5 2 6 2 3 3 3" xfId="10086"/>
    <cellStyle name="Comma 5 2 6 2 3 3 4" xfId="18909"/>
    <cellStyle name="Comma 5 2 6 2 3 4" xfId="2156"/>
    <cellStyle name="Comma 5 2 6 2 3 4 2" xfId="11523"/>
    <cellStyle name="Comma 5 2 6 2 3 4 3" xfId="21527"/>
    <cellStyle name="Comma 5 2 6 2 3 5" xfId="6283"/>
    <cellStyle name="Comma 5 2 6 2 3 5 2" xfId="15110"/>
    <cellStyle name="Comma 5 2 6 2 3 5 3" xfId="25361"/>
    <cellStyle name="Comma 5 2 6 2 3 6" xfId="7729"/>
    <cellStyle name="Comma 5 2 6 2 3 6 2" xfId="20718"/>
    <cellStyle name="Comma 5 2 6 2 3 7" xfId="16520"/>
    <cellStyle name="Comma 5 2 6 2 4" xfId="3047"/>
    <cellStyle name="Comma 5 2 6 2 4 2" xfId="5425"/>
    <cellStyle name="Comma 5 2 6 2 4 2 2" xfId="14264"/>
    <cellStyle name="Comma 5 2 6 2 4 2 2 2" xfId="24515"/>
    <cellStyle name="Comma 5 2 6 2 4 2 3" xfId="10685"/>
    <cellStyle name="Comma 5 2 6 2 4 2 4" xfId="19508"/>
    <cellStyle name="Comma 5 2 6 2 4 3" xfId="6882"/>
    <cellStyle name="Comma 5 2 6 2 4 3 2" xfId="15709"/>
    <cellStyle name="Comma 5 2 6 2 4 3 3" xfId="25960"/>
    <cellStyle name="Comma 5 2 6 2 4 4" xfId="8328"/>
    <cellStyle name="Comma 5 2 6 2 4 4 2" xfId="22410"/>
    <cellStyle name="Comma 5 2 6 2 4 5" xfId="17403"/>
    <cellStyle name="Comma 5 2 6 2 5" xfId="4381"/>
    <cellStyle name="Comma 5 2 6 2 5 2" xfId="13221"/>
    <cellStyle name="Comma 5 2 6 2 5 2 2" xfId="23472"/>
    <cellStyle name="Comma 5 2 6 2 5 3" xfId="9642"/>
    <cellStyle name="Comma 5 2 6 2 5 4" xfId="18465"/>
    <cellStyle name="Comma 5 2 6 2 6" xfId="1653"/>
    <cellStyle name="Comma 5 2 6 2 6 2" xfId="11032"/>
    <cellStyle name="Comma 5 2 6 2 6 3" xfId="21036"/>
    <cellStyle name="Comma 5 2 6 2 7" xfId="5839"/>
    <cellStyle name="Comma 5 2 6 2 7 2" xfId="14666"/>
    <cellStyle name="Comma 5 2 6 2 7 3" xfId="24917"/>
    <cellStyle name="Comma 5 2 6 2 8" xfId="7283"/>
    <cellStyle name="Comma 5 2 6 2 8 2" xfId="20009"/>
    <cellStyle name="Comma 5 2 6 2 9" xfId="16029"/>
    <cellStyle name="Comma 5 2 6 3" xfId="354"/>
    <cellStyle name="Comma 5 2 6 3 2" xfId="2842"/>
    <cellStyle name="Comma 5 2 6 3 2 2" xfId="12132"/>
    <cellStyle name="Comma 5 2 6 3 2 2 2" xfId="22205"/>
    <cellStyle name="Comma 5 2 6 3 2 3" xfId="8483"/>
    <cellStyle name="Comma 5 2 6 3 2 4" xfId="17198"/>
    <cellStyle name="Comma 5 2 6 3 3" xfId="4476"/>
    <cellStyle name="Comma 5 2 6 3 3 2" xfId="13316"/>
    <cellStyle name="Comma 5 2 6 3 3 2 2" xfId="23567"/>
    <cellStyle name="Comma 5 2 6 3 3 3" xfId="9737"/>
    <cellStyle name="Comma 5 2 6 3 3 4" xfId="18560"/>
    <cellStyle name="Comma 5 2 6 3 4" xfId="1951"/>
    <cellStyle name="Comma 5 2 6 3 4 2" xfId="11318"/>
    <cellStyle name="Comma 5 2 6 3 4 3" xfId="21322"/>
    <cellStyle name="Comma 5 2 6 3 5" xfId="5934"/>
    <cellStyle name="Comma 5 2 6 3 5 2" xfId="14761"/>
    <cellStyle name="Comma 5 2 6 3 5 3" xfId="25012"/>
    <cellStyle name="Comma 5 2 6 3 6" xfId="7378"/>
    <cellStyle name="Comma 5 2 6 3 6 2" xfId="19804"/>
    <cellStyle name="Comma 5 2 6 3 7" xfId="16315"/>
    <cellStyle name="Comma 5 2 6 4" xfId="659"/>
    <cellStyle name="Comma 5 2 6 4 2" xfId="3147"/>
    <cellStyle name="Comma 5 2 6 4 2 2" xfId="12292"/>
    <cellStyle name="Comma 5 2 6 4 2 2 2" xfId="22510"/>
    <cellStyle name="Comma 5 2 6 4 2 3" xfId="8714"/>
    <cellStyle name="Comma 5 2 6 4 2 4" xfId="17503"/>
    <cellStyle name="Comma 5 2 6 4 3" xfId="4825"/>
    <cellStyle name="Comma 5 2 6 4 3 2" xfId="13664"/>
    <cellStyle name="Comma 5 2 6 4 3 2 2" xfId="23915"/>
    <cellStyle name="Comma 5 2 6 4 3 3" xfId="10085"/>
    <cellStyle name="Comma 5 2 6 4 3 4" xfId="18908"/>
    <cellStyle name="Comma 5 2 6 4 4" xfId="2256"/>
    <cellStyle name="Comma 5 2 6 4 4 2" xfId="11623"/>
    <cellStyle name="Comma 5 2 6 4 4 3" xfId="21627"/>
    <cellStyle name="Comma 5 2 6 4 5" xfId="6282"/>
    <cellStyle name="Comma 5 2 6 4 5 2" xfId="15109"/>
    <cellStyle name="Comma 5 2 6 4 5 3" xfId="25360"/>
    <cellStyle name="Comma 5 2 6 4 6" xfId="7728"/>
    <cellStyle name="Comma 5 2 6 4 6 2" xfId="20109"/>
    <cellStyle name="Comma 5 2 6 4 7" xfId="16620"/>
    <cellStyle name="Comma 5 2 6 5" xfId="1126"/>
    <cellStyle name="Comma 5 2 6 5 2" xfId="3557"/>
    <cellStyle name="Comma 5 2 6 5 2 2" xfId="12695"/>
    <cellStyle name="Comma 5 2 6 5 2 2 2" xfId="22914"/>
    <cellStyle name="Comma 5 2 6 5 2 3" xfId="9116"/>
    <cellStyle name="Comma 5 2 6 5 2 4" xfId="17907"/>
    <cellStyle name="Comma 5 2 6 5 3" xfId="5220"/>
    <cellStyle name="Comma 5 2 6 5 3 2" xfId="14059"/>
    <cellStyle name="Comma 5 2 6 5 3 2 2" xfId="24310"/>
    <cellStyle name="Comma 5 2 6 5 3 3" xfId="10480"/>
    <cellStyle name="Comma 5 2 6 5 3 4" xfId="19303"/>
    <cellStyle name="Comma 5 2 6 5 4" xfId="1836"/>
    <cellStyle name="Comma 5 2 6 5 4 2" xfId="11206"/>
    <cellStyle name="Comma 5 2 6 5 4 3" xfId="21210"/>
    <cellStyle name="Comma 5 2 6 5 5" xfId="6677"/>
    <cellStyle name="Comma 5 2 6 5 5 2" xfId="15504"/>
    <cellStyle name="Comma 5 2 6 5 5 3" xfId="25755"/>
    <cellStyle name="Comma 5 2 6 5 6" xfId="8123"/>
    <cellStyle name="Comma 5 2 6 5 6 2" xfId="20513"/>
    <cellStyle name="Comma 5 2 6 5 7" xfId="16203"/>
    <cellStyle name="Comma 5 2 6 6" xfId="2730"/>
    <cellStyle name="Comma 5 2 6 6 2" xfId="12049"/>
    <cellStyle name="Comma 5 2 6 6 2 2" xfId="22093"/>
    <cellStyle name="Comma 5 2 6 6 3" xfId="8429"/>
    <cellStyle name="Comma 5 2 6 6 4" xfId="17086"/>
    <cellStyle name="Comma 5 2 6 7" xfId="4176"/>
    <cellStyle name="Comma 5 2 6 7 2" xfId="13016"/>
    <cellStyle name="Comma 5 2 6 7 2 2" xfId="23267"/>
    <cellStyle name="Comma 5 2 6 7 3" xfId="9437"/>
    <cellStyle name="Comma 5 2 6 7 4" xfId="18260"/>
    <cellStyle name="Comma 5 2 6 8" xfId="1448"/>
    <cellStyle name="Comma 5 2 6 8 2" xfId="10827"/>
    <cellStyle name="Comma 5 2 6 8 3" xfId="20831"/>
    <cellStyle name="Comma 5 2 6 9" xfId="5634"/>
    <cellStyle name="Comma 5 2 6 9 2" xfId="14461"/>
    <cellStyle name="Comma 5 2 6 9 3" xfId="24712"/>
    <cellStyle name="Comma 5 2 7" xfId="293"/>
    <cellStyle name="Comma 5 2 7 10" xfId="16085"/>
    <cellStyle name="Comma 5 2 7 2" xfId="615"/>
    <cellStyle name="Comma 5 2 7 2 2" xfId="3103"/>
    <cellStyle name="Comma 5 2 7 2 2 2" xfId="12248"/>
    <cellStyle name="Comma 5 2 7 2 2 2 2" xfId="22466"/>
    <cellStyle name="Comma 5 2 7 2 2 3" xfId="8670"/>
    <cellStyle name="Comma 5 2 7 2 2 4" xfId="17459"/>
    <cellStyle name="Comma 5 2 7 2 3" xfId="4478"/>
    <cellStyle name="Comma 5 2 7 2 3 2" xfId="13318"/>
    <cellStyle name="Comma 5 2 7 2 3 2 2" xfId="23569"/>
    <cellStyle name="Comma 5 2 7 2 3 3" xfId="9739"/>
    <cellStyle name="Comma 5 2 7 2 3 4" xfId="18562"/>
    <cellStyle name="Comma 5 2 7 2 4" xfId="2212"/>
    <cellStyle name="Comma 5 2 7 2 4 2" xfId="11579"/>
    <cellStyle name="Comma 5 2 7 2 4 3" xfId="21583"/>
    <cellStyle name="Comma 5 2 7 2 5" xfId="5936"/>
    <cellStyle name="Comma 5 2 7 2 5 2" xfId="14763"/>
    <cellStyle name="Comma 5 2 7 2 5 3" xfId="25014"/>
    <cellStyle name="Comma 5 2 7 2 6" xfId="7380"/>
    <cellStyle name="Comma 5 2 7 2 6 2" xfId="20065"/>
    <cellStyle name="Comma 5 2 7 2 7" xfId="16576"/>
    <cellStyle name="Comma 5 2 7 3" xfId="661"/>
    <cellStyle name="Comma 5 2 7 3 2" xfId="3149"/>
    <cellStyle name="Comma 5 2 7 3 2 2" xfId="12294"/>
    <cellStyle name="Comma 5 2 7 3 2 2 2" xfId="22512"/>
    <cellStyle name="Comma 5 2 7 3 2 3" xfId="8716"/>
    <cellStyle name="Comma 5 2 7 3 2 4" xfId="17505"/>
    <cellStyle name="Comma 5 2 7 3 3" xfId="4827"/>
    <cellStyle name="Comma 5 2 7 3 3 2" xfId="13666"/>
    <cellStyle name="Comma 5 2 7 3 3 2 2" xfId="23917"/>
    <cellStyle name="Comma 5 2 7 3 3 3" xfId="10087"/>
    <cellStyle name="Comma 5 2 7 3 3 4" xfId="18910"/>
    <cellStyle name="Comma 5 2 7 3 4" xfId="2258"/>
    <cellStyle name="Comma 5 2 7 3 4 2" xfId="11625"/>
    <cellStyle name="Comma 5 2 7 3 4 3" xfId="21629"/>
    <cellStyle name="Comma 5 2 7 3 5" xfId="6284"/>
    <cellStyle name="Comma 5 2 7 3 5 2" xfId="15111"/>
    <cellStyle name="Comma 5 2 7 3 5 3" xfId="25362"/>
    <cellStyle name="Comma 5 2 7 3 6" xfId="7730"/>
    <cellStyle name="Comma 5 2 7 3 6 2" xfId="20111"/>
    <cellStyle name="Comma 5 2 7 3 7" xfId="16622"/>
    <cellStyle name="Comma 5 2 7 4" xfId="1387"/>
    <cellStyle name="Comma 5 2 7 4 2" xfId="3818"/>
    <cellStyle name="Comma 5 2 7 4 2 2" xfId="12956"/>
    <cellStyle name="Comma 5 2 7 4 2 2 2" xfId="23175"/>
    <cellStyle name="Comma 5 2 7 4 2 3" xfId="9377"/>
    <cellStyle name="Comma 5 2 7 4 2 4" xfId="18168"/>
    <cellStyle name="Comma 5 2 7 4 3" xfId="5481"/>
    <cellStyle name="Comma 5 2 7 4 3 2" xfId="14320"/>
    <cellStyle name="Comma 5 2 7 4 3 2 2" xfId="24571"/>
    <cellStyle name="Comma 5 2 7 4 3 3" xfId="10741"/>
    <cellStyle name="Comma 5 2 7 4 3 4" xfId="19564"/>
    <cellStyle name="Comma 5 2 7 4 4" xfId="1892"/>
    <cellStyle name="Comma 5 2 7 4 4 2" xfId="11262"/>
    <cellStyle name="Comma 5 2 7 4 4 3" xfId="21266"/>
    <cellStyle name="Comma 5 2 7 4 5" xfId="6938"/>
    <cellStyle name="Comma 5 2 7 4 5 2" xfId="15765"/>
    <cellStyle name="Comma 5 2 7 4 5 3" xfId="26016"/>
    <cellStyle name="Comma 5 2 7 4 6" xfId="8384"/>
    <cellStyle name="Comma 5 2 7 4 6 2" xfId="20774"/>
    <cellStyle name="Comma 5 2 7 4 7" xfId="16259"/>
    <cellStyle name="Comma 5 2 7 5" xfId="2786"/>
    <cellStyle name="Comma 5 2 7 5 2" xfId="12105"/>
    <cellStyle name="Comma 5 2 7 5 2 2" xfId="22149"/>
    <cellStyle name="Comma 5 2 7 5 3" xfId="8549"/>
    <cellStyle name="Comma 5 2 7 5 4" xfId="17142"/>
    <cellStyle name="Comma 5 2 7 6" xfId="4437"/>
    <cellStyle name="Comma 5 2 7 6 2" xfId="13277"/>
    <cellStyle name="Comma 5 2 7 6 2 2" xfId="23528"/>
    <cellStyle name="Comma 5 2 7 6 3" xfId="9698"/>
    <cellStyle name="Comma 5 2 7 6 4" xfId="18521"/>
    <cellStyle name="Comma 5 2 7 7" xfId="1709"/>
    <cellStyle name="Comma 5 2 7 7 2" xfId="11088"/>
    <cellStyle name="Comma 5 2 7 7 3" xfId="21092"/>
    <cellStyle name="Comma 5 2 7 8" xfId="5895"/>
    <cellStyle name="Comma 5 2 7 8 2" xfId="14722"/>
    <cellStyle name="Comma 5 2 7 8 3" xfId="24973"/>
    <cellStyle name="Comma 5 2 7 9" xfId="7339"/>
    <cellStyle name="Comma 5 2 7 9 2" xfId="19748"/>
    <cellStyle name="Comma 5 2 8" xfId="454"/>
    <cellStyle name="Comma 5 2 8 2" xfId="662"/>
    <cellStyle name="Comma 5 2 8 2 2" xfId="3150"/>
    <cellStyle name="Comma 5 2 8 2 2 2" xfId="12295"/>
    <cellStyle name="Comma 5 2 8 2 2 2 2" xfId="22513"/>
    <cellStyle name="Comma 5 2 8 2 2 3" xfId="8717"/>
    <cellStyle name="Comma 5 2 8 2 2 4" xfId="17506"/>
    <cellStyle name="Comma 5 2 8 2 3" xfId="4479"/>
    <cellStyle name="Comma 5 2 8 2 3 2" xfId="13319"/>
    <cellStyle name="Comma 5 2 8 2 3 2 2" xfId="23570"/>
    <cellStyle name="Comma 5 2 8 2 3 3" xfId="9740"/>
    <cellStyle name="Comma 5 2 8 2 3 4" xfId="18563"/>
    <cellStyle name="Comma 5 2 8 2 4" xfId="2259"/>
    <cellStyle name="Comma 5 2 8 2 4 2" xfId="11626"/>
    <cellStyle name="Comma 5 2 8 2 4 3" xfId="21630"/>
    <cellStyle name="Comma 5 2 8 2 5" xfId="5937"/>
    <cellStyle name="Comma 5 2 8 2 5 2" xfId="14764"/>
    <cellStyle name="Comma 5 2 8 2 5 3" xfId="25015"/>
    <cellStyle name="Comma 5 2 8 2 6" xfId="7381"/>
    <cellStyle name="Comma 5 2 8 2 6 2" xfId="20112"/>
    <cellStyle name="Comma 5 2 8 2 7" xfId="16623"/>
    <cellStyle name="Comma 5 2 8 3" xfId="1226"/>
    <cellStyle name="Comma 5 2 8 3 2" xfId="3657"/>
    <cellStyle name="Comma 5 2 8 3 2 2" xfId="12795"/>
    <cellStyle name="Comma 5 2 8 3 2 2 2" xfId="23014"/>
    <cellStyle name="Comma 5 2 8 3 2 3" xfId="9216"/>
    <cellStyle name="Comma 5 2 8 3 2 4" xfId="18007"/>
    <cellStyle name="Comma 5 2 8 3 3" xfId="4828"/>
    <cellStyle name="Comma 5 2 8 3 3 2" xfId="13667"/>
    <cellStyle name="Comma 5 2 8 3 3 2 2" xfId="23918"/>
    <cellStyle name="Comma 5 2 8 3 3 3" xfId="10088"/>
    <cellStyle name="Comma 5 2 8 3 3 4" xfId="18911"/>
    <cellStyle name="Comma 5 2 8 3 4" xfId="2051"/>
    <cellStyle name="Comma 5 2 8 3 4 2" xfId="11418"/>
    <cellStyle name="Comma 5 2 8 3 4 3" xfId="21422"/>
    <cellStyle name="Comma 5 2 8 3 5" xfId="6285"/>
    <cellStyle name="Comma 5 2 8 3 5 2" xfId="15112"/>
    <cellStyle name="Comma 5 2 8 3 5 3" xfId="25363"/>
    <cellStyle name="Comma 5 2 8 3 6" xfId="7731"/>
    <cellStyle name="Comma 5 2 8 3 6 2" xfId="20613"/>
    <cellStyle name="Comma 5 2 8 3 7" xfId="16415"/>
    <cellStyle name="Comma 5 2 8 4" xfId="2942"/>
    <cellStyle name="Comma 5 2 8 4 2" xfId="5320"/>
    <cellStyle name="Comma 5 2 8 4 2 2" xfId="14159"/>
    <cellStyle name="Comma 5 2 8 4 2 2 2" xfId="24410"/>
    <cellStyle name="Comma 5 2 8 4 2 3" xfId="10580"/>
    <cellStyle name="Comma 5 2 8 4 2 4" xfId="19403"/>
    <cellStyle name="Comma 5 2 8 4 3" xfId="6777"/>
    <cellStyle name="Comma 5 2 8 4 3 2" xfId="15604"/>
    <cellStyle name="Comma 5 2 8 4 3 3" xfId="25855"/>
    <cellStyle name="Comma 5 2 8 4 4" xfId="8223"/>
    <cellStyle name="Comma 5 2 8 4 4 2" xfId="22305"/>
    <cellStyle name="Comma 5 2 8 4 5" xfId="17298"/>
    <cellStyle name="Comma 5 2 8 5" xfId="4276"/>
    <cellStyle name="Comma 5 2 8 5 2" xfId="13116"/>
    <cellStyle name="Comma 5 2 8 5 2 2" xfId="23367"/>
    <cellStyle name="Comma 5 2 8 5 3" xfId="9537"/>
    <cellStyle name="Comma 5 2 8 5 4" xfId="18360"/>
    <cellStyle name="Comma 5 2 8 6" xfId="1548"/>
    <cellStyle name="Comma 5 2 8 6 2" xfId="10927"/>
    <cellStyle name="Comma 5 2 8 6 3" xfId="20931"/>
    <cellStyle name="Comma 5 2 8 7" xfId="5734"/>
    <cellStyle name="Comma 5 2 8 7 2" xfId="14561"/>
    <cellStyle name="Comma 5 2 8 7 3" xfId="24812"/>
    <cellStyle name="Comma 5 2 8 8" xfId="7178"/>
    <cellStyle name="Comma 5 2 8 8 2" xfId="19904"/>
    <cellStyle name="Comma 5 2 8 9" xfId="15924"/>
    <cellStyle name="Comma 5 2 9" xfId="315"/>
    <cellStyle name="Comma 5 2 9 2" xfId="663"/>
    <cellStyle name="Comma 5 2 9 2 2" xfId="3151"/>
    <cellStyle name="Comma 5 2 9 2 2 2" xfId="12296"/>
    <cellStyle name="Comma 5 2 9 2 2 2 2" xfId="22514"/>
    <cellStyle name="Comma 5 2 9 2 2 3" xfId="8718"/>
    <cellStyle name="Comma 5 2 9 2 2 4" xfId="17507"/>
    <cellStyle name="Comma 5 2 9 2 3" xfId="4480"/>
    <cellStyle name="Comma 5 2 9 2 3 2" xfId="13320"/>
    <cellStyle name="Comma 5 2 9 2 3 2 2" xfId="23571"/>
    <cellStyle name="Comma 5 2 9 2 3 3" xfId="9741"/>
    <cellStyle name="Comma 5 2 9 2 3 4" xfId="18564"/>
    <cellStyle name="Comma 5 2 9 2 4" xfId="2260"/>
    <cellStyle name="Comma 5 2 9 2 4 2" xfId="11627"/>
    <cellStyle name="Comma 5 2 9 2 4 3" xfId="21631"/>
    <cellStyle name="Comma 5 2 9 2 5" xfId="5938"/>
    <cellStyle name="Comma 5 2 9 2 5 2" xfId="14765"/>
    <cellStyle name="Comma 5 2 9 2 5 3" xfId="25016"/>
    <cellStyle name="Comma 5 2 9 2 6" xfId="7382"/>
    <cellStyle name="Comma 5 2 9 2 6 2" xfId="20113"/>
    <cellStyle name="Comma 5 2 9 2 7" xfId="16624"/>
    <cellStyle name="Comma 5 2 9 3" xfId="1087"/>
    <cellStyle name="Comma 5 2 9 3 2" xfId="3518"/>
    <cellStyle name="Comma 5 2 9 3 2 2" xfId="12656"/>
    <cellStyle name="Comma 5 2 9 3 2 2 2" xfId="22875"/>
    <cellStyle name="Comma 5 2 9 3 2 3" xfId="9078"/>
    <cellStyle name="Comma 5 2 9 3 2 4" xfId="17868"/>
    <cellStyle name="Comma 5 2 9 3 3" xfId="4829"/>
    <cellStyle name="Comma 5 2 9 3 3 2" xfId="13668"/>
    <cellStyle name="Comma 5 2 9 3 3 2 2" xfId="23919"/>
    <cellStyle name="Comma 5 2 9 3 3 3" xfId="10089"/>
    <cellStyle name="Comma 5 2 9 3 3 4" xfId="18912"/>
    <cellStyle name="Comma 5 2 9 3 4" xfId="2591"/>
    <cellStyle name="Comma 5 2 9 3 4 2" xfId="11957"/>
    <cellStyle name="Comma 5 2 9 3 4 3" xfId="21961"/>
    <cellStyle name="Comma 5 2 9 3 5" xfId="6286"/>
    <cellStyle name="Comma 5 2 9 3 5 2" xfId="15113"/>
    <cellStyle name="Comma 5 2 9 3 5 3" xfId="25364"/>
    <cellStyle name="Comma 5 2 9 3 6" xfId="7732"/>
    <cellStyle name="Comma 5 2 9 3 6 2" xfId="20474"/>
    <cellStyle name="Comma 5 2 9 3 7" xfId="16954"/>
    <cellStyle name="Comma 5 2 9 4" xfId="2803"/>
    <cellStyle name="Comma 5 2 9 4 2" xfId="5181"/>
    <cellStyle name="Comma 5 2 9 4 2 2" xfId="14020"/>
    <cellStyle name="Comma 5 2 9 4 2 2 2" xfId="24271"/>
    <cellStyle name="Comma 5 2 9 4 2 3" xfId="10441"/>
    <cellStyle name="Comma 5 2 9 4 2 4" xfId="19264"/>
    <cellStyle name="Comma 5 2 9 4 3" xfId="6638"/>
    <cellStyle name="Comma 5 2 9 4 3 2" xfId="15465"/>
    <cellStyle name="Comma 5 2 9 4 3 3" xfId="25716"/>
    <cellStyle name="Comma 5 2 9 4 4" xfId="8084"/>
    <cellStyle name="Comma 5 2 9 4 4 2" xfId="22166"/>
    <cellStyle name="Comma 5 2 9 4 5" xfId="17159"/>
    <cellStyle name="Comma 5 2 9 5" xfId="4135"/>
    <cellStyle name="Comma 5 2 9 5 2" xfId="12975"/>
    <cellStyle name="Comma 5 2 9 5 2 2" xfId="23226"/>
    <cellStyle name="Comma 5 2 9 5 3" xfId="9396"/>
    <cellStyle name="Comma 5 2 9 5 4" xfId="18219"/>
    <cellStyle name="Comma 5 2 9 6" xfId="1912"/>
    <cellStyle name="Comma 5 2 9 6 2" xfId="11279"/>
    <cellStyle name="Comma 5 2 9 6 3" xfId="21283"/>
    <cellStyle name="Comma 5 2 9 7" xfId="5595"/>
    <cellStyle name="Comma 5 2 9 7 2" xfId="14422"/>
    <cellStyle name="Comma 5 2 9 7 3" xfId="24673"/>
    <cellStyle name="Comma 5 2 9 8" xfId="7039"/>
    <cellStyle name="Comma 5 2 9 8 2" xfId="19765"/>
    <cellStyle name="Comma 5 2 9 9" xfId="16276"/>
    <cellStyle name="Comma 5 3" xfId="122"/>
    <cellStyle name="Comma 5 3 10" xfId="4114"/>
    <cellStyle name="Comma 5 3 10 2" xfId="5574"/>
    <cellStyle name="Comma 5 3 10 2 2" xfId="14401"/>
    <cellStyle name="Comma 5 3 10 2 3" xfId="24652"/>
    <cellStyle name="Comma 5 3 10 3" xfId="7018"/>
    <cellStyle name="Comma 5 3 10 3 2" xfId="23205"/>
    <cellStyle name="Comma 5 3 10 4" xfId="18198"/>
    <cellStyle name="Comma 5 3 11" xfId="1433"/>
    <cellStyle name="Comma 5 3 11 2" xfId="10812"/>
    <cellStyle name="Comma 5 3 11 3" xfId="20816"/>
    <cellStyle name="Comma 5 3 12" xfId="5542"/>
    <cellStyle name="Comma 5 3 12 2" xfId="14371"/>
    <cellStyle name="Comma 5 3 12 3" xfId="24622"/>
    <cellStyle name="Comma 5 3 13" xfId="6988"/>
    <cellStyle name="Comma 5 3 13 2" xfId="19599"/>
    <cellStyle name="Comma 5 3 14" xfId="15809"/>
    <cellStyle name="Comma 5 3 2" xfId="166"/>
    <cellStyle name="Comma 5 3 2 10" xfId="5676"/>
    <cellStyle name="Comma 5 3 2 10 2" xfId="14503"/>
    <cellStyle name="Comma 5 3 2 10 3" xfId="24754"/>
    <cellStyle name="Comma 5 3 2 11" xfId="7120"/>
    <cellStyle name="Comma 5 3 2 11 2" xfId="19629"/>
    <cellStyle name="Comma 5 3 2 12" xfId="15866"/>
    <cellStyle name="Comma 5 3 2 2" xfId="278"/>
    <cellStyle name="Comma 5 3 2 2 10" xfId="16070"/>
    <cellStyle name="Comma 5 3 2 2 2" xfId="600"/>
    <cellStyle name="Comma 5 3 2 2 2 2" xfId="3088"/>
    <cellStyle name="Comma 5 3 2 2 2 2 2" xfId="12237"/>
    <cellStyle name="Comma 5 3 2 2 2 2 2 2" xfId="22451"/>
    <cellStyle name="Comma 5 3 2 2 2 2 3" xfId="8659"/>
    <cellStyle name="Comma 5 3 2 2 2 2 4" xfId="17444"/>
    <cellStyle name="Comma 5 3 2 2 2 3" xfId="4483"/>
    <cellStyle name="Comma 5 3 2 2 2 3 2" xfId="13323"/>
    <cellStyle name="Comma 5 3 2 2 2 3 2 2" xfId="23574"/>
    <cellStyle name="Comma 5 3 2 2 2 3 3" xfId="9744"/>
    <cellStyle name="Comma 5 3 2 2 2 3 4" xfId="18567"/>
    <cellStyle name="Comma 5 3 2 2 2 4" xfId="2197"/>
    <cellStyle name="Comma 5 3 2 2 2 4 2" xfId="11564"/>
    <cellStyle name="Comma 5 3 2 2 2 4 3" xfId="21568"/>
    <cellStyle name="Comma 5 3 2 2 2 5" xfId="5941"/>
    <cellStyle name="Comma 5 3 2 2 2 5 2" xfId="14768"/>
    <cellStyle name="Comma 5 3 2 2 2 5 3" xfId="25019"/>
    <cellStyle name="Comma 5 3 2 2 2 6" xfId="7385"/>
    <cellStyle name="Comma 5 3 2 2 2 6 2" xfId="20050"/>
    <cellStyle name="Comma 5 3 2 2 2 7" xfId="16561"/>
    <cellStyle name="Comma 5 3 2 2 3" xfId="666"/>
    <cellStyle name="Comma 5 3 2 2 3 2" xfId="3154"/>
    <cellStyle name="Comma 5 3 2 2 3 2 2" xfId="12299"/>
    <cellStyle name="Comma 5 3 2 2 3 2 2 2" xfId="22517"/>
    <cellStyle name="Comma 5 3 2 2 3 2 3" xfId="8721"/>
    <cellStyle name="Comma 5 3 2 2 3 2 4" xfId="17510"/>
    <cellStyle name="Comma 5 3 2 2 3 3" xfId="4832"/>
    <cellStyle name="Comma 5 3 2 2 3 3 2" xfId="13671"/>
    <cellStyle name="Comma 5 3 2 2 3 3 2 2" xfId="23922"/>
    <cellStyle name="Comma 5 3 2 2 3 3 3" xfId="10092"/>
    <cellStyle name="Comma 5 3 2 2 3 3 4" xfId="18915"/>
    <cellStyle name="Comma 5 3 2 2 3 4" xfId="2263"/>
    <cellStyle name="Comma 5 3 2 2 3 4 2" xfId="11630"/>
    <cellStyle name="Comma 5 3 2 2 3 4 3" xfId="21634"/>
    <cellStyle name="Comma 5 3 2 2 3 5" xfId="6289"/>
    <cellStyle name="Comma 5 3 2 2 3 5 2" xfId="15116"/>
    <cellStyle name="Comma 5 3 2 2 3 5 3" xfId="25367"/>
    <cellStyle name="Comma 5 3 2 2 3 6" xfId="7735"/>
    <cellStyle name="Comma 5 3 2 2 3 6 2" xfId="20116"/>
    <cellStyle name="Comma 5 3 2 2 3 7" xfId="16627"/>
    <cellStyle name="Comma 5 3 2 2 4" xfId="1372"/>
    <cellStyle name="Comma 5 3 2 2 4 2" xfId="3803"/>
    <cellStyle name="Comma 5 3 2 2 4 2 2" xfId="12941"/>
    <cellStyle name="Comma 5 3 2 2 4 2 2 2" xfId="23160"/>
    <cellStyle name="Comma 5 3 2 2 4 2 3" xfId="9362"/>
    <cellStyle name="Comma 5 3 2 2 4 2 4" xfId="18153"/>
    <cellStyle name="Comma 5 3 2 2 4 3" xfId="5466"/>
    <cellStyle name="Comma 5 3 2 2 4 3 2" xfId="14305"/>
    <cellStyle name="Comma 5 3 2 2 4 3 2 2" xfId="24556"/>
    <cellStyle name="Comma 5 3 2 2 4 3 3" xfId="10726"/>
    <cellStyle name="Comma 5 3 2 2 4 3 4" xfId="19549"/>
    <cellStyle name="Comma 5 3 2 2 4 4" xfId="1877"/>
    <cellStyle name="Comma 5 3 2 2 4 4 2" xfId="11247"/>
    <cellStyle name="Comma 5 3 2 2 4 4 3" xfId="21251"/>
    <cellStyle name="Comma 5 3 2 2 4 5" xfId="6923"/>
    <cellStyle name="Comma 5 3 2 2 4 5 2" xfId="15750"/>
    <cellStyle name="Comma 5 3 2 2 4 5 3" xfId="26001"/>
    <cellStyle name="Comma 5 3 2 2 4 6" xfId="8369"/>
    <cellStyle name="Comma 5 3 2 2 4 6 2" xfId="20759"/>
    <cellStyle name="Comma 5 3 2 2 4 7" xfId="16244"/>
    <cellStyle name="Comma 5 3 2 2 5" xfId="2771"/>
    <cellStyle name="Comma 5 3 2 2 5 2" xfId="12090"/>
    <cellStyle name="Comma 5 3 2 2 5 2 2" xfId="22134"/>
    <cellStyle name="Comma 5 3 2 2 5 3" xfId="8493"/>
    <cellStyle name="Comma 5 3 2 2 5 4" xfId="17127"/>
    <cellStyle name="Comma 5 3 2 2 6" xfId="4422"/>
    <cellStyle name="Comma 5 3 2 2 6 2" xfId="13262"/>
    <cellStyle name="Comma 5 3 2 2 6 2 2" xfId="23513"/>
    <cellStyle name="Comma 5 3 2 2 6 3" xfId="9683"/>
    <cellStyle name="Comma 5 3 2 2 6 4" xfId="18506"/>
    <cellStyle name="Comma 5 3 2 2 7" xfId="1694"/>
    <cellStyle name="Comma 5 3 2 2 7 2" xfId="11073"/>
    <cellStyle name="Comma 5 3 2 2 7 3" xfId="21077"/>
    <cellStyle name="Comma 5 3 2 2 8" xfId="5880"/>
    <cellStyle name="Comma 5 3 2 2 8 2" xfId="14707"/>
    <cellStyle name="Comma 5 3 2 2 8 3" xfId="24958"/>
    <cellStyle name="Comma 5 3 2 2 9" xfId="7324"/>
    <cellStyle name="Comma 5 3 2 2 9 2" xfId="19733"/>
    <cellStyle name="Comma 5 3 2 3" xfId="496"/>
    <cellStyle name="Comma 5 3 2 3 2" xfId="667"/>
    <cellStyle name="Comma 5 3 2 3 2 2" xfId="3155"/>
    <cellStyle name="Comma 5 3 2 3 2 2 2" xfId="12300"/>
    <cellStyle name="Comma 5 3 2 3 2 2 2 2" xfId="22518"/>
    <cellStyle name="Comma 5 3 2 3 2 2 3" xfId="8722"/>
    <cellStyle name="Comma 5 3 2 3 2 2 4" xfId="17511"/>
    <cellStyle name="Comma 5 3 2 3 2 3" xfId="4484"/>
    <cellStyle name="Comma 5 3 2 3 2 3 2" xfId="13324"/>
    <cellStyle name="Comma 5 3 2 3 2 3 2 2" xfId="23575"/>
    <cellStyle name="Comma 5 3 2 3 2 3 3" xfId="9745"/>
    <cellStyle name="Comma 5 3 2 3 2 3 4" xfId="18568"/>
    <cellStyle name="Comma 5 3 2 3 2 4" xfId="2264"/>
    <cellStyle name="Comma 5 3 2 3 2 4 2" xfId="11631"/>
    <cellStyle name="Comma 5 3 2 3 2 4 3" xfId="21635"/>
    <cellStyle name="Comma 5 3 2 3 2 5" xfId="5942"/>
    <cellStyle name="Comma 5 3 2 3 2 5 2" xfId="14769"/>
    <cellStyle name="Comma 5 3 2 3 2 5 3" xfId="25020"/>
    <cellStyle name="Comma 5 3 2 3 2 6" xfId="7386"/>
    <cellStyle name="Comma 5 3 2 3 2 6 2" xfId="20117"/>
    <cellStyle name="Comma 5 3 2 3 2 7" xfId="16628"/>
    <cellStyle name="Comma 5 3 2 3 3" xfId="1268"/>
    <cellStyle name="Comma 5 3 2 3 3 2" xfId="3699"/>
    <cellStyle name="Comma 5 3 2 3 3 2 2" xfId="12837"/>
    <cellStyle name="Comma 5 3 2 3 3 2 2 2" xfId="23056"/>
    <cellStyle name="Comma 5 3 2 3 3 2 3" xfId="9258"/>
    <cellStyle name="Comma 5 3 2 3 3 2 4" xfId="18049"/>
    <cellStyle name="Comma 5 3 2 3 3 3" xfId="4833"/>
    <cellStyle name="Comma 5 3 2 3 3 3 2" xfId="13672"/>
    <cellStyle name="Comma 5 3 2 3 3 3 2 2" xfId="23923"/>
    <cellStyle name="Comma 5 3 2 3 3 3 3" xfId="10093"/>
    <cellStyle name="Comma 5 3 2 3 3 3 4" xfId="18916"/>
    <cellStyle name="Comma 5 3 2 3 3 4" xfId="2093"/>
    <cellStyle name="Comma 5 3 2 3 3 4 2" xfId="11460"/>
    <cellStyle name="Comma 5 3 2 3 3 4 3" xfId="21464"/>
    <cellStyle name="Comma 5 3 2 3 3 5" xfId="6290"/>
    <cellStyle name="Comma 5 3 2 3 3 5 2" xfId="15117"/>
    <cellStyle name="Comma 5 3 2 3 3 5 3" xfId="25368"/>
    <cellStyle name="Comma 5 3 2 3 3 6" xfId="7736"/>
    <cellStyle name="Comma 5 3 2 3 3 6 2" xfId="20655"/>
    <cellStyle name="Comma 5 3 2 3 3 7" xfId="16457"/>
    <cellStyle name="Comma 5 3 2 3 4" xfId="2984"/>
    <cellStyle name="Comma 5 3 2 3 4 2" xfId="5362"/>
    <cellStyle name="Comma 5 3 2 3 4 2 2" xfId="14201"/>
    <cellStyle name="Comma 5 3 2 3 4 2 2 2" xfId="24452"/>
    <cellStyle name="Comma 5 3 2 3 4 2 3" xfId="10622"/>
    <cellStyle name="Comma 5 3 2 3 4 2 4" xfId="19445"/>
    <cellStyle name="Comma 5 3 2 3 4 3" xfId="6819"/>
    <cellStyle name="Comma 5 3 2 3 4 3 2" xfId="15646"/>
    <cellStyle name="Comma 5 3 2 3 4 3 3" xfId="25897"/>
    <cellStyle name="Comma 5 3 2 3 4 4" xfId="8265"/>
    <cellStyle name="Comma 5 3 2 3 4 4 2" xfId="22347"/>
    <cellStyle name="Comma 5 3 2 3 4 5" xfId="17340"/>
    <cellStyle name="Comma 5 3 2 3 5" xfId="4318"/>
    <cellStyle name="Comma 5 3 2 3 5 2" xfId="13158"/>
    <cellStyle name="Comma 5 3 2 3 5 2 2" xfId="23409"/>
    <cellStyle name="Comma 5 3 2 3 5 3" xfId="9579"/>
    <cellStyle name="Comma 5 3 2 3 5 4" xfId="18402"/>
    <cellStyle name="Comma 5 3 2 3 6" xfId="1590"/>
    <cellStyle name="Comma 5 3 2 3 6 2" xfId="10969"/>
    <cellStyle name="Comma 5 3 2 3 6 3" xfId="20973"/>
    <cellStyle name="Comma 5 3 2 3 7" xfId="5776"/>
    <cellStyle name="Comma 5 3 2 3 7 2" xfId="14603"/>
    <cellStyle name="Comma 5 3 2 3 7 3" xfId="24854"/>
    <cellStyle name="Comma 5 3 2 3 8" xfId="7220"/>
    <cellStyle name="Comma 5 3 2 3 8 2" xfId="19946"/>
    <cellStyle name="Comma 5 3 2 3 9" xfId="15966"/>
    <cellStyle name="Comma 5 3 2 4" xfId="396"/>
    <cellStyle name="Comma 5 3 2 4 2" xfId="2884"/>
    <cellStyle name="Comma 5 3 2 4 2 2" xfId="12174"/>
    <cellStyle name="Comma 5 3 2 4 2 2 2" xfId="22247"/>
    <cellStyle name="Comma 5 3 2 4 2 3" xfId="8440"/>
    <cellStyle name="Comma 5 3 2 4 2 4" xfId="17240"/>
    <cellStyle name="Comma 5 3 2 4 3" xfId="4482"/>
    <cellStyle name="Comma 5 3 2 4 3 2" xfId="13322"/>
    <cellStyle name="Comma 5 3 2 4 3 2 2" xfId="23573"/>
    <cellStyle name="Comma 5 3 2 4 3 3" xfId="9743"/>
    <cellStyle name="Comma 5 3 2 4 3 4" xfId="18566"/>
    <cellStyle name="Comma 5 3 2 4 4" xfId="1993"/>
    <cellStyle name="Comma 5 3 2 4 4 2" xfId="11360"/>
    <cellStyle name="Comma 5 3 2 4 4 3" xfId="21364"/>
    <cellStyle name="Comma 5 3 2 4 5" xfId="5940"/>
    <cellStyle name="Comma 5 3 2 4 5 2" xfId="14767"/>
    <cellStyle name="Comma 5 3 2 4 5 3" xfId="25018"/>
    <cellStyle name="Comma 5 3 2 4 6" xfId="7384"/>
    <cellStyle name="Comma 5 3 2 4 6 2" xfId="19846"/>
    <cellStyle name="Comma 5 3 2 4 7" xfId="16357"/>
    <cellStyle name="Comma 5 3 2 5" xfId="665"/>
    <cellStyle name="Comma 5 3 2 5 2" xfId="3153"/>
    <cellStyle name="Comma 5 3 2 5 2 2" xfId="12298"/>
    <cellStyle name="Comma 5 3 2 5 2 2 2" xfId="22516"/>
    <cellStyle name="Comma 5 3 2 5 2 3" xfId="8720"/>
    <cellStyle name="Comma 5 3 2 5 2 4" xfId="17509"/>
    <cellStyle name="Comma 5 3 2 5 3" xfId="4831"/>
    <cellStyle name="Comma 5 3 2 5 3 2" xfId="13670"/>
    <cellStyle name="Comma 5 3 2 5 3 2 2" xfId="23921"/>
    <cellStyle name="Comma 5 3 2 5 3 3" xfId="10091"/>
    <cellStyle name="Comma 5 3 2 5 3 4" xfId="18914"/>
    <cellStyle name="Comma 5 3 2 5 4" xfId="2262"/>
    <cellStyle name="Comma 5 3 2 5 4 2" xfId="11629"/>
    <cellStyle name="Comma 5 3 2 5 4 3" xfId="21633"/>
    <cellStyle name="Comma 5 3 2 5 5" xfId="6288"/>
    <cellStyle name="Comma 5 3 2 5 5 2" xfId="15115"/>
    <cellStyle name="Comma 5 3 2 5 5 3" xfId="25366"/>
    <cellStyle name="Comma 5 3 2 5 6" xfId="7734"/>
    <cellStyle name="Comma 5 3 2 5 6 2" xfId="20115"/>
    <cellStyle name="Comma 5 3 2 5 7" xfId="16626"/>
    <cellStyle name="Comma 5 3 2 6" xfId="1168"/>
    <cellStyle name="Comma 5 3 2 6 2" xfId="3599"/>
    <cellStyle name="Comma 5 3 2 6 2 2" xfId="12737"/>
    <cellStyle name="Comma 5 3 2 6 2 2 2" xfId="22956"/>
    <cellStyle name="Comma 5 3 2 6 2 3" xfId="9158"/>
    <cellStyle name="Comma 5 3 2 6 2 4" xfId="17949"/>
    <cellStyle name="Comma 5 3 2 6 3" xfId="5262"/>
    <cellStyle name="Comma 5 3 2 6 3 2" xfId="14101"/>
    <cellStyle name="Comma 5 3 2 6 3 2 2" xfId="24352"/>
    <cellStyle name="Comma 5 3 2 6 3 3" xfId="10522"/>
    <cellStyle name="Comma 5 3 2 6 3 4" xfId="19345"/>
    <cellStyle name="Comma 5 3 2 6 4" xfId="1770"/>
    <cellStyle name="Comma 5 3 2 6 4 2" xfId="11143"/>
    <cellStyle name="Comma 5 3 2 6 4 3" xfId="21147"/>
    <cellStyle name="Comma 5 3 2 6 5" xfId="6719"/>
    <cellStyle name="Comma 5 3 2 6 5 2" xfId="15546"/>
    <cellStyle name="Comma 5 3 2 6 5 3" xfId="25797"/>
    <cellStyle name="Comma 5 3 2 6 6" xfId="8165"/>
    <cellStyle name="Comma 5 3 2 6 6 2" xfId="20555"/>
    <cellStyle name="Comma 5 3 2 6 7" xfId="16140"/>
    <cellStyle name="Comma 5 3 2 7" xfId="2667"/>
    <cellStyle name="Comma 5 3 2 7 2" xfId="11989"/>
    <cellStyle name="Comma 5 3 2 7 2 2" xfId="22030"/>
    <cellStyle name="Comma 5 3 2 7 3" xfId="8575"/>
    <cellStyle name="Comma 5 3 2 7 4" xfId="17023"/>
    <cellStyle name="Comma 5 3 2 8" xfId="4218"/>
    <cellStyle name="Comma 5 3 2 8 2" xfId="13058"/>
    <cellStyle name="Comma 5 3 2 8 2 2" xfId="23309"/>
    <cellStyle name="Comma 5 3 2 8 3" xfId="9479"/>
    <cellStyle name="Comma 5 3 2 8 4" xfId="18302"/>
    <cellStyle name="Comma 5 3 2 9" xfId="1490"/>
    <cellStyle name="Comma 5 3 2 9 2" xfId="10869"/>
    <cellStyle name="Comma 5 3 2 9 3" xfId="20873"/>
    <cellStyle name="Comma 5 3 3" xfId="213"/>
    <cellStyle name="Comma 5 3 3 10" xfId="7163"/>
    <cellStyle name="Comma 5 3 3 10 2" xfId="19672"/>
    <cellStyle name="Comma 5 3 3 11" xfId="15909"/>
    <cellStyle name="Comma 5 3 3 2" xfId="539"/>
    <cellStyle name="Comma 5 3 3 2 2" xfId="669"/>
    <cellStyle name="Comma 5 3 3 2 2 2" xfId="3157"/>
    <cellStyle name="Comma 5 3 3 2 2 2 2" xfId="12302"/>
    <cellStyle name="Comma 5 3 3 2 2 2 2 2" xfId="22520"/>
    <cellStyle name="Comma 5 3 3 2 2 2 3" xfId="8724"/>
    <cellStyle name="Comma 5 3 3 2 2 2 4" xfId="17513"/>
    <cellStyle name="Comma 5 3 3 2 2 3" xfId="4486"/>
    <cellStyle name="Comma 5 3 3 2 2 3 2" xfId="13326"/>
    <cellStyle name="Comma 5 3 3 2 2 3 2 2" xfId="23577"/>
    <cellStyle name="Comma 5 3 3 2 2 3 3" xfId="9747"/>
    <cellStyle name="Comma 5 3 3 2 2 3 4" xfId="18570"/>
    <cellStyle name="Comma 5 3 3 2 2 4" xfId="2266"/>
    <cellStyle name="Comma 5 3 3 2 2 4 2" xfId="11633"/>
    <cellStyle name="Comma 5 3 3 2 2 4 3" xfId="21637"/>
    <cellStyle name="Comma 5 3 3 2 2 5" xfId="5944"/>
    <cellStyle name="Comma 5 3 3 2 2 5 2" xfId="14771"/>
    <cellStyle name="Comma 5 3 3 2 2 5 3" xfId="25022"/>
    <cellStyle name="Comma 5 3 3 2 2 6" xfId="7388"/>
    <cellStyle name="Comma 5 3 3 2 2 6 2" xfId="20119"/>
    <cellStyle name="Comma 5 3 3 2 2 7" xfId="16630"/>
    <cellStyle name="Comma 5 3 3 2 3" xfId="1311"/>
    <cellStyle name="Comma 5 3 3 2 3 2" xfId="3742"/>
    <cellStyle name="Comma 5 3 3 2 3 2 2" xfId="12880"/>
    <cellStyle name="Comma 5 3 3 2 3 2 2 2" xfId="23099"/>
    <cellStyle name="Comma 5 3 3 2 3 2 3" xfId="9301"/>
    <cellStyle name="Comma 5 3 3 2 3 2 4" xfId="18092"/>
    <cellStyle name="Comma 5 3 3 2 3 3" xfId="4835"/>
    <cellStyle name="Comma 5 3 3 2 3 3 2" xfId="13674"/>
    <cellStyle name="Comma 5 3 3 2 3 3 2 2" xfId="23925"/>
    <cellStyle name="Comma 5 3 3 2 3 3 3" xfId="10095"/>
    <cellStyle name="Comma 5 3 3 2 3 3 4" xfId="18918"/>
    <cellStyle name="Comma 5 3 3 2 3 4" xfId="2136"/>
    <cellStyle name="Comma 5 3 3 2 3 4 2" xfId="11503"/>
    <cellStyle name="Comma 5 3 3 2 3 4 3" xfId="21507"/>
    <cellStyle name="Comma 5 3 3 2 3 5" xfId="6292"/>
    <cellStyle name="Comma 5 3 3 2 3 5 2" xfId="15119"/>
    <cellStyle name="Comma 5 3 3 2 3 5 3" xfId="25370"/>
    <cellStyle name="Comma 5 3 3 2 3 6" xfId="7738"/>
    <cellStyle name="Comma 5 3 3 2 3 6 2" xfId="20698"/>
    <cellStyle name="Comma 5 3 3 2 3 7" xfId="16500"/>
    <cellStyle name="Comma 5 3 3 2 4" xfId="3027"/>
    <cellStyle name="Comma 5 3 3 2 4 2" xfId="5405"/>
    <cellStyle name="Comma 5 3 3 2 4 2 2" xfId="14244"/>
    <cellStyle name="Comma 5 3 3 2 4 2 2 2" xfId="24495"/>
    <cellStyle name="Comma 5 3 3 2 4 2 3" xfId="10665"/>
    <cellStyle name="Comma 5 3 3 2 4 2 4" xfId="19488"/>
    <cellStyle name="Comma 5 3 3 2 4 3" xfId="6862"/>
    <cellStyle name="Comma 5 3 3 2 4 3 2" xfId="15689"/>
    <cellStyle name="Comma 5 3 3 2 4 3 3" xfId="25940"/>
    <cellStyle name="Comma 5 3 3 2 4 4" xfId="8308"/>
    <cellStyle name="Comma 5 3 3 2 4 4 2" xfId="22390"/>
    <cellStyle name="Comma 5 3 3 2 4 5" xfId="17383"/>
    <cellStyle name="Comma 5 3 3 2 5" xfId="4361"/>
    <cellStyle name="Comma 5 3 3 2 5 2" xfId="13201"/>
    <cellStyle name="Comma 5 3 3 2 5 2 2" xfId="23452"/>
    <cellStyle name="Comma 5 3 3 2 5 3" xfId="9622"/>
    <cellStyle name="Comma 5 3 3 2 5 4" xfId="18445"/>
    <cellStyle name="Comma 5 3 3 2 6" xfId="1633"/>
    <cellStyle name="Comma 5 3 3 2 6 2" xfId="11012"/>
    <cellStyle name="Comma 5 3 3 2 6 3" xfId="21016"/>
    <cellStyle name="Comma 5 3 3 2 7" xfId="5819"/>
    <cellStyle name="Comma 5 3 3 2 7 2" xfId="14646"/>
    <cellStyle name="Comma 5 3 3 2 7 3" xfId="24897"/>
    <cellStyle name="Comma 5 3 3 2 8" xfId="7263"/>
    <cellStyle name="Comma 5 3 3 2 8 2" xfId="19989"/>
    <cellStyle name="Comma 5 3 3 2 9" xfId="16009"/>
    <cellStyle name="Comma 5 3 3 3" xfId="439"/>
    <cellStyle name="Comma 5 3 3 3 2" xfId="2927"/>
    <cellStyle name="Comma 5 3 3 3 2 2" xfId="12217"/>
    <cellStyle name="Comma 5 3 3 3 2 2 2" xfId="22290"/>
    <cellStyle name="Comma 5 3 3 3 2 3" xfId="8418"/>
    <cellStyle name="Comma 5 3 3 3 2 4" xfId="17283"/>
    <cellStyle name="Comma 5 3 3 3 3" xfId="4485"/>
    <cellStyle name="Comma 5 3 3 3 3 2" xfId="13325"/>
    <cellStyle name="Comma 5 3 3 3 3 2 2" xfId="23576"/>
    <cellStyle name="Comma 5 3 3 3 3 3" xfId="9746"/>
    <cellStyle name="Comma 5 3 3 3 3 4" xfId="18569"/>
    <cellStyle name="Comma 5 3 3 3 4" xfId="2036"/>
    <cellStyle name="Comma 5 3 3 3 4 2" xfId="11403"/>
    <cellStyle name="Comma 5 3 3 3 4 3" xfId="21407"/>
    <cellStyle name="Comma 5 3 3 3 5" xfId="5943"/>
    <cellStyle name="Comma 5 3 3 3 5 2" xfId="14770"/>
    <cellStyle name="Comma 5 3 3 3 5 3" xfId="25021"/>
    <cellStyle name="Comma 5 3 3 3 6" xfId="7387"/>
    <cellStyle name="Comma 5 3 3 3 6 2" xfId="19889"/>
    <cellStyle name="Comma 5 3 3 3 7" xfId="16400"/>
    <cellStyle name="Comma 5 3 3 4" xfId="668"/>
    <cellStyle name="Comma 5 3 3 4 2" xfId="3156"/>
    <cellStyle name="Comma 5 3 3 4 2 2" xfId="12301"/>
    <cellStyle name="Comma 5 3 3 4 2 2 2" xfId="22519"/>
    <cellStyle name="Comma 5 3 3 4 2 3" xfId="8723"/>
    <cellStyle name="Comma 5 3 3 4 2 4" xfId="17512"/>
    <cellStyle name="Comma 5 3 3 4 3" xfId="4834"/>
    <cellStyle name="Comma 5 3 3 4 3 2" xfId="13673"/>
    <cellStyle name="Comma 5 3 3 4 3 2 2" xfId="23924"/>
    <cellStyle name="Comma 5 3 3 4 3 3" xfId="10094"/>
    <cellStyle name="Comma 5 3 3 4 3 4" xfId="18917"/>
    <cellStyle name="Comma 5 3 3 4 4" xfId="2265"/>
    <cellStyle name="Comma 5 3 3 4 4 2" xfId="11632"/>
    <cellStyle name="Comma 5 3 3 4 4 3" xfId="21636"/>
    <cellStyle name="Comma 5 3 3 4 5" xfId="6291"/>
    <cellStyle name="Comma 5 3 3 4 5 2" xfId="15118"/>
    <cellStyle name="Comma 5 3 3 4 5 3" xfId="25369"/>
    <cellStyle name="Comma 5 3 3 4 6" xfId="7737"/>
    <cellStyle name="Comma 5 3 3 4 6 2" xfId="20118"/>
    <cellStyle name="Comma 5 3 3 4 7" xfId="16629"/>
    <cellStyle name="Comma 5 3 3 5" xfId="1211"/>
    <cellStyle name="Comma 5 3 3 5 2" xfId="3642"/>
    <cellStyle name="Comma 5 3 3 5 2 2" xfId="12780"/>
    <cellStyle name="Comma 5 3 3 5 2 2 2" xfId="22999"/>
    <cellStyle name="Comma 5 3 3 5 2 3" xfId="9201"/>
    <cellStyle name="Comma 5 3 3 5 2 4" xfId="17992"/>
    <cellStyle name="Comma 5 3 3 5 3" xfId="5305"/>
    <cellStyle name="Comma 5 3 3 5 3 2" xfId="14144"/>
    <cellStyle name="Comma 5 3 3 5 3 2 2" xfId="24395"/>
    <cellStyle name="Comma 5 3 3 5 3 3" xfId="10565"/>
    <cellStyle name="Comma 5 3 3 5 3 4" xfId="19388"/>
    <cellStyle name="Comma 5 3 3 5 4" xfId="1816"/>
    <cellStyle name="Comma 5 3 3 5 4 2" xfId="11186"/>
    <cellStyle name="Comma 5 3 3 5 4 3" xfId="21190"/>
    <cellStyle name="Comma 5 3 3 5 5" xfId="6762"/>
    <cellStyle name="Comma 5 3 3 5 5 2" xfId="15589"/>
    <cellStyle name="Comma 5 3 3 5 5 3" xfId="25840"/>
    <cellStyle name="Comma 5 3 3 5 6" xfId="8208"/>
    <cellStyle name="Comma 5 3 3 5 6 2" xfId="20598"/>
    <cellStyle name="Comma 5 3 3 5 7" xfId="16183"/>
    <cellStyle name="Comma 5 3 3 6" xfId="2710"/>
    <cellStyle name="Comma 5 3 3 6 2" xfId="12029"/>
    <cellStyle name="Comma 5 3 3 6 2 2" xfId="22073"/>
    <cellStyle name="Comma 5 3 3 6 3" xfId="8641"/>
    <cellStyle name="Comma 5 3 3 6 4" xfId="17066"/>
    <cellStyle name="Comma 5 3 3 7" xfId="4261"/>
    <cellStyle name="Comma 5 3 3 7 2" xfId="13101"/>
    <cellStyle name="Comma 5 3 3 7 2 2" xfId="23352"/>
    <cellStyle name="Comma 5 3 3 7 3" xfId="9522"/>
    <cellStyle name="Comma 5 3 3 7 4" xfId="18345"/>
    <cellStyle name="Comma 5 3 3 8" xfId="1533"/>
    <cellStyle name="Comma 5 3 3 8 2" xfId="10912"/>
    <cellStyle name="Comma 5 3 3 8 3" xfId="20916"/>
    <cellStyle name="Comma 5 3 3 9" xfId="5719"/>
    <cellStyle name="Comma 5 3 3 9 2" xfId="14546"/>
    <cellStyle name="Comma 5 3 3 9 3" xfId="24797"/>
    <cellStyle name="Comma 5 3 4" xfId="248"/>
    <cellStyle name="Comma 5 3 4 10" xfId="7090"/>
    <cellStyle name="Comma 5 3 4 10 2" xfId="19704"/>
    <cellStyle name="Comma 5 3 4 11" xfId="15836"/>
    <cellStyle name="Comma 5 3 4 2" xfId="571"/>
    <cellStyle name="Comma 5 3 4 2 2" xfId="671"/>
    <cellStyle name="Comma 5 3 4 2 2 2" xfId="3159"/>
    <cellStyle name="Comma 5 3 4 2 2 2 2" xfId="12304"/>
    <cellStyle name="Comma 5 3 4 2 2 2 2 2" xfId="22522"/>
    <cellStyle name="Comma 5 3 4 2 2 2 3" xfId="8726"/>
    <cellStyle name="Comma 5 3 4 2 2 2 4" xfId="17515"/>
    <cellStyle name="Comma 5 3 4 2 2 3" xfId="4488"/>
    <cellStyle name="Comma 5 3 4 2 2 3 2" xfId="13328"/>
    <cellStyle name="Comma 5 3 4 2 2 3 2 2" xfId="23579"/>
    <cellStyle name="Comma 5 3 4 2 2 3 3" xfId="9749"/>
    <cellStyle name="Comma 5 3 4 2 2 3 4" xfId="18572"/>
    <cellStyle name="Comma 5 3 4 2 2 4" xfId="2268"/>
    <cellStyle name="Comma 5 3 4 2 2 4 2" xfId="11635"/>
    <cellStyle name="Comma 5 3 4 2 2 4 3" xfId="21639"/>
    <cellStyle name="Comma 5 3 4 2 2 5" xfId="5946"/>
    <cellStyle name="Comma 5 3 4 2 2 5 2" xfId="14773"/>
    <cellStyle name="Comma 5 3 4 2 2 5 3" xfId="25024"/>
    <cellStyle name="Comma 5 3 4 2 2 6" xfId="7390"/>
    <cellStyle name="Comma 5 3 4 2 2 6 2" xfId="20121"/>
    <cellStyle name="Comma 5 3 4 2 2 7" xfId="16632"/>
    <cellStyle name="Comma 5 3 4 2 3" xfId="1343"/>
    <cellStyle name="Comma 5 3 4 2 3 2" xfId="3774"/>
    <cellStyle name="Comma 5 3 4 2 3 2 2" xfId="12912"/>
    <cellStyle name="Comma 5 3 4 2 3 2 2 2" xfId="23131"/>
    <cellStyle name="Comma 5 3 4 2 3 2 3" xfId="9333"/>
    <cellStyle name="Comma 5 3 4 2 3 2 4" xfId="18124"/>
    <cellStyle name="Comma 5 3 4 2 3 3" xfId="4837"/>
    <cellStyle name="Comma 5 3 4 2 3 3 2" xfId="13676"/>
    <cellStyle name="Comma 5 3 4 2 3 3 2 2" xfId="23927"/>
    <cellStyle name="Comma 5 3 4 2 3 3 3" xfId="10097"/>
    <cellStyle name="Comma 5 3 4 2 3 3 4" xfId="18920"/>
    <cellStyle name="Comma 5 3 4 2 3 4" xfId="2168"/>
    <cellStyle name="Comma 5 3 4 2 3 4 2" xfId="11535"/>
    <cellStyle name="Comma 5 3 4 2 3 4 3" xfId="21539"/>
    <cellStyle name="Comma 5 3 4 2 3 5" xfId="6294"/>
    <cellStyle name="Comma 5 3 4 2 3 5 2" xfId="15121"/>
    <cellStyle name="Comma 5 3 4 2 3 5 3" xfId="25372"/>
    <cellStyle name="Comma 5 3 4 2 3 6" xfId="7740"/>
    <cellStyle name="Comma 5 3 4 2 3 6 2" xfId="20730"/>
    <cellStyle name="Comma 5 3 4 2 3 7" xfId="16532"/>
    <cellStyle name="Comma 5 3 4 2 4" xfId="3059"/>
    <cellStyle name="Comma 5 3 4 2 4 2" xfId="5437"/>
    <cellStyle name="Comma 5 3 4 2 4 2 2" xfId="14276"/>
    <cellStyle name="Comma 5 3 4 2 4 2 2 2" xfId="24527"/>
    <cellStyle name="Comma 5 3 4 2 4 2 3" xfId="10697"/>
    <cellStyle name="Comma 5 3 4 2 4 2 4" xfId="19520"/>
    <cellStyle name="Comma 5 3 4 2 4 3" xfId="6894"/>
    <cellStyle name="Comma 5 3 4 2 4 3 2" xfId="15721"/>
    <cellStyle name="Comma 5 3 4 2 4 3 3" xfId="25972"/>
    <cellStyle name="Comma 5 3 4 2 4 4" xfId="8340"/>
    <cellStyle name="Comma 5 3 4 2 4 4 2" xfId="22422"/>
    <cellStyle name="Comma 5 3 4 2 4 5" xfId="17415"/>
    <cellStyle name="Comma 5 3 4 2 5" xfId="4393"/>
    <cellStyle name="Comma 5 3 4 2 5 2" xfId="13233"/>
    <cellStyle name="Comma 5 3 4 2 5 2 2" xfId="23484"/>
    <cellStyle name="Comma 5 3 4 2 5 3" xfId="9654"/>
    <cellStyle name="Comma 5 3 4 2 5 4" xfId="18477"/>
    <cellStyle name="Comma 5 3 4 2 6" xfId="1665"/>
    <cellStyle name="Comma 5 3 4 2 6 2" xfId="11044"/>
    <cellStyle name="Comma 5 3 4 2 6 3" xfId="21048"/>
    <cellStyle name="Comma 5 3 4 2 7" xfId="5851"/>
    <cellStyle name="Comma 5 3 4 2 7 2" xfId="14678"/>
    <cellStyle name="Comma 5 3 4 2 7 3" xfId="24929"/>
    <cellStyle name="Comma 5 3 4 2 8" xfId="7295"/>
    <cellStyle name="Comma 5 3 4 2 8 2" xfId="20021"/>
    <cellStyle name="Comma 5 3 4 2 9" xfId="16041"/>
    <cellStyle name="Comma 5 3 4 3" xfId="366"/>
    <cellStyle name="Comma 5 3 4 3 2" xfId="2854"/>
    <cellStyle name="Comma 5 3 4 3 2 2" xfId="12144"/>
    <cellStyle name="Comma 5 3 4 3 2 2 2" xfId="22217"/>
    <cellStyle name="Comma 5 3 4 3 2 3" xfId="8480"/>
    <cellStyle name="Comma 5 3 4 3 2 4" xfId="17210"/>
    <cellStyle name="Comma 5 3 4 3 3" xfId="4487"/>
    <cellStyle name="Comma 5 3 4 3 3 2" xfId="13327"/>
    <cellStyle name="Comma 5 3 4 3 3 2 2" xfId="23578"/>
    <cellStyle name="Comma 5 3 4 3 3 3" xfId="9748"/>
    <cellStyle name="Comma 5 3 4 3 3 4" xfId="18571"/>
    <cellStyle name="Comma 5 3 4 3 4" xfId="1963"/>
    <cellStyle name="Comma 5 3 4 3 4 2" xfId="11330"/>
    <cellStyle name="Comma 5 3 4 3 4 3" xfId="21334"/>
    <cellStyle name="Comma 5 3 4 3 5" xfId="5945"/>
    <cellStyle name="Comma 5 3 4 3 5 2" xfId="14772"/>
    <cellStyle name="Comma 5 3 4 3 5 3" xfId="25023"/>
    <cellStyle name="Comma 5 3 4 3 6" xfId="7389"/>
    <cellStyle name="Comma 5 3 4 3 6 2" xfId="19816"/>
    <cellStyle name="Comma 5 3 4 3 7" xfId="16327"/>
    <cellStyle name="Comma 5 3 4 4" xfId="670"/>
    <cellStyle name="Comma 5 3 4 4 2" xfId="3158"/>
    <cellStyle name="Comma 5 3 4 4 2 2" xfId="12303"/>
    <cellStyle name="Comma 5 3 4 4 2 2 2" xfId="22521"/>
    <cellStyle name="Comma 5 3 4 4 2 3" xfId="8725"/>
    <cellStyle name="Comma 5 3 4 4 2 4" xfId="17514"/>
    <cellStyle name="Comma 5 3 4 4 3" xfId="4836"/>
    <cellStyle name="Comma 5 3 4 4 3 2" xfId="13675"/>
    <cellStyle name="Comma 5 3 4 4 3 2 2" xfId="23926"/>
    <cellStyle name="Comma 5 3 4 4 3 3" xfId="10096"/>
    <cellStyle name="Comma 5 3 4 4 3 4" xfId="18919"/>
    <cellStyle name="Comma 5 3 4 4 4" xfId="2267"/>
    <cellStyle name="Comma 5 3 4 4 4 2" xfId="11634"/>
    <cellStyle name="Comma 5 3 4 4 4 3" xfId="21638"/>
    <cellStyle name="Comma 5 3 4 4 5" xfId="6293"/>
    <cellStyle name="Comma 5 3 4 4 5 2" xfId="15120"/>
    <cellStyle name="Comma 5 3 4 4 5 3" xfId="25371"/>
    <cellStyle name="Comma 5 3 4 4 6" xfId="7739"/>
    <cellStyle name="Comma 5 3 4 4 6 2" xfId="20120"/>
    <cellStyle name="Comma 5 3 4 4 7" xfId="16631"/>
    <cellStyle name="Comma 5 3 4 5" xfId="1138"/>
    <cellStyle name="Comma 5 3 4 5 2" xfId="3569"/>
    <cellStyle name="Comma 5 3 4 5 2 2" xfId="12707"/>
    <cellStyle name="Comma 5 3 4 5 2 2 2" xfId="22926"/>
    <cellStyle name="Comma 5 3 4 5 2 3" xfId="9128"/>
    <cellStyle name="Comma 5 3 4 5 2 4" xfId="17919"/>
    <cellStyle name="Comma 5 3 4 5 3" xfId="5232"/>
    <cellStyle name="Comma 5 3 4 5 3 2" xfId="14071"/>
    <cellStyle name="Comma 5 3 4 5 3 2 2" xfId="24322"/>
    <cellStyle name="Comma 5 3 4 5 3 3" xfId="10492"/>
    <cellStyle name="Comma 5 3 4 5 3 4" xfId="19315"/>
    <cellStyle name="Comma 5 3 4 5 4" xfId="1848"/>
    <cellStyle name="Comma 5 3 4 5 4 2" xfId="11218"/>
    <cellStyle name="Comma 5 3 4 5 4 3" xfId="21222"/>
    <cellStyle name="Comma 5 3 4 5 5" xfId="6689"/>
    <cellStyle name="Comma 5 3 4 5 5 2" xfId="15516"/>
    <cellStyle name="Comma 5 3 4 5 5 3" xfId="25767"/>
    <cellStyle name="Comma 5 3 4 5 6" xfId="8135"/>
    <cellStyle name="Comma 5 3 4 5 6 2" xfId="20525"/>
    <cellStyle name="Comma 5 3 4 5 7" xfId="16215"/>
    <cellStyle name="Comma 5 3 4 6" xfId="2742"/>
    <cellStyle name="Comma 5 3 4 6 2" xfId="12061"/>
    <cellStyle name="Comma 5 3 4 6 2 2" xfId="22105"/>
    <cellStyle name="Comma 5 3 4 6 3" xfId="8638"/>
    <cellStyle name="Comma 5 3 4 6 4" xfId="17098"/>
    <cellStyle name="Comma 5 3 4 7" xfId="4188"/>
    <cellStyle name="Comma 5 3 4 7 2" xfId="13028"/>
    <cellStyle name="Comma 5 3 4 7 2 2" xfId="23279"/>
    <cellStyle name="Comma 5 3 4 7 3" xfId="9449"/>
    <cellStyle name="Comma 5 3 4 7 4" xfId="18272"/>
    <cellStyle name="Comma 5 3 4 8" xfId="1460"/>
    <cellStyle name="Comma 5 3 4 8 2" xfId="10839"/>
    <cellStyle name="Comma 5 3 4 8 3" xfId="20843"/>
    <cellStyle name="Comma 5 3 4 9" xfId="5646"/>
    <cellStyle name="Comma 5 3 4 9 2" xfId="14473"/>
    <cellStyle name="Comma 5 3 4 9 3" xfId="24724"/>
    <cellStyle name="Comma 5 3 5" xfId="466"/>
    <cellStyle name="Comma 5 3 5 2" xfId="672"/>
    <cellStyle name="Comma 5 3 5 2 2" xfId="3160"/>
    <cellStyle name="Comma 5 3 5 2 2 2" xfId="12305"/>
    <cellStyle name="Comma 5 3 5 2 2 2 2" xfId="22523"/>
    <cellStyle name="Comma 5 3 5 2 2 3" xfId="8727"/>
    <cellStyle name="Comma 5 3 5 2 2 4" xfId="17516"/>
    <cellStyle name="Comma 5 3 5 2 3" xfId="4489"/>
    <cellStyle name="Comma 5 3 5 2 3 2" xfId="13329"/>
    <cellStyle name="Comma 5 3 5 2 3 2 2" xfId="23580"/>
    <cellStyle name="Comma 5 3 5 2 3 3" xfId="9750"/>
    <cellStyle name="Comma 5 3 5 2 3 4" xfId="18573"/>
    <cellStyle name="Comma 5 3 5 2 4" xfId="2269"/>
    <cellStyle name="Comma 5 3 5 2 4 2" xfId="11636"/>
    <cellStyle name="Comma 5 3 5 2 4 3" xfId="21640"/>
    <cellStyle name="Comma 5 3 5 2 5" xfId="5947"/>
    <cellStyle name="Comma 5 3 5 2 5 2" xfId="14774"/>
    <cellStyle name="Comma 5 3 5 2 5 3" xfId="25025"/>
    <cellStyle name="Comma 5 3 5 2 6" xfId="7391"/>
    <cellStyle name="Comma 5 3 5 2 6 2" xfId="20122"/>
    <cellStyle name="Comma 5 3 5 2 7" xfId="16633"/>
    <cellStyle name="Comma 5 3 5 3" xfId="1238"/>
    <cellStyle name="Comma 5 3 5 3 2" xfId="3669"/>
    <cellStyle name="Comma 5 3 5 3 2 2" xfId="12807"/>
    <cellStyle name="Comma 5 3 5 3 2 2 2" xfId="23026"/>
    <cellStyle name="Comma 5 3 5 3 2 3" xfId="9228"/>
    <cellStyle name="Comma 5 3 5 3 2 4" xfId="18019"/>
    <cellStyle name="Comma 5 3 5 3 3" xfId="4838"/>
    <cellStyle name="Comma 5 3 5 3 3 2" xfId="13677"/>
    <cellStyle name="Comma 5 3 5 3 3 2 2" xfId="23928"/>
    <cellStyle name="Comma 5 3 5 3 3 3" xfId="10098"/>
    <cellStyle name="Comma 5 3 5 3 3 4" xfId="18921"/>
    <cellStyle name="Comma 5 3 5 3 4" xfId="2063"/>
    <cellStyle name="Comma 5 3 5 3 4 2" xfId="11430"/>
    <cellStyle name="Comma 5 3 5 3 4 3" xfId="21434"/>
    <cellStyle name="Comma 5 3 5 3 5" xfId="6295"/>
    <cellStyle name="Comma 5 3 5 3 5 2" xfId="15122"/>
    <cellStyle name="Comma 5 3 5 3 5 3" xfId="25373"/>
    <cellStyle name="Comma 5 3 5 3 6" xfId="7741"/>
    <cellStyle name="Comma 5 3 5 3 6 2" xfId="20625"/>
    <cellStyle name="Comma 5 3 5 3 7" xfId="16427"/>
    <cellStyle name="Comma 5 3 5 4" xfId="2954"/>
    <cellStyle name="Comma 5 3 5 4 2" xfId="5332"/>
    <cellStyle name="Comma 5 3 5 4 2 2" xfId="14171"/>
    <cellStyle name="Comma 5 3 5 4 2 2 2" xfId="24422"/>
    <cellStyle name="Comma 5 3 5 4 2 3" xfId="10592"/>
    <cellStyle name="Comma 5 3 5 4 2 4" xfId="19415"/>
    <cellStyle name="Comma 5 3 5 4 3" xfId="6789"/>
    <cellStyle name="Comma 5 3 5 4 3 2" xfId="15616"/>
    <cellStyle name="Comma 5 3 5 4 3 3" xfId="25867"/>
    <cellStyle name="Comma 5 3 5 4 4" xfId="8235"/>
    <cellStyle name="Comma 5 3 5 4 4 2" xfId="22317"/>
    <cellStyle name="Comma 5 3 5 4 5" xfId="17310"/>
    <cellStyle name="Comma 5 3 5 5" xfId="4288"/>
    <cellStyle name="Comma 5 3 5 5 2" xfId="13128"/>
    <cellStyle name="Comma 5 3 5 5 2 2" xfId="23379"/>
    <cellStyle name="Comma 5 3 5 5 3" xfId="9549"/>
    <cellStyle name="Comma 5 3 5 5 4" xfId="18372"/>
    <cellStyle name="Comma 5 3 5 6" xfId="1560"/>
    <cellStyle name="Comma 5 3 5 6 2" xfId="10939"/>
    <cellStyle name="Comma 5 3 5 6 3" xfId="20943"/>
    <cellStyle name="Comma 5 3 5 7" xfId="5746"/>
    <cellStyle name="Comma 5 3 5 7 2" xfId="14573"/>
    <cellStyle name="Comma 5 3 5 7 3" xfId="24824"/>
    <cellStyle name="Comma 5 3 5 8" xfId="7190"/>
    <cellStyle name="Comma 5 3 5 8 2" xfId="19916"/>
    <cellStyle name="Comma 5 3 5 9" xfId="15936"/>
    <cellStyle name="Comma 5 3 6" xfId="339"/>
    <cellStyle name="Comma 5 3 6 2" xfId="673"/>
    <cellStyle name="Comma 5 3 6 2 2" xfId="3161"/>
    <cellStyle name="Comma 5 3 6 2 2 2" xfId="12306"/>
    <cellStyle name="Comma 5 3 6 2 2 2 2" xfId="22524"/>
    <cellStyle name="Comma 5 3 6 2 2 3" xfId="8728"/>
    <cellStyle name="Comma 5 3 6 2 2 4" xfId="17517"/>
    <cellStyle name="Comma 5 3 6 2 3" xfId="4490"/>
    <cellStyle name="Comma 5 3 6 2 3 2" xfId="13330"/>
    <cellStyle name="Comma 5 3 6 2 3 2 2" xfId="23581"/>
    <cellStyle name="Comma 5 3 6 2 3 3" xfId="9751"/>
    <cellStyle name="Comma 5 3 6 2 3 4" xfId="18574"/>
    <cellStyle name="Comma 5 3 6 2 4" xfId="2270"/>
    <cellStyle name="Comma 5 3 6 2 4 2" xfId="11637"/>
    <cellStyle name="Comma 5 3 6 2 4 3" xfId="21641"/>
    <cellStyle name="Comma 5 3 6 2 5" xfId="5948"/>
    <cellStyle name="Comma 5 3 6 2 5 2" xfId="14775"/>
    <cellStyle name="Comma 5 3 6 2 5 3" xfId="25026"/>
    <cellStyle name="Comma 5 3 6 2 6" xfId="7392"/>
    <cellStyle name="Comma 5 3 6 2 6 2" xfId="20123"/>
    <cellStyle name="Comma 5 3 6 2 7" xfId="16634"/>
    <cellStyle name="Comma 5 3 6 3" xfId="1111"/>
    <cellStyle name="Comma 5 3 6 3 2" xfId="3542"/>
    <cellStyle name="Comma 5 3 6 3 2 2" xfId="12680"/>
    <cellStyle name="Comma 5 3 6 3 2 2 2" xfId="22899"/>
    <cellStyle name="Comma 5 3 6 3 2 3" xfId="9101"/>
    <cellStyle name="Comma 5 3 6 3 2 4" xfId="17892"/>
    <cellStyle name="Comma 5 3 6 3 3" xfId="4839"/>
    <cellStyle name="Comma 5 3 6 3 3 2" xfId="13678"/>
    <cellStyle name="Comma 5 3 6 3 3 2 2" xfId="23929"/>
    <cellStyle name="Comma 5 3 6 3 3 3" xfId="10099"/>
    <cellStyle name="Comma 5 3 6 3 3 4" xfId="18922"/>
    <cellStyle name="Comma 5 3 6 3 4" xfId="2600"/>
    <cellStyle name="Comma 5 3 6 3 4 2" xfId="11966"/>
    <cellStyle name="Comma 5 3 6 3 4 3" xfId="21970"/>
    <cellStyle name="Comma 5 3 6 3 5" xfId="6296"/>
    <cellStyle name="Comma 5 3 6 3 5 2" xfId="15123"/>
    <cellStyle name="Comma 5 3 6 3 5 3" xfId="25374"/>
    <cellStyle name="Comma 5 3 6 3 6" xfId="7742"/>
    <cellStyle name="Comma 5 3 6 3 6 2" xfId="20498"/>
    <cellStyle name="Comma 5 3 6 3 7" xfId="16963"/>
    <cellStyle name="Comma 5 3 6 4" xfId="2827"/>
    <cellStyle name="Comma 5 3 6 4 2" xfId="5205"/>
    <cellStyle name="Comma 5 3 6 4 2 2" xfId="14044"/>
    <cellStyle name="Comma 5 3 6 4 2 2 2" xfId="24295"/>
    <cellStyle name="Comma 5 3 6 4 2 3" xfId="10465"/>
    <cellStyle name="Comma 5 3 6 4 2 4" xfId="19288"/>
    <cellStyle name="Comma 5 3 6 4 3" xfId="6662"/>
    <cellStyle name="Comma 5 3 6 4 3 2" xfId="15489"/>
    <cellStyle name="Comma 5 3 6 4 3 3" xfId="25740"/>
    <cellStyle name="Comma 5 3 6 4 4" xfId="8108"/>
    <cellStyle name="Comma 5 3 6 4 4 2" xfId="22190"/>
    <cellStyle name="Comma 5 3 6 4 5" xfId="17183"/>
    <cellStyle name="Comma 5 3 6 5" xfId="4159"/>
    <cellStyle name="Comma 5 3 6 5 2" xfId="12999"/>
    <cellStyle name="Comma 5 3 6 5 2 2" xfId="23250"/>
    <cellStyle name="Comma 5 3 6 5 3" xfId="9420"/>
    <cellStyle name="Comma 5 3 6 5 4" xfId="18243"/>
    <cellStyle name="Comma 5 3 6 6" xfId="1936"/>
    <cellStyle name="Comma 5 3 6 6 2" xfId="11303"/>
    <cellStyle name="Comma 5 3 6 6 3" xfId="21307"/>
    <cellStyle name="Comma 5 3 6 7" xfId="5619"/>
    <cellStyle name="Comma 5 3 6 7 2" xfId="14446"/>
    <cellStyle name="Comma 5 3 6 7 3" xfId="24697"/>
    <cellStyle name="Comma 5 3 6 8" xfId="7063"/>
    <cellStyle name="Comma 5 3 6 8 2" xfId="19789"/>
    <cellStyle name="Comma 5 3 6 9" xfId="16300"/>
    <cellStyle name="Comma 5 3 7" xfId="664"/>
    <cellStyle name="Comma 5 3 7 2" xfId="3152"/>
    <cellStyle name="Comma 5 3 7 2 2" xfId="12297"/>
    <cellStyle name="Comma 5 3 7 2 2 2" xfId="22515"/>
    <cellStyle name="Comma 5 3 7 2 3" xfId="8719"/>
    <cellStyle name="Comma 5 3 7 2 4" xfId="17508"/>
    <cellStyle name="Comma 5 3 7 3" xfId="4481"/>
    <cellStyle name="Comma 5 3 7 3 2" xfId="13321"/>
    <cellStyle name="Comma 5 3 7 3 2 2" xfId="23572"/>
    <cellStyle name="Comma 5 3 7 3 3" xfId="9742"/>
    <cellStyle name="Comma 5 3 7 3 4" xfId="18565"/>
    <cellStyle name="Comma 5 3 7 4" xfId="2261"/>
    <cellStyle name="Comma 5 3 7 4 2" xfId="11628"/>
    <cellStyle name="Comma 5 3 7 4 3" xfId="21632"/>
    <cellStyle name="Comma 5 3 7 5" xfId="5939"/>
    <cellStyle name="Comma 5 3 7 5 2" xfId="14766"/>
    <cellStyle name="Comma 5 3 7 5 3" xfId="25017"/>
    <cellStyle name="Comma 5 3 7 6" xfId="7383"/>
    <cellStyle name="Comma 5 3 7 6 2" xfId="20114"/>
    <cellStyle name="Comma 5 3 7 7" xfId="16625"/>
    <cellStyle name="Comma 5 3 8" xfId="1066"/>
    <cellStyle name="Comma 5 3 8 2" xfId="3497"/>
    <cellStyle name="Comma 5 3 8 2 2" xfId="12635"/>
    <cellStyle name="Comma 5 3 8 2 2 2" xfId="22854"/>
    <cellStyle name="Comma 5 3 8 2 3" xfId="9057"/>
    <cellStyle name="Comma 5 3 8 2 4" xfId="17847"/>
    <cellStyle name="Comma 5 3 8 3" xfId="4830"/>
    <cellStyle name="Comma 5 3 8 3 2" xfId="13669"/>
    <cellStyle name="Comma 5 3 8 3 2 2" xfId="23920"/>
    <cellStyle name="Comma 5 3 8 3 3" xfId="10090"/>
    <cellStyle name="Comma 5 3 8 3 4" xfId="18913"/>
    <cellStyle name="Comma 5 3 8 4" xfId="1736"/>
    <cellStyle name="Comma 5 3 8 4 2" xfId="11112"/>
    <cellStyle name="Comma 5 3 8 4 3" xfId="21116"/>
    <cellStyle name="Comma 5 3 8 5" xfId="6287"/>
    <cellStyle name="Comma 5 3 8 5 2" xfId="15114"/>
    <cellStyle name="Comma 5 3 8 5 3" xfId="25365"/>
    <cellStyle name="Comma 5 3 8 6" xfId="7733"/>
    <cellStyle name="Comma 5 3 8 6 2" xfId="20453"/>
    <cellStyle name="Comma 5 3 8 7" xfId="16109"/>
    <cellStyle name="Comma 5 3 9" xfId="2634"/>
    <cellStyle name="Comma 5 3 9 2" xfId="5160"/>
    <cellStyle name="Comma 5 3 9 2 2" xfId="13999"/>
    <cellStyle name="Comma 5 3 9 2 2 2" xfId="24250"/>
    <cellStyle name="Comma 5 3 9 2 3" xfId="10420"/>
    <cellStyle name="Comma 5 3 9 2 4" xfId="19243"/>
    <cellStyle name="Comma 5 3 9 3" xfId="6617"/>
    <cellStyle name="Comma 5 3 9 3 2" xfId="15444"/>
    <cellStyle name="Comma 5 3 9 3 3" xfId="25695"/>
    <cellStyle name="Comma 5 3 9 4" xfId="8063"/>
    <cellStyle name="Comma 5 3 9 4 2" xfId="21999"/>
    <cellStyle name="Comma 5 3 9 5" xfId="16992"/>
    <cellStyle name="Comma 5 4" xfId="134"/>
    <cellStyle name="Comma 5 4 10" xfId="4122"/>
    <cellStyle name="Comma 5 4 10 2" xfId="5582"/>
    <cellStyle name="Comma 5 4 10 2 2" xfId="14409"/>
    <cellStyle name="Comma 5 4 10 2 3" xfId="24660"/>
    <cellStyle name="Comma 5 4 10 3" xfId="7026"/>
    <cellStyle name="Comma 5 4 10 3 2" xfId="23213"/>
    <cellStyle name="Comma 5 4 10 4" xfId="18206"/>
    <cellStyle name="Comma 5 4 11" xfId="1441"/>
    <cellStyle name="Comma 5 4 11 2" xfId="10820"/>
    <cellStyle name="Comma 5 4 11 3" xfId="20824"/>
    <cellStyle name="Comma 5 4 12" xfId="5550"/>
    <cellStyle name="Comma 5 4 12 2" xfId="14379"/>
    <cellStyle name="Comma 5 4 12 3" xfId="24630"/>
    <cellStyle name="Comma 5 4 13" xfId="6996"/>
    <cellStyle name="Comma 5 4 13 2" xfId="19605"/>
    <cellStyle name="Comma 5 4 14" xfId="15817"/>
    <cellStyle name="Comma 5 4 2" xfId="174"/>
    <cellStyle name="Comma 5 4 2 10" xfId="5684"/>
    <cellStyle name="Comma 5 4 2 10 2" xfId="14511"/>
    <cellStyle name="Comma 5 4 2 10 3" xfId="24762"/>
    <cellStyle name="Comma 5 4 2 11" xfId="7128"/>
    <cellStyle name="Comma 5 4 2 11 2" xfId="19637"/>
    <cellStyle name="Comma 5 4 2 12" xfId="15874"/>
    <cellStyle name="Comma 5 4 2 2" xfId="286"/>
    <cellStyle name="Comma 5 4 2 2 10" xfId="16078"/>
    <cellStyle name="Comma 5 4 2 2 2" xfId="608"/>
    <cellStyle name="Comma 5 4 2 2 2 2" xfId="3096"/>
    <cellStyle name="Comma 5 4 2 2 2 2 2" xfId="12241"/>
    <cellStyle name="Comma 5 4 2 2 2 2 2 2" xfId="22459"/>
    <cellStyle name="Comma 5 4 2 2 2 2 3" xfId="8663"/>
    <cellStyle name="Comma 5 4 2 2 2 2 4" xfId="17452"/>
    <cellStyle name="Comma 5 4 2 2 2 3" xfId="4493"/>
    <cellStyle name="Comma 5 4 2 2 2 3 2" xfId="13333"/>
    <cellStyle name="Comma 5 4 2 2 2 3 2 2" xfId="23584"/>
    <cellStyle name="Comma 5 4 2 2 2 3 3" xfId="9754"/>
    <cellStyle name="Comma 5 4 2 2 2 3 4" xfId="18577"/>
    <cellStyle name="Comma 5 4 2 2 2 4" xfId="2205"/>
    <cellStyle name="Comma 5 4 2 2 2 4 2" xfId="11572"/>
    <cellStyle name="Comma 5 4 2 2 2 4 3" xfId="21576"/>
    <cellStyle name="Comma 5 4 2 2 2 5" xfId="5951"/>
    <cellStyle name="Comma 5 4 2 2 2 5 2" xfId="14778"/>
    <cellStyle name="Comma 5 4 2 2 2 5 3" xfId="25029"/>
    <cellStyle name="Comma 5 4 2 2 2 6" xfId="7395"/>
    <cellStyle name="Comma 5 4 2 2 2 6 2" xfId="20058"/>
    <cellStyle name="Comma 5 4 2 2 2 7" xfId="16569"/>
    <cellStyle name="Comma 5 4 2 2 3" xfId="676"/>
    <cellStyle name="Comma 5 4 2 2 3 2" xfId="3164"/>
    <cellStyle name="Comma 5 4 2 2 3 2 2" xfId="12309"/>
    <cellStyle name="Comma 5 4 2 2 3 2 2 2" xfId="22527"/>
    <cellStyle name="Comma 5 4 2 2 3 2 3" xfId="8731"/>
    <cellStyle name="Comma 5 4 2 2 3 2 4" xfId="17520"/>
    <cellStyle name="Comma 5 4 2 2 3 3" xfId="4842"/>
    <cellStyle name="Comma 5 4 2 2 3 3 2" xfId="13681"/>
    <cellStyle name="Comma 5 4 2 2 3 3 2 2" xfId="23932"/>
    <cellStyle name="Comma 5 4 2 2 3 3 3" xfId="10102"/>
    <cellStyle name="Comma 5 4 2 2 3 3 4" xfId="18925"/>
    <cellStyle name="Comma 5 4 2 2 3 4" xfId="2273"/>
    <cellStyle name="Comma 5 4 2 2 3 4 2" xfId="11640"/>
    <cellStyle name="Comma 5 4 2 2 3 4 3" xfId="21644"/>
    <cellStyle name="Comma 5 4 2 2 3 5" xfId="6299"/>
    <cellStyle name="Comma 5 4 2 2 3 5 2" xfId="15126"/>
    <cellStyle name="Comma 5 4 2 2 3 5 3" xfId="25377"/>
    <cellStyle name="Comma 5 4 2 2 3 6" xfId="7745"/>
    <cellStyle name="Comma 5 4 2 2 3 6 2" xfId="20126"/>
    <cellStyle name="Comma 5 4 2 2 3 7" xfId="16637"/>
    <cellStyle name="Comma 5 4 2 2 4" xfId="1380"/>
    <cellStyle name="Comma 5 4 2 2 4 2" xfId="3811"/>
    <cellStyle name="Comma 5 4 2 2 4 2 2" xfId="12949"/>
    <cellStyle name="Comma 5 4 2 2 4 2 2 2" xfId="23168"/>
    <cellStyle name="Comma 5 4 2 2 4 2 3" xfId="9370"/>
    <cellStyle name="Comma 5 4 2 2 4 2 4" xfId="18161"/>
    <cellStyle name="Comma 5 4 2 2 4 3" xfId="5474"/>
    <cellStyle name="Comma 5 4 2 2 4 3 2" xfId="14313"/>
    <cellStyle name="Comma 5 4 2 2 4 3 2 2" xfId="24564"/>
    <cellStyle name="Comma 5 4 2 2 4 3 3" xfId="10734"/>
    <cellStyle name="Comma 5 4 2 2 4 3 4" xfId="19557"/>
    <cellStyle name="Comma 5 4 2 2 4 4" xfId="1885"/>
    <cellStyle name="Comma 5 4 2 2 4 4 2" xfId="11255"/>
    <cellStyle name="Comma 5 4 2 2 4 4 3" xfId="21259"/>
    <cellStyle name="Comma 5 4 2 2 4 5" xfId="6931"/>
    <cellStyle name="Comma 5 4 2 2 4 5 2" xfId="15758"/>
    <cellStyle name="Comma 5 4 2 2 4 5 3" xfId="26009"/>
    <cellStyle name="Comma 5 4 2 2 4 6" xfId="8377"/>
    <cellStyle name="Comma 5 4 2 2 4 6 2" xfId="20767"/>
    <cellStyle name="Comma 5 4 2 2 4 7" xfId="16252"/>
    <cellStyle name="Comma 5 4 2 2 5" xfId="2779"/>
    <cellStyle name="Comma 5 4 2 2 5 2" xfId="12098"/>
    <cellStyle name="Comma 5 4 2 2 5 2 2" xfId="22142"/>
    <cellStyle name="Comma 5 4 2 2 5 3" xfId="8490"/>
    <cellStyle name="Comma 5 4 2 2 5 4" xfId="17135"/>
    <cellStyle name="Comma 5 4 2 2 6" xfId="4430"/>
    <cellStyle name="Comma 5 4 2 2 6 2" xfId="13270"/>
    <cellStyle name="Comma 5 4 2 2 6 2 2" xfId="23521"/>
    <cellStyle name="Comma 5 4 2 2 6 3" xfId="9691"/>
    <cellStyle name="Comma 5 4 2 2 6 4" xfId="18514"/>
    <cellStyle name="Comma 5 4 2 2 7" xfId="1702"/>
    <cellStyle name="Comma 5 4 2 2 7 2" xfId="11081"/>
    <cellStyle name="Comma 5 4 2 2 7 3" xfId="21085"/>
    <cellStyle name="Comma 5 4 2 2 8" xfId="5888"/>
    <cellStyle name="Comma 5 4 2 2 8 2" xfId="14715"/>
    <cellStyle name="Comma 5 4 2 2 8 3" xfId="24966"/>
    <cellStyle name="Comma 5 4 2 2 9" xfId="7332"/>
    <cellStyle name="Comma 5 4 2 2 9 2" xfId="19741"/>
    <cellStyle name="Comma 5 4 2 3" xfId="504"/>
    <cellStyle name="Comma 5 4 2 3 2" xfId="677"/>
    <cellStyle name="Comma 5 4 2 3 2 2" xfId="3165"/>
    <cellStyle name="Comma 5 4 2 3 2 2 2" xfId="12310"/>
    <cellStyle name="Comma 5 4 2 3 2 2 2 2" xfId="22528"/>
    <cellStyle name="Comma 5 4 2 3 2 2 3" xfId="8732"/>
    <cellStyle name="Comma 5 4 2 3 2 2 4" xfId="17521"/>
    <cellStyle name="Comma 5 4 2 3 2 3" xfId="4494"/>
    <cellStyle name="Comma 5 4 2 3 2 3 2" xfId="13334"/>
    <cellStyle name="Comma 5 4 2 3 2 3 2 2" xfId="23585"/>
    <cellStyle name="Comma 5 4 2 3 2 3 3" xfId="9755"/>
    <cellStyle name="Comma 5 4 2 3 2 3 4" xfId="18578"/>
    <cellStyle name="Comma 5 4 2 3 2 4" xfId="2274"/>
    <cellStyle name="Comma 5 4 2 3 2 4 2" xfId="11641"/>
    <cellStyle name="Comma 5 4 2 3 2 4 3" xfId="21645"/>
    <cellStyle name="Comma 5 4 2 3 2 5" xfId="5952"/>
    <cellStyle name="Comma 5 4 2 3 2 5 2" xfId="14779"/>
    <cellStyle name="Comma 5 4 2 3 2 5 3" xfId="25030"/>
    <cellStyle name="Comma 5 4 2 3 2 6" xfId="7396"/>
    <cellStyle name="Comma 5 4 2 3 2 6 2" xfId="20127"/>
    <cellStyle name="Comma 5 4 2 3 2 7" xfId="16638"/>
    <cellStyle name="Comma 5 4 2 3 3" xfId="1276"/>
    <cellStyle name="Comma 5 4 2 3 3 2" xfId="3707"/>
    <cellStyle name="Comma 5 4 2 3 3 2 2" xfId="12845"/>
    <cellStyle name="Comma 5 4 2 3 3 2 2 2" xfId="23064"/>
    <cellStyle name="Comma 5 4 2 3 3 2 3" xfId="9266"/>
    <cellStyle name="Comma 5 4 2 3 3 2 4" xfId="18057"/>
    <cellStyle name="Comma 5 4 2 3 3 3" xfId="4843"/>
    <cellStyle name="Comma 5 4 2 3 3 3 2" xfId="13682"/>
    <cellStyle name="Comma 5 4 2 3 3 3 2 2" xfId="23933"/>
    <cellStyle name="Comma 5 4 2 3 3 3 3" xfId="10103"/>
    <cellStyle name="Comma 5 4 2 3 3 3 4" xfId="18926"/>
    <cellStyle name="Comma 5 4 2 3 3 4" xfId="2101"/>
    <cellStyle name="Comma 5 4 2 3 3 4 2" xfId="11468"/>
    <cellStyle name="Comma 5 4 2 3 3 4 3" xfId="21472"/>
    <cellStyle name="Comma 5 4 2 3 3 5" xfId="6300"/>
    <cellStyle name="Comma 5 4 2 3 3 5 2" xfId="15127"/>
    <cellStyle name="Comma 5 4 2 3 3 5 3" xfId="25378"/>
    <cellStyle name="Comma 5 4 2 3 3 6" xfId="7746"/>
    <cellStyle name="Comma 5 4 2 3 3 6 2" xfId="20663"/>
    <cellStyle name="Comma 5 4 2 3 3 7" xfId="16465"/>
    <cellStyle name="Comma 5 4 2 3 4" xfId="2992"/>
    <cellStyle name="Comma 5 4 2 3 4 2" xfId="5370"/>
    <cellStyle name="Comma 5 4 2 3 4 2 2" xfId="14209"/>
    <cellStyle name="Comma 5 4 2 3 4 2 2 2" xfId="24460"/>
    <cellStyle name="Comma 5 4 2 3 4 2 3" xfId="10630"/>
    <cellStyle name="Comma 5 4 2 3 4 2 4" xfId="19453"/>
    <cellStyle name="Comma 5 4 2 3 4 3" xfId="6827"/>
    <cellStyle name="Comma 5 4 2 3 4 3 2" xfId="15654"/>
    <cellStyle name="Comma 5 4 2 3 4 3 3" xfId="25905"/>
    <cellStyle name="Comma 5 4 2 3 4 4" xfId="8273"/>
    <cellStyle name="Comma 5 4 2 3 4 4 2" xfId="22355"/>
    <cellStyle name="Comma 5 4 2 3 4 5" xfId="17348"/>
    <cellStyle name="Comma 5 4 2 3 5" xfId="4326"/>
    <cellStyle name="Comma 5 4 2 3 5 2" xfId="13166"/>
    <cellStyle name="Comma 5 4 2 3 5 2 2" xfId="23417"/>
    <cellStyle name="Comma 5 4 2 3 5 3" xfId="9587"/>
    <cellStyle name="Comma 5 4 2 3 5 4" xfId="18410"/>
    <cellStyle name="Comma 5 4 2 3 6" xfId="1598"/>
    <cellStyle name="Comma 5 4 2 3 6 2" xfId="10977"/>
    <cellStyle name="Comma 5 4 2 3 6 3" xfId="20981"/>
    <cellStyle name="Comma 5 4 2 3 7" xfId="5784"/>
    <cellStyle name="Comma 5 4 2 3 7 2" xfId="14611"/>
    <cellStyle name="Comma 5 4 2 3 7 3" xfId="24862"/>
    <cellStyle name="Comma 5 4 2 3 8" xfId="7228"/>
    <cellStyle name="Comma 5 4 2 3 8 2" xfId="19954"/>
    <cellStyle name="Comma 5 4 2 3 9" xfId="15974"/>
    <cellStyle name="Comma 5 4 2 4" xfId="404"/>
    <cellStyle name="Comma 5 4 2 4 2" xfId="2892"/>
    <cellStyle name="Comma 5 4 2 4 2 2" xfId="12182"/>
    <cellStyle name="Comma 5 4 2 4 2 2 2" xfId="22255"/>
    <cellStyle name="Comma 5 4 2 4 2 3" xfId="8432"/>
    <cellStyle name="Comma 5 4 2 4 2 4" xfId="17248"/>
    <cellStyle name="Comma 5 4 2 4 3" xfId="4492"/>
    <cellStyle name="Comma 5 4 2 4 3 2" xfId="13332"/>
    <cellStyle name="Comma 5 4 2 4 3 2 2" xfId="23583"/>
    <cellStyle name="Comma 5 4 2 4 3 3" xfId="9753"/>
    <cellStyle name="Comma 5 4 2 4 3 4" xfId="18576"/>
    <cellStyle name="Comma 5 4 2 4 4" xfId="2001"/>
    <cellStyle name="Comma 5 4 2 4 4 2" xfId="11368"/>
    <cellStyle name="Comma 5 4 2 4 4 3" xfId="21372"/>
    <cellStyle name="Comma 5 4 2 4 5" xfId="5950"/>
    <cellStyle name="Comma 5 4 2 4 5 2" xfId="14777"/>
    <cellStyle name="Comma 5 4 2 4 5 3" xfId="25028"/>
    <cellStyle name="Comma 5 4 2 4 6" xfId="7394"/>
    <cellStyle name="Comma 5 4 2 4 6 2" xfId="19854"/>
    <cellStyle name="Comma 5 4 2 4 7" xfId="16365"/>
    <cellStyle name="Comma 5 4 2 5" xfId="675"/>
    <cellStyle name="Comma 5 4 2 5 2" xfId="3163"/>
    <cellStyle name="Comma 5 4 2 5 2 2" xfId="12308"/>
    <cellStyle name="Comma 5 4 2 5 2 2 2" xfId="22526"/>
    <cellStyle name="Comma 5 4 2 5 2 3" xfId="8730"/>
    <cellStyle name="Comma 5 4 2 5 2 4" xfId="17519"/>
    <cellStyle name="Comma 5 4 2 5 3" xfId="4841"/>
    <cellStyle name="Comma 5 4 2 5 3 2" xfId="13680"/>
    <cellStyle name="Comma 5 4 2 5 3 2 2" xfId="23931"/>
    <cellStyle name="Comma 5 4 2 5 3 3" xfId="10101"/>
    <cellStyle name="Comma 5 4 2 5 3 4" xfId="18924"/>
    <cellStyle name="Comma 5 4 2 5 4" xfId="2272"/>
    <cellStyle name="Comma 5 4 2 5 4 2" xfId="11639"/>
    <cellStyle name="Comma 5 4 2 5 4 3" xfId="21643"/>
    <cellStyle name="Comma 5 4 2 5 5" xfId="6298"/>
    <cellStyle name="Comma 5 4 2 5 5 2" xfId="15125"/>
    <cellStyle name="Comma 5 4 2 5 5 3" xfId="25376"/>
    <cellStyle name="Comma 5 4 2 5 6" xfId="7744"/>
    <cellStyle name="Comma 5 4 2 5 6 2" xfId="20125"/>
    <cellStyle name="Comma 5 4 2 5 7" xfId="16636"/>
    <cellStyle name="Comma 5 4 2 6" xfId="1176"/>
    <cellStyle name="Comma 5 4 2 6 2" xfId="3607"/>
    <cellStyle name="Comma 5 4 2 6 2 2" xfId="12745"/>
    <cellStyle name="Comma 5 4 2 6 2 2 2" xfId="22964"/>
    <cellStyle name="Comma 5 4 2 6 2 3" xfId="9166"/>
    <cellStyle name="Comma 5 4 2 6 2 4" xfId="17957"/>
    <cellStyle name="Comma 5 4 2 6 3" xfId="5270"/>
    <cellStyle name="Comma 5 4 2 6 3 2" xfId="14109"/>
    <cellStyle name="Comma 5 4 2 6 3 2 2" xfId="24360"/>
    <cellStyle name="Comma 5 4 2 6 3 3" xfId="10530"/>
    <cellStyle name="Comma 5 4 2 6 3 4" xfId="19353"/>
    <cellStyle name="Comma 5 4 2 6 4" xfId="1778"/>
    <cellStyle name="Comma 5 4 2 6 4 2" xfId="11151"/>
    <cellStyle name="Comma 5 4 2 6 4 3" xfId="21155"/>
    <cellStyle name="Comma 5 4 2 6 5" xfId="6727"/>
    <cellStyle name="Comma 5 4 2 6 5 2" xfId="15554"/>
    <cellStyle name="Comma 5 4 2 6 5 3" xfId="25805"/>
    <cellStyle name="Comma 5 4 2 6 6" xfId="8173"/>
    <cellStyle name="Comma 5 4 2 6 6 2" xfId="20563"/>
    <cellStyle name="Comma 5 4 2 6 7" xfId="16148"/>
    <cellStyle name="Comma 5 4 2 7" xfId="2675"/>
    <cellStyle name="Comma 5 4 2 7 2" xfId="11994"/>
    <cellStyle name="Comma 5 4 2 7 2 2" xfId="22038"/>
    <cellStyle name="Comma 5 4 2 7 3" xfId="8591"/>
    <cellStyle name="Comma 5 4 2 7 4" xfId="17031"/>
    <cellStyle name="Comma 5 4 2 8" xfId="4226"/>
    <cellStyle name="Comma 5 4 2 8 2" xfId="13066"/>
    <cellStyle name="Comma 5 4 2 8 2 2" xfId="23317"/>
    <cellStyle name="Comma 5 4 2 8 3" xfId="9487"/>
    <cellStyle name="Comma 5 4 2 8 4" xfId="18310"/>
    <cellStyle name="Comma 5 4 2 9" xfId="1498"/>
    <cellStyle name="Comma 5 4 2 9 2" xfId="10877"/>
    <cellStyle name="Comma 5 4 2 9 3" xfId="20881"/>
    <cellStyle name="Comma 5 4 3" xfId="221"/>
    <cellStyle name="Comma 5 4 3 10" xfId="7171"/>
    <cellStyle name="Comma 5 4 3 10 2" xfId="19680"/>
    <cellStyle name="Comma 5 4 3 11" xfId="15917"/>
    <cellStyle name="Comma 5 4 3 2" xfId="547"/>
    <cellStyle name="Comma 5 4 3 2 2" xfId="679"/>
    <cellStyle name="Comma 5 4 3 2 2 2" xfId="3167"/>
    <cellStyle name="Comma 5 4 3 2 2 2 2" xfId="12312"/>
    <cellStyle name="Comma 5 4 3 2 2 2 2 2" xfId="22530"/>
    <cellStyle name="Comma 5 4 3 2 2 2 3" xfId="8734"/>
    <cellStyle name="Comma 5 4 3 2 2 2 4" xfId="17523"/>
    <cellStyle name="Comma 5 4 3 2 2 3" xfId="4496"/>
    <cellStyle name="Comma 5 4 3 2 2 3 2" xfId="13336"/>
    <cellStyle name="Comma 5 4 3 2 2 3 2 2" xfId="23587"/>
    <cellStyle name="Comma 5 4 3 2 2 3 3" xfId="9757"/>
    <cellStyle name="Comma 5 4 3 2 2 3 4" xfId="18580"/>
    <cellStyle name="Comma 5 4 3 2 2 4" xfId="2276"/>
    <cellStyle name="Comma 5 4 3 2 2 4 2" xfId="11643"/>
    <cellStyle name="Comma 5 4 3 2 2 4 3" xfId="21647"/>
    <cellStyle name="Comma 5 4 3 2 2 5" xfId="5954"/>
    <cellStyle name="Comma 5 4 3 2 2 5 2" xfId="14781"/>
    <cellStyle name="Comma 5 4 3 2 2 5 3" xfId="25032"/>
    <cellStyle name="Comma 5 4 3 2 2 6" xfId="7398"/>
    <cellStyle name="Comma 5 4 3 2 2 6 2" xfId="20129"/>
    <cellStyle name="Comma 5 4 3 2 2 7" xfId="16640"/>
    <cellStyle name="Comma 5 4 3 2 3" xfId="1319"/>
    <cellStyle name="Comma 5 4 3 2 3 2" xfId="3750"/>
    <cellStyle name="Comma 5 4 3 2 3 2 2" xfId="12888"/>
    <cellStyle name="Comma 5 4 3 2 3 2 2 2" xfId="23107"/>
    <cellStyle name="Comma 5 4 3 2 3 2 3" xfId="9309"/>
    <cellStyle name="Comma 5 4 3 2 3 2 4" xfId="18100"/>
    <cellStyle name="Comma 5 4 3 2 3 3" xfId="4845"/>
    <cellStyle name="Comma 5 4 3 2 3 3 2" xfId="13684"/>
    <cellStyle name="Comma 5 4 3 2 3 3 2 2" xfId="23935"/>
    <cellStyle name="Comma 5 4 3 2 3 3 3" xfId="10105"/>
    <cellStyle name="Comma 5 4 3 2 3 3 4" xfId="18928"/>
    <cellStyle name="Comma 5 4 3 2 3 4" xfId="2144"/>
    <cellStyle name="Comma 5 4 3 2 3 4 2" xfId="11511"/>
    <cellStyle name="Comma 5 4 3 2 3 4 3" xfId="21515"/>
    <cellStyle name="Comma 5 4 3 2 3 5" xfId="6302"/>
    <cellStyle name="Comma 5 4 3 2 3 5 2" xfId="15129"/>
    <cellStyle name="Comma 5 4 3 2 3 5 3" xfId="25380"/>
    <cellStyle name="Comma 5 4 3 2 3 6" xfId="7748"/>
    <cellStyle name="Comma 5 4 3 2 3 6 2" xfId="20706"/>
    <cellStyle name="Comma 5 4 3 2 3 7" xfId="16508"/>
    <cellStyle name="Comma 5 4 3 2 4" xfId="3035"/>
    <cellStyle name="Comma 5 4 3 2 4 2" xfId="5413"/>
    <cellStyle name="Comma 5 4 3 2 4 2 2" xfId="14252"/>
    <cellStyle name="Comma 5 4 3 2 4 2 2 2" xfId="24503"/>
    <cellStyle name="Comma 5 4 3 2 4 2 3" xfId="10673"/>
    <cellStyle name="Comma 5 4 3 2 4 2 4" xfId="19496"/>
    <cellStyle name="Comma 5 4 3 2 4 3" xfId="6870"/>
    <cellStyle name="Comma 5 4 3 2 4 3 2" xfId="15697"/>
    <cellStyle name="Comma 5 4 3 2 4 3 3" xfId="25948"/>
    <cellStyle name="Comma 5 4 3 2 4 4" xfId="8316"/>
    <cellStyle name="Comma 5 4 3 2 4 4 2" xfId="22398"/>
    <cellStyle name="Comma 5 4 3 2 4 5" xfId="17391"/>
    <cellStyle name="Comma 5 4 3 2 5" xfId="4369"/>
    <cellStyle name="Comma 5 4 3 2 5 2" xfId="13209"/>
    <cellStyle name="Comma 5 4 3 2 5 2 2" xfId="23460"/>
    <cellStyle name="Comma 5 4 3 2 5 3" xfId="9630"/>
    <cellStyle name="Comma 5 4 3 2 5 4" xfId="18453"/>
    <cellStyle name="Comma 5 4 3 2 6" xfId="1641"/>
    <cellStyle name="Comma 5 4 3 2 6 2" xfId="11020"/>
    <cellStyle name="Comma 5 4 3 2 6 3" xfId="21024"/>
    <cellStyle name="Comma 5 4 3 2 7" xfId="5827"/>
    <cellStyle name="Comma 5 4 3 2 7 2" xfId="14654"/>
    <cellStyle name="Comma 5 4 3 2 7 3" xfId="24905"/>
    <cellStyle name="Comma 5 4 3 2 8" xfId="7271"/>
    <cellStyle name="Comma 5 4 3 2 8 2" xfId="19997"/>
    <cellStyle name="Comma 5 4 3 2 9" xfId="16017"/>
    <cellStyle name="Comma 5 4 3 3" xfId="447"/>
    <cellStyle name="Comma 5 4 3 3 2" xfId="2935"/>
    <cellStyle name="Comma 5 4 3 3 2 2" xfId="12225"/>
    <cellStyle name="Comma 5 4 3 3 2 2 2" xfId="22298"/>
    <cellStyle name="Comma 5 4 3 3 2 3" xfId="8430"/>
    <cellStyle name="Comma 5 4 3 3 2 4" xfId="17291"/>
    <cellStyle name="Comma 5 4 3 3 3" xfId="4495"/>
    <cellStyle name="Comma 5 4 3 3 3 2" xfId="13335"/>
    <cellStyle name="Comma 5 4 3 3 3 2 2" xfId="23586"/>
    <cellStyle name="Comma 5 4 3 3 3 3" xfId="9756"/>
    <cellStyle name="Comma 5 4 3 3 3 4" xfId="18579"/>
    <cellStyle name="Comma 5 4 3 3 4" xfId="2044"/>
    <cellStyle name="Comma 5 4 3 3 4 2" xfId="11411"/>
    <cellStyle name="Comma 5 4 3 3 4 3" xfId="21415"/>
    <cellStyle name="Comma 5 4 3 3 5" xfId="5953"/>
    <cellStyle name="Comma 5 4 3 3 5 2" xfId="14780"/>
    <cellStyle name="Comma 5 4 3 3 5 3" xfId="25031"/>
    <cellStyle name="Comma 5 4 3 3 6" xfId="7397"/>
    <cellStyle name="Comma 5 4 3 3 6 2" xfId="19897"/>
    <cellStyle name="Comma 5 4 3 3 7" xfId="16408"/>
    <cellStyle name="Comma 5 4 3 4" xfId="678"/>
    <cellStyle name="Comma 5 4 3 4 2" xfId="3166"/>
    <cellStyle name="Comma 5 4 3 4 2 2" xfId="12311"/>
    <cellStyle name="Comma 5 4 3 4 2 2 2" xfId="22529"/>
    <cellStyle name="Comma 5 4 3 4 2 3" xfId="8733"/>
    <cellStyle name="Comma 5 4 3 4 2 4" xfId="17522"/>
    <cellStyle name="Comma 5 4 3 4 3" xfId="4844"/>
    <cellStyle name="Comma 5 4 3 4 3 2" xfId="13683"/>
    <cellStyle name="Comma 5 4 3 4 3 2 2" xfId="23934"/>
    <cellStyle name="Comma 5 4 3 4 3 3" xfId="10104"/>
    <cellStyle name="Comma 5 4 3 4 3 4" xfId="18927"/>
    <cellStyle name="Comma 5 4 3 4 4" xfId="2275"/>
    <cellStyle name="Comma 5 4 3 4 4 2" xfId="11642"/>
    <cellStyle name="Comma 5 4 3 4 4 3" xfId="21646"/>
    <cellStyle name="Comma 5 4 3 4 5" xfId="6301"/>
    <cellStyle name="Comma 5 4 3 4 5 2" xfId="15128"/>
    <cellStyle name="Comma 5 4 3 4 5 3" xfId="25379"/>
    <cellStyle name="Comma 5 4 3 4 6" xfId="7747"/>
    <cellStyle name="Comma 5 4 3 4 6 2" xfId="20128"/>
    <cellStyle name="Comma 5 4 3 4 7" xfId="16639"/>
    <cellStyle name="Comma 5 4 3 5" xfId="1219"/>
    <cellStyle name="Comma 5 4 3 5 2" xfId="3650"/>
    <cellStyle name="Comma 5 4 3 5 2 2" xfId="12788"/>
    <cellStyle name="Comma 5 4 3 5 2 2 2" xfId="23007"/>
    <cellStyle name="Comma 5 4 3 5 2 3" xfId="9209"/>
    <cellStyle name="Comma 5 4 3 5 2 4" xfId="18000"/>
    <cellStyle name="Comma 5 4 3 5 3" xfId="5313"/>
    <cellStyle name="Comma 5 4 3 5 3 2" xfId="14152"/>
    <cellStyle name="Comma 5 4 3 5 3 2 2" xfId="24403"/>
    <cellStyle name="Comma 5 4 3 5 3 3" xfId="10573"/>
    <cellStyle name="Comma 5 4 3 5 3 4" xfId="19396"/>
    <cellStyle name="Comma 5 4 3 5 4" xfId="1824"/>
    <cellStyle name="Comma 5 4 3 5 4 2" xfId="11194"/>
    <cellStyle name="Comma 5 4 3 5 4 3" xfId="21198"/>
    <cellStyle name="Comma 5 4 3 5 5" xfId="6770"/>
    <cellStyle name="Comma 5 4 3 5 5 2" xfId="15597"/>
    <cellStyle name="Comma 5 4 3 5 5 3" xfId="25848"/>
    <cellStyle name="Comma 5 4 3 5 6" xfId="8216"/>
    <cellStyle name="Comma 5 4 3 5 6 2" xfId="20606"/>
    <cellStyle name="Comma 5 4 3 5 7" xfId="16191"/>
    <cellStyle name="Comma 5 4 3 6" xfId="2718"/>
    <cellStyle name="Comma 5 4 3 6 2" xfId="12037"/>
    <cellStyle name="Comma 5 4 3 6 2 2" xfId="22081"/>
    <cellStyle name="Comma 5 4 3 6 3" xfId="7656"/>
    <cellStyle name="Comma 5 4 3 6 4" xfId="17074"/>
    <cellStyle name="Comma 5 4 3 7" xfId="4269"/>
    <cellStyle name="Comma 5 4 3 7 2" xfId="13109"/>
    <cellStyle name="Comma 5 4 3 7 2 2" xfId="23360"/>
    <cellStyle name="Comma 5 4 3 7 3" xfId="9530"/>
    <cellStyle name="Comma 5 4 3 7 4" xfId="18353"/>
    <cellStyle name="Comma 5 4 3 8" xfId="1541"/>
    <cellStyle name="Comma 5 4 3 8 2" xfId="10920"/>
    <cellStyle name="Comma 5 4 3 8 3" xfId="20924"/>
    <cellStyle name="Comma 5 4 3 9" xfId="5727"/>
    <cellStyle name="Comma 5 4 3 9 2" xfId="14554"/>
    <cellStyle name="Comma 5 4 3 9 3" xfId="24805"/>
    <cellStyle name="Comma 5 4 4" xfId="254"/>
    <cellStyle name="Comma 5 4 4 10" xfId="7096"/>
    <cellStyle name="Comma 5 4 4 10 2" xfId="19710"/>
    <cellStyle name="Comma 5 4 4 11" xfId="15842"/>
    <cellStyle name="Comma 5 4 4 2" xfId="577"/>
    <cellStyle name="Comma 5 4 4 2 2" xfId="681"/>
    <cellStyle name="Comma 5 4 4 2 2 2" xfId="3169"/>
    <cellStyle name="Comma 5 4 4 2 2 2 2" xfId="12314"/>
    <cellStyle name="Comma 5 4 4 2 2 2 2 2" xfId="22532"/>
    <cellStyle name="Comma 5 4 4 2 2 2 3" xfId="8736"/>
    <cellStyle name="Comma 5 4 4 2 2 2 4" xfId="17525"/>
    <cellStyle name="Comma 5 4 4 2 2 3" xfId="4498"/>
    <cellStyle name="Comma 5 4 4 2 2 3 2" xfId="13338"/>
    <cellStyle name="Comma 5 4 4 2 2 3 2 2" xfId="23589"/>
    <cellStyle name="Comma 5 4 4 2 2 3 3" xfId="9759"/>
    <cellStyle name="Comma 5 4 4 2 2 3 4" xfId="18582"/>
    <cellStyle name="Comma 5 4 4 2 2 4" xfId="2278"/>
    <cellStyle name="Comma 5 4 4 2 2 4 2" xfId="11645"/>
    <cellStyle name="Comma 5 4 4 2 2 4 3" xfId="21649"/>
    <cellStyle name="Comma 5 4 4 2 2 5" xfId="5956"/>
    <cellStyle name="Comma 5 4 4 2 2 5 2" xfId="14783"/>
    <cellStyle name="Comma 5 4 4 2 2 5 3" xfId="25034"/>
    <cellStyle name="Comma 5 4 4 2 2 6" xfId="7400"/>
    <cellStyle name="Comma 5 4 4 2 2 6 2" xfId="20131"/>
    <cellStyle name="Comma 5 4 4 2 2 7" xfId="16642"/>
    <cellStyle name="Comma 5 4 4 2 3" xfId="1349"/>
    <cellStyle name="Comma 5 4 4 2 3 2" xfId="3780"/>
    <cellStyle name="Comma 5 4 4 2 3 2 2" xfId="12918"/>
    <cellStyle name="Comma 5 4 4 2 3 2 2 2" xfId="23137"/>
    <cellStyle name="Comma 5 4 4 2 3 2 3" xfId="9339"/>
    <cellStyle name="Comma 5 4 4 2 3 2 4" xfId="18130"/>
    <cellStyle name="Comma 5 4 4 2 3 3" xfId="4847"/>
    <cellStyle name="Comma 5 4 4 2 3 3 2" xfId="13686"/>
    <cellStyle name="Comma 5 4 4 2 3 3 2 2" xfId="23937"/>
    <cellStyle name="Comma 5 4 4 2 3 3 3" xfId="10107"/>
    <cellStyle name="Comma 5 4 4 2 3 3 4" xfId="18930"/>
    <cellStyle name="Comma 5 4 4 2 3 4" xfId="2174"/>
    <cellStyle name="Comma 5 4 4 2 3 4 2" xfId="11541"/>
    <cellStyle name="Comma 5 4 4 2 3 4 3" xfId="21545"/>
    <cellStyle name="Comma 5 4 4 2 3 5" xfId="6304"/>
    <cellStyle name="Comma 5 4 4 2 3 5 2" xfId="15131"/>
    <cellStyle name="Comma 5 4 4 2 3 5 3" xfId="25382"/>
    <cellStyle name="Comma 5 4 4 2 3 6" xfId="7750"/>
    <cellStyle name="Comma 5 4 4 2 3 6 2" xfId="20736"/>
    <cellStyle name="Comma 5 4 4 2 3 7" xfId="16538"/>
    <cellStyle name="Comma 5 4 4 2 4" xfId="3065"/>
    <cellStyle name="Comma 5 4 4 2 4 2" xfId="5443"/>
    <cellStyle name="Comma 5 4 4 2 4 2 2" xfId="14282"/>
    <cellStyle name="Comma 5 4 4 2 4 2 2 2" xfId="24533"/>
    <cellStyle name="Comma 5 4 4 2 4 2 3" xfId="10703"/>
    <cellStyle name="Comma 5 4 4 2 4 2 4" xfId="19526"/>
    <cellStyle name="Comma 5 4 4 2 4 3" xfId="6900"/>
    <cellStyle name="Comma 5 4 4 2 4 3 2" xfId="15727"/>
    <cellStyle name="Comma 5 4 4 2 4 3 3" xfId="25978"/>
    <cellStyle name="Comma 5 4 4 2 4 4" xfId="8346"/>
    <cellStyle name="Comma 5 4 4 2 4 4 2" xfId="22428"/>
    <cellStyle name="Comma 5 4 4 2 4 5" xfId="17421"/>
    <cellStyle name="Comma 5 4 4 2 5" xfId="4399"/>
    <cellStyle name="Comma 5 4 4 2 5 2" xfId="13239"/>
    <cellStyle name="Comma 5 4 4 2 5 2 2" xfId="23490"/>
    <cellStyle name="Comma 5 4 4 2 5 3" xfId="9660"/>
    <cellStyle name="Comma 5 4 4 2 5 4" xfId="18483"/>
    <cellStyle name="Comma 5 4 4 2 6" xfId="1671"/>
    <cellStyle name="Comma 5 4 4 2 6 2" xfId="11050"/>
    <cellStyle name="Comma 5 4 4 2 6 3" xfId="21054"/>
    <cellStyle name="Comma 5 4 4 2 7" xfId="5857"/>
    <cellStyle name="Comma 5 4 4 2 7 2" xfId="14684"/>
    <cellStyle name="Comma 5 4 4 2 7 3" xfId="24935"/>
    <cellStyle name="Comma 5 4 4 2 8" xfId="7301"/>
    <cellStyle name="Comma 5 4 4 2 8 2" xfId="20027"/>
    <cellStyle name="Comma 5 4 4 2 9" xfId="16047"/>
    <cellStyle name="Comma 5 4 4 3" xfId="372"/>
    <cellStyle name="Comma 5 4 4 3 2" xfId="2860"/>
    <cellStyle name="Comma 5 4 4 3 2 2" xfId="12150"/>
    <cellStyle name="Comma 5 4 4 3 2 2 2" xfId="22223"/>
    <cellStyle name="Comma 5 4 4 3 2 3" xfId="8531"/>
    <cellStyle name="Comma 5 4 4 3 2 4" xfId="17216"/>
    <cellStyle name="Comma 5 4 4 3 3" xfId="4497"/>
    <cellStyle name="Comma 5 4 4 3 3 2" xfId="13337"/>
    <cellStyle name="Comma 5 4 4 3 3 2 2" xfId="23588"/>
    <cellStyle name="Comma 5 4 4 3 3 3" xfId="9758"/>
    <cellStyle name="Comma 5 4 4 3 3 4" xfId="18581"/>
    <cellStyle name="Comma 5 4 4 3 4" xfId="1969"/>
    <cellStyle name="Comma 5 4 4 3 4 2" xfId="11336"/>
    <cellStyle name="Comma 5 4 4 3 4 3" xfId="21340"/>
    <cellStyle name="Comma 5 4 4 3 5" xfId="5955"/>
    <cellStyle name="Comma 5 4 4 3 5 2" xfId="14782"/>
    <cellStyle name="Comma 5 4 4 3 5 3" xfId="25033"/>
    <cellStyle name="Comma 5 4 4 3 6" xfId="7399"/>
    <cellStyle name="Comma 5 4 4 3 6 2" xfId="19822"/>
    <cellStyle name="Comma 5 4 4 3 7" xfId="16333"/>
    <cellStyle name="Comma 5 4 4 4" xfId="680"/>
    <cellStyle name="Comma 5 4 4 4 2" xfId="3168"/>
    <cellStyle name="Comma 5 4 4 4 2 2" xfId="12313"/>
    <cellStyle name="Comma 5 4 4 4 2 2 2" xfId="22531"/>
    <cellStyle name="Comma 5 4 4 4 2 3" xfId="8735"/>
    <cellStyle name="Comma 5 4 4 4 2 4" xfId="17524"/>
    <cellStyle name="Comma 5 4 4 4 3" xfId="4846"/>
    <cellStyle name="Comma 5 4 4 4 3 2" xfId="13685"/>
    <cellStyle name="Comma 5 4 4 4 3 2 2" xfId="23936"/>
    <cellStyle name="Comma 5 4 4 4 3 3" xfId="10106"/>
    <cellStyle name="Comma 5 4 4 4 3 4" xfId="18929"/>
    <cellStyle name="Comma 5 4 4 4 4" xfId="2277"/>
    <cellStyle name="Comma 5 4 4 4 4 2" xfId="11644"/>
    <cellStyle name="Comma 5 4 4 4 4 3" xfId="21648"/>
    <cellStyle name="Comma 5 4 4 4 5" xfId="6303"/>
    <cellStyle name="Comma 5 4 4 4 5 2" xfId="15130"/>
    <cellStyle name="Comma 5 4 4 4 5 3" xfId="25381"/>
    <cellStyle name="Comma 5 4 4 4 6" xfId="7749"/>
    <cellStyle name="Comma 5 4 4 4 6 2" xfId="20130"/>
    <cellStyle name="Comma 5 4 4 4 7" xfId="16641"/>
    <cellStyle name="Comma 5 4 4 5" xfId="1144"/>
    <cellStyle name="Comma 5 4 4 5 2" xfId="3575"/>
    <cellStyle name="Comma 5 4 4 5 2 2" xfId="12713"/>
    <cellStyle name="Comma 5 4 4 5 2 2 2" xfId="22932"/>
    <cellStyle name="Comma 5 4 4 5 2 3" xfId="9134"/>
    <cellStyle name="Comma 5 4 4 5 2 4" xfId="17925"/>
    <cellStyle name="Comma 5 4 4 5 3" xfId="5238"/>
    <cellStyle name="Comma 5 4 4 5 3 2" xfId="14077"/>
    <cellStyle name="Comma 5 4 4 5 3 2 2" xfId="24328"/>
    <cellStyle name="Comma 5 4 4 5 3 3" xfId="10498"/>
    <cellStyle name="Comma 5 4 4 5 3 4" xfId="19321"/>
    <cellStyle name="Comma 5 4 4 5 4" xfId="1854"/>
    <cellStyle name="Comma 5 4 4 5 4 2" xfId="11224"/>
    <cellStyle name="Comma 5 4 4 5 4 3" xfId="21228"/>
    <cellStyle name="Comma 5 4 4 5 5" xfId="6695"/>
    <cellStyle name="Comma 5 4 4 5 5 2" xfId="15522"/>
    <cellStyle name="Comma 5 4 4 5 5 3" xfId="25773"/>
    <cellStyle name="Comma 5 4 4 5 6" xfId="8141"/>
    <cellStyle name="Comma 5 4 4 5 6 2" xfId="20531"/>
    <cellStyle name="Comma 5 4 4 5 7" xfId="16221"/>
    <cellStyle name="Comma 5 4 4 6" xfId="2748"/>
    <cellStyle name="Comma 5 4 4 6 2" xfId="12067"/>
    <cellStyle name="Comma 5 4 4 6 2 2" xfId="22111"/>
    <cellStyle name="Comma 5 4 4 6 3" xfId="8556"/>
    <cellStyle name="Comma 5 4 4 6 4" xfId="17104"/>
    <cellStyle name="Comma 5 4 4 7" xfId="4194"/>
    <cellStyle name="Comma 5 4 4 7 2" xfId="13034"/>
    <cellStyle name="Comma 5 4 4 7 2 2" xfId="23285"/>
    <cellStyle name="Comma 5 4 4 7 3" xfId="9455"/>
    <cellStyle name="Comma 5 4 4 7 4" xfId="18278"/>
    <cellStyle name="Comma 5 4 4 8" xfId="1466"/>
    <cellStyle name="Comma 5 4 4 8 2" xfId="10845"/>
    <cellStyle name="Comma 5 4 4 8 3" xfId="20849"/>
    <cellStyle name="Comma 5 4 4 9" xfId="5652"/>
    <cellStyle name="Comma 5 4 4 9 2" xfId="14479"/>
    <cellStyle name="Comma 5 4 4 9 3" xfId="24730"/>
    <cellStyle name="Comma 5 4 5" xfId="472"/>
    <cellStyle name="Comma 5 4 5 2" xfId="682"/>
    <cellStyle name="Comma 5 4 5 2 2" xfId="3170"/>
    <cellStyle name="Comma 5 4 5 2 2 2" xfId="12315"/>
    <cellStyle name="Comma 5 4 5 2 2 2 2" xfId="22533"/>
    <cellStyle name="Comma 5 4 5 2 2 3" xfId="8737"/>
    <cellStyle name="Comma 5 4 5 2 2 4" xfId="17526"/>
    <cellStyle name="Comma 5 4 5 2 3" xfId="4499"/>
    <cellStyle name="Comma 5 4 5 2 3 2" xfId="13339"/>
    <cellStyle name="Comma 5 4 5 2 3 2 2" xfId="23590"/>
    <cellStyle name="Comma 5 4 5 2 3 3" xfId="9760"/>
    <cellStyle name="Comma 5 4 5 2 3 4" xfId="18583"/>
    <cellStyle name="Comma 5 4 5 2 4" xfId="2279"/>
    <cellStyle name="Comma 5 4 5 2 4 2" xfId="11646"/>
    <cellStyle name="Comma 5 4 5 2 4 3" xfId="21650"/>
    <cellStyle name="Comma 5 4 5 2 5" xfId="5957"/>
    <cellStyle name="Comma 5 4 5 2 5 2" xfId="14784"/>
    <cellStyle name="Comma 5 4 5 2 5 3" xfId="25035"/>
    <cellStyle name="Comma 5 4 5 2 6" xfId="7401"/>
    <cellStyle name="Comma 5 4 5 2 6 2" xfId="20132"/>
    <cellStyle name="Comma 5 4 5 2 7" xfId="16643"/>
    <cellStyle name="Comma 5 4 5 3" xfId="1244"/>
    <cellStyle name="Comma 5 4 5 3 2" xfId="3675"/>
    <cellStyle name="Comma 5 4 5 3 2 2" xfId="12813"/>
    <cellStyle name="Comma 5 4 5 3 2 2 2" xfId="23032"/>
    <cellStyle name="Comma 5 4 5 3 2 3" xfId="9234"/>
    <cellStyle name="Comma 5 4 5 3 2 4" xfId="18025"/>
    <cellStyle name="Comma 5 4 5 3 3" xfId="4848"/>
    <cellStyle name="Comma 5 4 5 3 3 2" xfId="13687"/>
    <cellStyle name="Comma 5 4 5 3 3 2 2" xfId="23938"/>
    <cellStyle name="Comma 5 4 5 3 3 3" xfId="10108"/>
    <cellStyle name="Comma 5 4 5 3 3 4" xfId="18931"/>
    <cellStyle name="Comma 5 4 5 3 4" xfId="2069"/>
    <cellStyle name="Comma 5 4 5 3 4 2" xfId="11436"/>
    <cellStyle name="Comma 5 4 5 3 4 3" xfId="21440"/>
    <cellStyle name="Comma 5 4 5 3 5" xfId="6305"/>
    <cellStyle name="Comma 5 4 5 3 5 2" xfId="15132"/>
    <cellStyle name="Comma 5 4 5 3 5 3" xfId="25383"/>
    <cellStyle name="Comma 5 4 5 3 6" xfId="7751"/>
    <cellStyle name="Comma 5 4 5 3 6 2" xfId="20631"/>
    <cellStyle name="Comma 5 4 5 3 7" xfId="16433"/>
    <cellStyle name="Comma 5 4 5 4" xfId="2960"/>
    <cellStyle name="Comma 5 4 5 4 2" xfId="5338"/>
    <cellStyle name="Comma 5 4 5 4 2 2" xfId="14177"/>
    <cellStyle name="Comma 5 4 5 4 2 2 2" xfId="24428"/>
    <cellStyle name="Comma 5 4 5 4 2 3" xfId="10598"/>
    <cellStyle name="Comma 5 4 5 4 2 4" xfId="19421"/>
    <cellStyle name="Comma 5 4 5 4 3" xfId="6795"/>
    <cellStyle name="Comma 5 4 5 4 3 2" xfId="15622"/>
    <cellStyle name="Comma 5 4 5 4 3 3" xfId="25873"/>
    <cellStyle name="Comma 5 4 5 4 4" xfId="8241"/>
    <cellStyle name="Comma 5 4 5 4 4 2" xfId="22323"/>
    <cellStyle name="Comma 5 4 5 4 5" xfId="17316"/>
    <cellStyle name="Comma 5 4 5 5" xfId="4294"/>
    <cellStyle name="Comma 5 4 5 5 2" xfId="13134"/>
    <cellStyle name="Comma 5 4 5 5 2 2" xfId="23385"/>
    <cellStyle name="Comma 5 4 5 5 3" xfId="9555"/>
    <cellStyle name="Comma 5 4 5 5 4" xfId="18378"/>
    <cellStyle name="Comma 5 4 5 6" xfId="1566"/>
    <cellStyle name="Comma 5 4 5 6 2" xfId="10945"/>
    <cellStyle name="Comma 5 4 5 6 3" xfId="20949"/>
    <cellStyle name="Comma 5 4 5 7" xfId="5752"/>
    <cellStyle name="Comma 5 4 5 7 2" xfId="14579"/>
    <cellStyle name="Comma 5 4 5 7 3" xfId="24830"/>
    <cellStyle name="Comma 5 4 5 8" xfId="7196"/>
    <cellStyle name="Comma 5 4 5 8 2" xfId="19922"/>
    <cellStyle name="Comma 5 4 5 9" xfId="15942"/>
    <cellStyle name="Comma 5 4 6" xfId="347"/>
    <cellStyle name="Comma 5 4 6 2" xfId="683"/>
    <cellStyle name="Comma 5 4 6 2 2" xfId="3171"/>
    <cellStyle name="Comma 5 4 6 2 2 2" xfId="12316"/>
    <cellStyle name="Comma 5 4 6 2 2 2 2" xfId="22534"/>
    <cellStyle name="Comma 5 4 6 2 2 3" xfId="8738"/>
    <cellStyle name="Comma 5 4 6 2 2 4" xfId="17527"/>
    <cellStyle name="Comma 5 4 6 2 3" xfId="4500"/>
    <cellStyle name="Comma 5 4 6 2 3 2" xfId="13340"/>
    <cellStyle name="Comma 5 4 6 2 3 2 2" xfId="23591"/>
    <cellStyle name="Comma 5 4 6 2 3 3" xfId="9761"/>
    <cellStyle name="Comma 5 4 6 2 3 4" xfId="18584"/>
    <cellStyle name="Comma 5 4 6 2 4" xfId="2280"/>
    <cellStyle name="Comma 5 4 6 2 4 2" xfId="11647"/>
    <cellStyle name="Comma 5 4 6 2 4 3" xfId="21651"/>
    <cellStyle name="Comma 5 4 6 2 5" xfId="5958"/>
    <cellStyle name="Comma 5 4 6 2 5 2" xfId="14785"/>
    <cellStyle name="Comma 5 4 6 2 5 3" xfId="25036"/>
    <cellStyle name="Comma 5 4 6 2 6" xfId="7402"/>
    <cellStyle name="Comma 5 4 6 2 6 2" xfId="20133"/>
    <cellStyle name="Comma 5 4 6 2 7" xfId="16644"/>
    <cellStyle name="Comma 5 4 6 3" xfId="1119"/>
    <cellStyle name="Comma 5 4 6 3 2" xfId="3550"/>
    <cellStyle name="Comma 5 4 6 3 2 2" xfId="12688"/>
    <cellStyle name="Comma 5 4 6 3 2 2 2" xfId="22907"/>
    <cellStyle name="Comma 5 4 6 3 2 3" xfId="9109"/>
    <cellStyle name="Comma 5 4 6 3 2 4" xfId="17900"/>
    <cellStyle name="Comma 5 4 6 3 3" xfId="4849"/>
    <cellStyle name="Comma 5 4 6 3 3 2" xfId="13688"/>
    <cellStyle name="Comma 5 4 6 3 3 2 2" xfId="23939"/>
    <cellStyle name="Comma 5 4 6 3 3 3" xfId="10109"/>
    <cellStyle name="Comma 5 4 6 3 3 4" xfId="18932"/>
    <cellStyle name="Comma 5 4 6 3 4" xfId="2584"/>
    <cellStyle name="Comma 5 4 6 3 4 2" xfId="11950"/>
    <cellStyle name="Comma 5 4 6 3 4 3" xfId="21954"/>
    <cellStyle name="Comma 5 4 6 3 5" xfId="6306"/>
    <cellStyle name="Comma 5 4 6 3 5 2" xfId="15133"/>
    <cellStyle name="Comma 5 4 6 3 5 3" xfId="25384"/>
    <cellStyle name="Comma 5 4 6 3 6" xfId="7752"/>
    <cellStyle name="Comma 5 4 6 3 6 2" xfId="20506"/>
    <cellStyle name="Comma 5 4 6 3 7" xfId="16947"/>
    <cellStyle name="Comma 5 4 6 4" xfId="2835"/>
    <cellStyle name="Comma 5 4 6 4 2" xfId="5213"/>
    <cellStyle name="Comma 5 4 6 4 2 2" xfId="14052"/>
    <cellStyle name="Comma 5 4 6 4 2 2 2" xfId="24303"/>
    <cellStyle name="Comma 5 4 6 4 2 3" xfId="10473"/>
    <cellStyle name="Comma 5 4 6 4 2 4" xfId="19296"/>
    <cellStyle name="Comma 5 4 6 4 3" xfId="6670"/>
    <cellStyle name="Comma 5 4 6 4 3 2" xfId="15497"/>
    <cellStyle name="Comma 5 4 6 4 3 3" xfId="25748"/>
    <cellStyle name="Comma 5 4 6 4 4" xfId="8116"/>
    <cellStyle name="Comma 5 4 6 4 4 2" xfId="22198"/>
    <cellStyle name="Comma 5 4 6 4 5" xfId="17191"/>
    <cellStyle name="Comma 5 4 6 5" xfId="4167"/>
    <cellStyle name="Comma 5 4 6 5 2" xfId="13007"/>
    <cellStyle name="Comma 5 4 6 5 2 2" xfId="23258"/>
    <cellStyle name="Comma 5 4 6 5 3" xfId="9428"/>
    <cellStyle name="Comma 5 4 6 5 4" xfId="18251"/>
    <cellStyle name="Comma 5 4 6 6" xfId="1944"/>
    <cellStyle name="Comma 5 4 6 6 2" xfId="11311"/>
    <cellStyle name="Comma 5 4 6 6 3" xfId="21315"/>
    <cellStyle name="Comma 5 4 6 7" xfId="5627"/>
    <cellStyle name="Comma 5 4 6 7 2" xfId="14454"/>
    <cellStyle name="Comma 5 4 6 7 3" xfId="24705"/>
    <cellStyle name="Comma 5 4 6 8" xfId="7071"/>
    <cellStyle name="Comma 5 4 6 8 2" xfId="19797"/>
    <cellStyle name="Comma 5 4 6 9" xfId="16308"/>
    <cellStyle name="Comma 5 4 7" xfId="674"/>
    <cellStyle name="Comma 5 4 7 2" xfId="3162"/>
    <cellStyle name="Comma 5 4 7 2 2" xfId="12307"/>
    <cellStyle name="Comma 5 4 7 2 2 2" xfId="22525"/>
    <cellStyle name="Comma 5 4 7 2 3" xfId="8729"/>
    <cellStyle name="Comma 5 4 7 2 4" xfId="17518"/>
    <cellStyle name="Comma 5 4 7 3" xfId="4491"/>
    <cellStyle name="Comma 5 4 7 3 2" xfId="13331"/>
    <cellStyle name="Comma 5 4 7 3 2 2" xfId="23582"/>
    <cellStyle name="Comma 5 4 7 3 3" xfId="9752"/>
    <cellStyle name="Comma 5 4 7 3 4" xfId="18575"/>
    <cellStyle name="Comma 5 4 7 4" xfId="2271"/>
    <cellStyle name="Comma 5 4 7 4 2" xfId="11638"/>
    <cellStyle name="Comma 5 4 7 4 3" xfId="21642"/>
    <cellStyle name="Comma 5 4 7 5" xfId="5949"/>
    <cellStyle name="Comma 5 4 7 5 2" xfId="14776"/>
    <cellStyle name="Comma 5 4 7 5 3" xfId="25027"/>
    <cellStyle name="Comma 5 4 7 6" xfId="7393"/>
    <cellStyle name="Comma 5 4 7 6 2" xfId="20124"/>
    <cellStyle name="Comma 5 4 7 7" xfId="16635"/>
    <cellStyle name="Comma 5 4 8" xfId="1074"/>
    <cellStyle name="Comma 5 4 8 2" xfId="3505"/>
    <cellStyle name="Comma 5 4 8 2 2" xfId="12643"/>
    <cellStyle name="Comma 5 4 8 2 2 2" xfId="22862"/>
    <cellStyle name="Comma 5 4 8 2 3" xfId="9065"/>
    <cellStyle name="Comma 5 4 8 2 4" xfId="17855"/>
    <cellStyle name="Comma 5 4 8 3" xfId="4840"/>
    <cellStyle name="Comma 5 4 8 3 2" xfId="13679"/>
    <cellStyle name="Comma 5 4 8 3 2 2" xfId="23930"/>
    <cellStyle name="Comma 5 4 8 3 3" xfId="10100"/>
    <cellStyle name="Comma 5 4 8 3 4" xfId="18923"/>
    <cellStyle name="Comma 5 4 8 4" xfId="1742"/>
    <cellStyle name="Comma 5 4 8 4 2" xfId="11118"/>
    <cellStyle name="Comma 5 4 8 4 3" xfId="21122"/>
    <cellStyle name="Comma 5 4 8 5" xfId="6297"/>
    <cellStyle name="Comma 5 4 8 5 2" xfId="15124"/>
    <cellStyle name="Comma 5 4 8 5 3" xfId="25375"/>
    <cellStyle name="Comma 5 4 8 6" xfId="7743"/>
    <cellStyle name="Comma 5 4 8 6 2" xfId="20461"/>
    <cellStyle name="Comma 5 4 8 7" xfId="16115"/>
    <cellStyle name="Comma 5 4 9" xfId="2642"/>
    <cellStyle name="Comma 5 4 9 2" xfId="5168"/>
    <cellStyle name="Comma 5 4 9 2 2" xfId="14007"/>
    <cellStyle name="Comma 5 4 9 2 2 2" xfId="24258"/>
    <cellStyle name="Comma 5 4 9 2 3" xfId="10428"/>
    <cellStyle name="Comma 5 4 9 2 4" xfId="19251"/>
    <cellStyle name="Comma 5 4 9 3" xfId="6625"/>
    <cellStyle name="Comma 5 4 9 3 2" xfId="15452"/>
    <cellStyle name="Comma 5 4 9 3 3" xfId="25703"/>
    <cellStyle name="Comma 5 4 9 4" xfId="8071"/>
    <cellStyle name="Comma 5 4 9 4 2" xfId="22006"/>
    <cellStyle name="Comma 5 4 9 5" xfId="16999"/>
    <cellStyle name="Comma 5 5" xfId="149"/>
    <cellStyle name="Comma 5 5 10" xfId="1419"/>
    <cellStyle name="Comma 5 5 10 2" xfId="10798"/>
    <cellStyle name="Comma 5 5 10 3" xfId="20802"/>
    <cellStyle name="Comma 5 5 11" xfId="5530"/>
    <cellStyle name="Comma 5 5 11 2" xfId="14359"/>
    <cellStyle name="Comma 5 5 11 3" xfId="24610"/>
    <cellStyle name="Comma 5 5 12" xfId="6972"/>
    <cellStyle name="Comma 5 5 12 2" xfId="19617"/>
    <cellStyle name="Comma 5 5 13" xfId="15795"/>
    <cellStyle name="Comma 5 5 2" xfId="199"/>
    <cellStyle name="Comma 5 5 2 10" xfId="7151"/>
    <cellStyle name="Comma 5 5 2 10 2" xfId="19660"/>
    <cellStyle name="Comma 5 5 2 11" xfId="15897"/>
    <cellStyle name="Comma 5 5 2 2" xfId="527"/>
    <cellStyle name="Comma 5 5 2 2 2" xfId="686"/>
    <cellStyle name="Comma 5 5 2 2 2 2" xfId="3174"/>
    <cellStyle name="Comma 5 5 2 2 2 2 2" xfId="12319"/>
    <cellStyle name="Comma 5 5 2 2 2 2 2 2" xfId="22537"/>
    <cellStyle name="Comma 5 5 2 2 2 2 3" xfId="8741"/>
    <cellStyle name="Comma 5 5 2 2 2 2 4" xfId="17530"/>
    <cellStyle name="Comma 5 5 2 2 2 3" xfId="4503"/>
    <cellStyle name="Comma 5 5 2 2 2 3 2" xfId="13343"/>
    <cellStyle name="Comma 5 5 2 2 2 3 2 2" xfId="23594"/>
    <cellStyle name="Comma 5 5 2 2 2 3 3" xfId="9764"/>
    <cellStyle name="Comma 5 5 2 2 2 3 4" xfId="18587"/>
    <cellStyle name="Comma 5 5 2 2 2 4" xfId="2283"/>
    <cellStyle name="Comma 5 5 2 2 2 4 2" xfId="11650"/>
    <cellStyle name="Comma 5 5 2 2 2 4 3" xfId="21654"/>
    <cellStyle name="Comma 5 5 2 2 2 5" xfId="5961"/>
    <cellStyle name="Comma 5 5 2 2 2 5 2" xfId="14788"/>
    <cellStyle name="Comma 5 5 2 2 2 5 3" xfId="25039"/>
    <cellStyle name="Comma 5 5 2 2 2 6" xfId="7405"/>
    <cellStyle name="Comma 5 5 2 2 2 6 2" xfId="20136"/>
    <cellStyle name="Comma 5 5 2 2 2 7" xfId="16647"/>
    <cellStyle name="Comma 5 5 2 2 3" xfId="1299"/>
    <cellStyle name="Comma 5 5 2 2 3 2" xfId="3730"/>
    <cellStyle name="Comma 5 5 2 2 3 2 2" xfId="12868"/>
    <cellStyle name="Comma 5 5 2 2 3 2 2 2" xfId="23087"/>
    <cellStyle name="Comma 5 5 2 2 3 2 3" xfId="9289"/>
    <cellStyle name="Comma 5 5 2 2 3 2 4" xfId="18080"/>
    <cellStyle name="Comma 5 5 2 2 3 3" xfId="4852"/>
    <cellStyle name="Comma 5 5 2 2 3 3 2" xfId="13691"/>
    <cellStyle name="Comma 5 5 2 2 3 3 2 2" xfId="23942"/>
    <cellStyle name="Comma 5 5 2 2 3 3 3" xfId="10112"/>
    <cellStyle name="Comma 5 5 2 2 3 3 4" xfId="18935"/>
    <cellStyle name="Comma 5 5 2 2 3 4" xfId="2124"/>
    <cellStyle name="Comma 5 5 2 2 3 4 2" xfId="11491"/>
    <cellStyle name="Comma 5 5 2 2 3 4 3" xfId="21495"/>
    <cellStyle name="Comma 5 5 2 2 3 5" xfId="6309"/>
    <cellStyle name="Comma 5 5 2 2 3 5 2" xfId="15136"/>
    <cellStyle name="Comma 5 5 2 2 3 5 3" xfId="25387"/>
    <cellStyle name="Comma 5 5 2 2 3 6" xfId="7755"/>
    <cellStyle name="Comma 5 5 2 2 3 6 2" xfId="20686"/>
    <cellStyle name="Comma 5 5 2 2 3 7" xfId="16488"/>
    <cellStyle name="Comma 5 5 2 2 4" xfId="3015"/>
    <cellStyle name="Comma 5 5 2 2 4 2" xfId="5393"/>
    <cellStyle name="Comma 5 5 2 2 4 2 2" xfId="14232"/>
    <cellStyle name="Comma 5 5 2 2 4 2 2 2" xfId="24483"/>
    <cellStyle name="Comma 5 5 2 2 4 2 3" xfId="10653"/>
    <cellStyle name="Comma 5 5 2 2 4 2 4" xfId="19476"/>
    <cellStyle name="Comma 5 5 2 2 4 3" xfId="6850"/>
    <cellStyle name="Comma 5 5 2 2 4 3 2" xfId="15677"/>
    <cellStyle name="Comma 5 5 2 2 4 3 3" xfId="25928"/>
    <cellStyle name="Comma 5 5 2 2 4 4" xfId="8296"/>
    <cellStyle name="Comma 5 5 2 2 4 4 2" xfId="22378"/>
    <cellStyle name="Comma 5 5 2 2 4 5" xfId="17371"/>
    <cellStyle name="Comma 5 5 2 2 5" xfId="4349"/>
    <cellStyle name="Comma 5 5 2 2 5 2" xfId="13189"/>
    <cellStyle name="Comma 5 5 2 2 5 2 2" xfId="23440"/>
    <cellStyle name="Comma 5 5 2 2 5 3" xfId="9610"/>
    <cellStyle name="Comma 5 5 2 2 5 4" xfId="18433"/>
    <cellStyle name="Comma 5 5 2 2 6" xfId="1621"/>
    <cellStyle name="Comma 5 5 2 2 6 2" xfId="11000"/>
    <cellStyle name="Comma 5 5 2 2 6 3" xfId="21004"/>
    <cellStyle name="Comma 5 5 2 2 7" xfId="5807"/>
    <cellStyle name="Comma 5 5 2 2 7 2" xfId="14634"/>
    <cellStyle name="Comma 5 5 2 2 7 3" xfId="24885"/>
    <cellStyle name="Comma 5 5 2 2 8" xfId="7251"/>
    <cellStyle name="Comma 5 5 2 2 8 2" xfId="19977"/>
    <cellStyle name="Comma 5 5 2 2 9" xfId="15997"/>
    <cellStyle name="Comma 5 5 2 3" xfId="427"/>
    <cellStyle name="Comma 5 5 2 3 2" xfId="2915"/>
    <cellStyle name="Comma 5 5 2 3 2 2" xfId="12205"/>
    <cellStyle name="Comma 5 5 2 3 2 2 2" xfId="22278"/>
    <cellStyle name="Comma 5 5 2 3 2 3" xfId="8645"/>
    <cellStyle name="Comma 5 5 2 3 2 4" xfId="17271"/>
    <cellStyle name="Comma 5 5 2 3 3" xfId="4502"/>
    <cellStyle name="Comma 5 5 2 3 3 2" xfId="13342"/>
    <cellStyle name="Comma 5 5 2 3 3 2 2" xfId="23593"/>
    <cellStyle name="Comma 5 5 2 3 3 3" xfId="9763"/>
    <cellStyle name="Comma 5 5 2 3 3 4" xfId="18586"/>
    <cellStyle name="Comma 5 5 2 3 4" xfId="2024"/>
    <cellStyle name="Comma 5 5 2 3 4 2" xfId="11391"/>
    <cellStyle name="Comma 5 5 2 3 4 3" xfId="21395"/>
    <cellStyle name="Comma 5 5 2 3 5" xfId="5960"/>
    <cellStyle name="Comma 5 5 2 3 5 2" xfId="14787"/>
    <cellStyle name="Comma 5 5 2 3 5 3" xfId="25038"/>
    <cellStyle name="Comma 5 5 2 3 6" xfId="7404"/>
    <cellStyle name="Comma 5 5 2 3 6 2" xfId="19877"/>
    <cellStyle name="Comma 5 5 2 3 7" xfId="16388"/>
    <cellStyle name="Comma 5 5 2 4" xfId="685"/>
    <cellStyle name="Comma 5 5 2 4 2" xfId="3173"/>
    <cellStyle name="Comma 5 5 2 4 2 2" xfId="12318"/>
    <cellStyle name="Comma 5 5 2 4 2 2 2" xfId="22536"/>
    <cellStyle name="Comma 5 5 2 4 2 3" xfId="8740"/>
    <cellStyle name="Comma 5 5 2 4 2 4" xfId="17529"/>
    <cellStyle name="Comma 5 5 2 4 3" xfId="4851"/>
    <cellStyle name="Comma 5 5 2 4 3 2" xfId="13690"/>
    <cellStyle name="Comma 5 5 2 4 3 2 2" xfId="23941"/>
    <cellStyle name="Comma 5 5 2 4 3 3" xfId="10111"/>
    <cellStyle name="Comma 5 5 2 4 3 4" xfId="18934"/>
    <cellStyle name="Comma 5 5 2 4 4" xfId="2282"/>
    <cellStyle name="Comma 5 5 2 4 4 2" xfId="11649"/>
    <cellStyle name="Comma 5 5 2 4 4 3" xfId="21653"/>
    <cellStyle name="Comma 5 5 2 4 5" xfId="6308"/>
    <cellStyle name="Comma 5 5 2 4 5 2" xfId="15135"/>
    <cellStyle name="Comma 5 5 2 4 5 3" xfId="25386"/>
    <cellStyle name="Comma 5 5 2 4 6" xfId="7754"/>
    <cellStyle name="Comma 5 5 2 4 6 2" xfId="20135"/>
    <cellStyle name="Comma 5 5 2 4 7" xfId="16646"/>
    <cellStyle name="Comma 5 5 2 5" xfId="1199"/>
    <cellStyle name="Comma 5 5 2 5 2" xfId="3630"/>
    <cellStyle name="Comma 5 5 2 5 2 2" xfId="12768"/>
    <cellStyle name="Comma 5 5 2 5 2 2 2" xfId="22987"/>
    <cellStyle name="Comma 5 5 2 5 2 3" xfId="9189"/>
    <cellStyle name="Comma 5 5 2 5 2 4" xfId="17980"/>
    <cellStyle name="Comma 5 5 2 5 3" xfId="5293"/>
    <cellStyle name="Comma 5 5 2 5 3 2" xfId="14132"/>
    <cellStyle name="Comma 5 5 2 5 3 2 2" xfId="24383"/>
    <cellStyle name="Comma 5 5 2 5 3 3" xfId="10553"/>
    <cellStyle name="Comma 5 5 2 5 3 4" xfId="19376"/>
    <cellStyle name="Comma 5 5 2 5 4" xfId="1803"/>
    <cellStyle name="Comma 5 5 2 5 4 2" xfId="11174"/>
    <cellStyle name="Comma 5 5 2 5 4 3" xfId="21178"/>
    <cellStyle name="Comma 5 5 2 5 5" xfId="6750"/>
    <cellStyle name="Comma 5 5 2 5 5 2" xfId="15577"/>
    <cellStyle name="Comma 5 5 2 5 5 3" xfId="25828"/>
    <cellStyle name="Comma 5 5 2 5 6" xfId="8196"/>
    <cellStyle name="Comma 5 5 2 5 6 2" xfId="20586"/>
    <cellStyle name="Comma 5 5 2 5 7" xfId="16171"/>
    <cellStyle name="Comma 5 5 2 6" xfId="2698"/>
    <cellStyle name="Comma 5 5 2 6 2" xfId="12017"/>
    <cellStyle name="Comma 5 5 2 6 2 2" xfId="22061"/>
    <cellStyle name="Comma 5 5 2 6 3" xfId="8509"/>
    <cellStyle name="Comma 5 5 2 6 4" xfId="17054"/>
    <cellStyle name="Comma 5 5 2 7" xfId="4249"/>
    <cellStyle name="Comma 5 5 2 7 2" xfId="13089"/>
    <cellStyle name="Comma 5 5 2 7 2 2" xfId="23340"/>
    <cellStyle name="Comma 5 5 2 7 3" xfId="9510"/>
    <cellStyle name="Comma 5 5 2 7 4" xfId="18333"/>
    <cellStyle name="Comma 5 5 2 8" xfId="1521"/>
    <cellStyle name="Comma 5 5 2 8 2" xfId="10900"/>
    <cellStyle name="Comma 5 5 2 8 3" xfId="20904"/>
    <cellStyle name="Comma 5 5 2 9" xfId="5707"/>
    <cellStyle name="Comma 5 5 2 9 2" xfId="14534"/>
    <cellStyle name="Comma 5 5 2 9 3" xfId="24785"/>
    <cellStyle name="Comma 5 5 3" xfId="266"/>
    <cellStyle name="Comma 5 5 3 10" xfId="7108"/>
    <cellStyle name="Comma 5 5 3 10 2" xfId="19722"/>
    <cellStyle name="Comma 5 5 3 11" xfId="15854"/>
    <cellStyle name="Comma 5 5 3 2" xfId="589"/>
    <cellStyle name="Comma 5 5 3 2 2" xfId="688"/>
    <cellStyle name="Comma 5 5 3 2 2 2" xfId="3176"/>
    <cellStyle name="Comma 5 5 3 2 2 2 2" xfId="12321"/>
    <cellStyle name="Comma 5 5 3 2 2 2 2 2" xfId="22539"/>
    <cellStyle name="Comma 5 5 3 2 2 2 3" xfId="8743"/>
    <cellStyle name="Comma 5 5 3 2 2 2 4" xfId="17532"/>
    <cellStyle name="Comma 5 5 3 2 2 3" xfId="4505"/>
    <cellStyle name="Comma 5 5 3 2 2 3 2" xfId="13345"/>
    <cellStyle name="Comma 5 5 3 2 2 3 2 2" xfId="23596"/>
    <cellStyle name="Comma 5 5 3 2 2 3 3" xfId="9766"/>
    <cellStyle name="Comma 5 5 3 2 2 3 4" xfId="18589"/>
    <cellStyle name="Comma 5 5 3 2 2 4" xfId="2285"/>
    <cellStyle name="Comma 5 5 3 2 2 4 2" xfId="11652"/>
    <cellStyle name="Comma 5 5 3 2 2 4 3" xfId="21656"/>
    <cellStyle name="Comma 5 5 3 2 2 5" xfId="5963"/>
    <cellStyle name="Comma 5 5 3 2 2 5 2" xfId="14790"/>
    <cellStyle name="Comma 5 5 3 2 2 5 3" xfId="25041"/>
    <cellStyle name="Comma 5 5 3 2 2 6" xfId="7407"/>
    <cellStyle name="Comma 5 5 3 2 2 6 2" xfId="20138"/>
    <cellStyle name="Comma 5 5 3 2 2 7" xfId="16649"/>
    <cellStyle name="Comma 5 5 3 2 3" xfId="1361"/>
    <cellStyle name="Comma 5 5 3 2 3 2" xfId="3792"/>
    <cellStyle name="Comma 5 5 3 2 3 2 2" xfId="12930"/>
    <cellStyle name="Comma 5 5 3 2 3 2 2 2" xfId="23149"/>
    <cellStyle name="Comma 5 5 3 2 3 2 3" xfId="9351"/>
    <cellStyle name="Comma 5 5 3 2 3 2 4" xfId="18142"/>
    <cellStyle name="Comma 5 5 3 2 3 3" xfId="4854"/>
    <cellStyle name="Comma 5 5 3 2 3 3 2" xfId="13693"/>
    <cellStyle name="Comma 5 5 3 2 3 3 2 2" xfId="23944"/>
    <cellStyle name="Comma 5 5 3 2 3 3 3" xfId="10114"/>
    <cellStyle name="Comma 5 5 3 2 3 3 4" xfId="18937"/>
    <cellStyle name="Comma 5 5 3 2 3 4" xfId="2186"/>
    <cellStyle name="Comma 5 5 3 2 3 4 2" xfId="11553"/>
    <cellStyle name="Comma 5 5 3 2 3 4 3" xfId="21557"/>
    <cellStyle name="Comma 5 5 3 2 3 5" xfId="6311"/>
    <cellStyle name="Comma 5 5 3 2 3 5 2" xfId="15138"/>
    <cellStyle name="Comma 5 5 3 2 3 5 3" xfId="25389"/>
    <cellStyle name="Comma 5 5 3 2 3 6" xfId="7757"/>
    <cellStyle name="Comma 5 5 3 2 3 6 2" xfId="20748"/>
    <cellStyle name="Comma 5 5 3 2 3 7" xfId="16550"/>
    <cellStyle name="Comma 5 5 3 2 4" xfId="3077"/>
    <cellStyle name="Comma 5 5 3 2 4 2" xfId="5455"/>
    <cellStyle name="Comma 5 5 3 2 4 2 2" xfId="14294"/>
    <cellStyle name="Comma 5 5 3 2 4 2 2 2" xfId="24545"/>
    <cellStyle name="Comma 5 5 3 2 4 2 3" xfId="10715"/>
    <cellStyle name="Comma 5 5 3 2 4 2 4" xfId="19538"/>
    <cellStyle name="Comma 5 5 3 2 4 3" xfId="6912"/>
    <cellStyle name="Comma 5 5 3 2 4 3 2" xfId="15739"/>
    <cellStyle name="Comma 5 5 3 2 4 3 3" xfId="25990"/>
    <cellStyle name="Comma 5 5 3 2 4 4" xfId="8358"/>
    <cellStyle name="Comma 5 5 3 2 4 4 2" xfId="22440"/>
    <cellStyle name="Comma 5 5 3 2 4 5" xfId="17433"/>
    <cellStyle name="Comma 5 5 3 2 5" xfId="4411"/>
    <cellStyle name="Comma 5 5 3 2 5 2" xfId="13251"/>
    <cellStyle name="Comma 5 5 3 2 5 2 2" xfId="23502"/>
    <cellStyle name="Comma 5 5 3 2 5 3" xfId="9672"/>
    <cellStyle name="Comma 5 5 3 2 5 4" xfId="18495"/>
    <cellStyle name="Comma 5 5 3 2 6" xfId="1683"/>
    <cellStyle name="Comma 5 5 3 2 6 2" xfId="11062"/>
    <cellStyle name="Comma 5 5 3 2 6 3" xfId="21066"/>
    <cellStyle name="Comma 5 5 3 2 7" xfId="5869"/>
    <cellStyle name="Comma 5 5 3 2 7 2" xfId="14696"/>
    <cellStyle name="Comma 5 5 3 2 7 3" xfId="24947"/>
    <cellStyle name="Comma 5 5 3 2 8" xfId="7313"/>
    <cellStyle name="Comma 5 5 3 2 8 2" xfId="20039"/>
    <cellStyle name="Comma 5 5 3 2 9" xfId="16059"/>
    <cellStyle name="Comma 5 5 3 3" xfId="384"/>
    <cellStyle name="Comma 5 5 3 3 2" xfId="2872"/>
    <cellStyle name="Comma 5 5 3 3 2 2" xfId="12162"/>
    <cellStyle name="Comma 5 5 3 3 2 2 2" xfId="22235"/>
    <cellStyle name="Comma 5 5 3 3 2 3" xfId="8475"/>
    <cellStyle name="Comma 5 5 3 3 2 4" xfId="17228"/>
    <cellStyle name="Comma 5 5 3 3 3" xfId="4504"/>
    <cellStyle name="Comma 5 5 3 3 3 2" xfId="13344"/>
    <cellStyle name="Comma 5 5 3 3 3 2 2" xfId="23595"/>
    <cellStyle name="Comma 5 5 3 3 3 3" xfId="9765"/>
    <cellStyle name="Comma 5 5 3 3 3 4" xfId="18588"/>
    <cellStyle name="Comma 5 5 3 3 4" xfId="1981"/>
    <cellStyle name="Comma 5 5 3 3 4 2" xfId="11348"/>
    <cellStyle name="Comma 5 5 3 3 4 3" xfId="21352"/>
    <cellStyle name="Comma 5 5 3 3 5" xfId="5962"/>
    <cellStyle name="Comma 5 5 3 3 5 2" xfId="14789"/>
    <cellStyle name="Comma 5 5 3 3 5 3" xfId="25040"/>
    <cellStyle name="Comma 5 5 3 3 6" xfId="7406"/>
    <cellStyle name="Comma 5 5 3 3 6 2" xfId="19834"/>
    <cellStyle name="Comma 5 5 3 3 7" xfId="16345"/>
    <cellStyle name="Comma 5 5 3 4" xfId="687"/>
    <cellStyle name="Comma 5 5 3 4 2" xfId="3175"/>
    <cellStyle name="Comma 5 5 3 4 2 2" xfId="12320"/>
    <cellStyle name="Comma 5 5 3 4 2 2 2" xfId="22538"/>
    <cellStyle name="Comma 5 5 3 4 2 3" xfId="8742"/>
    <cellStyle name="Comma 5 5 3 4 2 4" xfId="17531"/>
    <cellStyle name="Comma 5 5 3 4 3" xfId="4853"/>
    <cellStyle name="Comma 5 5 3 4 3 2" xfId="13692"/>
    <cellStyle name="Comma 5 5 3 4 3 2 2" xfId="23943"/>
    <cellStyle name="Comma 5 5 3 4 3 3" xfId="10113"/>
    <cellStyle name="Comma 5 5 3 4 3 4" xfId="18936"/>
    <cellStyle name="Comma 5 5 3 4 4" xfId="2284"/>
    <cellStyle name="Comma 5 5 3 4 4 2" xfId="11651"/>
    <cellStyle name="Comma 5 5 3 4 4 3" xfId="21655"/>
    <cellStyle name="Comma 5 5 3 4 5" xfId="6310"/>
    <cellStyle name="Comma 5 5 3 4 5 2" xfId="15137"/>
    <cellStyle name="Comma 5 5 3 4 5 3" xfId="25388"/>
    <cellStyle name="Comma 5 5 3 4 6" xfId="7756"/>
    <cellStyle name="Comma 5 5 3 4 6 2" xfId="20137"/>
    <cellStyle name="Comma 5 5 3 4 7" xfId="16648"/>
    <cellStyle name="Comma 5 5 3 5" xfId="1156"/>
    <cellStyle name="Comma 5 5 3 5 2" xfId="3587"/>
    <cellStyle name="Comma 5 5 3 5 2 2" xfId="12725"/>
    <cellStyle name="Comma 5 5 3 5 2 2 2" xfId="22944"/>
    <cellStyle name="Comma 5 5 3 5 2 3" xfId="9146"/>
    <cellStyle name="Comma 5 5 3 5 2 4" xfId="17937"/>
    <cellStyle name="Comma 5 5 3 5 3" xfId="5250"/>
    <cellStyle name="Comma 5 5 3 5 3 2" xfId="14089"/>
    <cellStyle name="Comma 5 5 3 5 3 2 2" xfId="24340"/>
    <cellStyle name="Comma 5 5 3 5 3 3" xfId="10510"/>
    <cellStyle name="Comma 5 5 3 5 3 4" xfId="19333"/>
    <cellStyle name="Comma 5 5 3 5 4" xfId="1866"/>
    <cellStyle name="Comma 5 5 3 5 4 2" xfId="11236"/>
    <cellStyle name="Comma 5 5 3 5 4 3" xfId="21240"/>
    <cellStyle name="Comma 5 5 3 5 5" xfId="6707"/>
    <cellStyle name="Comma 5 5 3 5 5 2" xfId="15534"/>
    <cellStyle name="Comma 5 5 3 5 5 3" xfId="25785"/>
    <cellStyle name="Comma 5 5 3 5 6" xfId="8153"/>
    <cellStyle name="Comma 5 5 3 5 6 2" xfId="20543"/>
    <cellStyle name="Comma 5 5 3 5 7" xfId="16233"/>
    <cellStyle name="Comma 5 5 3 6" xfId="2760"/>
    <cellStyle name="Comma 5 5 3 6 2" xfId="12079"/>
    <cellStyle name="Comma 5 5 3 6 2 2" xfId="22123"/>
    <cellStyle name="Comma 5 5 3 6 3" xfId="8496"/>
    <cellStyle name="Comma 5 5 3 6 4" xfId="17116"/>
    <cellStyle name="Comma 5 5 3 7" xfId="4206"/>
    <cellStyle name="Comma 5 5 3 7 2" xfId="13046"/>
    <cellStyle name="Comma 5 5 3 7 2 2" xfId="23297"/>
    <cellStyle name="Comma 5 5 3 7 3" xfId="9467"/>
    <cellStyle name="Comma 5 5 3 7 4" xfId="18290"/>
    <cellStyle name="Comma 5 5 3 8" xfId="1478"/>
    <cellStyle name="Comma 5 5 3 8 2" xfId="10857"/>
    <cellStyle name="Comma 5 5 3 8 3" xfId="20861"/>
    <cellStyle name="Comma 5 5 3 9" xfId="5664"/>
    <cellStyle name="Comma 5 5 3 9 2" xfId="14491"/>
    <cellStyle name="Comma 5 5 3 9 3" xfId="24742"/>
    <cellStyle name="Comma 5 5 4" xfId="484"/>
    <cellStyle name="Comma 5 5 4 2" xfId="689"/>
    <cellStyle name="Comma 5 5 4 2 2" xfId="3177"/>
    <cellStyle name="Comma 5 5 4 2 2 2" xfId="12322"/>
    <cellStyle name="Comma 5 5 4 2 2 2 2" xfId="22540"/>
    <cellStyle name="Comma 5 5 4 2 2 3" xfId="8744"/>
    <cellStyle name="Comma 5 5 4 2 2 4" xfId="17533"/>
    <cellStyle name="Comma 5 5 4 2 3" xfId="4506"/>
    <cellStyle name="Comma 5 5 4 2 3 2" xfId="13346"/>
    <cellStyle name="Comma 5 5 4 2 3 2 2" xfId="23597"/>
    <cellStyle name="Comma 5 5 4 2 3 3" xfId="9767"/>
    <cellStyle name="Comma 5 5 4 2 3 4" xfId="18590"/>
    <cellStyle name="Comma 5 5 4 2 4" xfId="2286"/>
    <cellStyle name="Comma 5 5 4 2 4 2" xfId="11653"/>
    <cellStyle name="Comma 5 5 4 2 4 3" xfId="21657"/>
    <cellStyle name="Comma 5 5 4 2 5" xfId="5964"/>
    <cellStyle name="Comma 5 5 4 2 5 2" xfId="14791"/>
    <cellStyle name="Comma 5 5 4 2 5 3" xfId="25042"/>
    <cellStyle name="Comma 5 5 4 2 6" xfId="7408"/>
    <cellStyle name="Comma 5 5 4 2 6 2" xfId="20139"/>
    <cellStyle name="Comma 5 5 4 2 7" xfId="16650"/>
    <cellStyle name="Comma 5 5 4 3" xfId="1256"/>
    <cellStyle name="Comma 5 5 4 3 2" xfId="3687"/>
    <cellStyle name="Comma 5 5 4 3 2 2" xfId="12825"/>
    <cellStyle name="Comma 5 5 4 3 2 2 2" xfId="23044"/>
    <cellStyle name="Comma 5 5 4 3 2 3" xfId="9246"/>
    <cellStyle name="Comma 5 5 4 3 2 4" xfId="18037"/>
    <cellStyle name="Comma 5 5 4 3 3" xfId="4855"/>
    <cellStyle name="Comma 5 5 4 3 3 2" xfId="13694"/>
    <cellStyle name="Comma 5 5 4 3 3 2 2" xfId="23945"/>
    <cellStyle name="Comma 5 5 4 3 3 3" xfId="10115"/>
    <cellStyle name="Comma 5 5 4 3 3 4" xfId="18938"/>
    <cellStyle name="Comma 5 5 4 3 4" xfId="2081"/>
    <cellStyle name="Comma 5 5 4 3 4 2" xfId="11448"/>
    <cellStyle name="Comma 5 5 4 3 4 3" xfId="21452"/>
    <cellStyle name="Comma 5 5 4 3 5" xfId="6312"/>
    <cellStyle name="Comma 5 5 4 3 5 2" xfId="15139"/>
    <cellStyle name="Comma 5 5 4 3 5 3" xfId="25390"/>
    <cellStyle name="Comma 5 5 4 3 6" xfId="7758"/>
    <cellStyle name="Comma 5 5 4 3 6 2" xfId="20643"/>
    <cellStyle name="Comma 5 5 4 3 7" xfId="16445"/>
    <cellStyle name="Comma 5 5 4 4" xfId="2972"/>
    <cellStyle name="Comma 5 5 4 4 2" xfId="5350"/>
    <cellStyle name="Comma 5 5 4 4 2 2" xfId="14189"/>
    <cellStyle name="Comma 5 5 4 4 2 2 2" xfId="24440"/>
    <cellStyle name="Comma 5 5 4 4 2 3" xfId="10610"/>
    <cellStyle name="Comma 5 5 4 4 2 4" xfId="19433"/>
    <cellStyle name="Comma 5 5 4 4 3" xfId="6807"/>
    <cellStyle name="Comma 5 5 4 4 3 2" xfId="15634"/>
    <cellStyle name="Comma 5 5 4 4 3 3" xfId="25885"/>
    <cellStyle name="Comma 5 5 4 4 4" xfId="8253"/>
    <cellStyle name="Comma 5 5 4 4 4 2" xfId="22335"/>
    <cellStyle name="Comma 5 5 4 4 5" xfId="17328"/>
    <cellStyle name="Comma 5 5 4 5" xfId="4306"/>
    <cellStyle name="Comma 5 5 4 5 2" xfId="13146"/>
    <cellStyle name="Comma 5 5 4 5 2 2" xfId="23397"/>
    <cellStyle name="Comma 5 5 4 5 3" xfId="9567"/>
    <cellStyle name="Comma 5 5 4 5 4" xfId="18390"/>
    <cellStyle name="Comma 5 5 4 6" xfId="1578"/>
    <cellStyle name="Comma 5 5 4 6 2" xfId="10957"/>
    <cellStyle name="Comma 5 5 4 6 3" xfId="20961"/>
    <cellStyle name="Comma 5 5 4 7" xfId="5764"/>
    <cellStyle name="Comma 5 5 4 7 2" xfId="14591"/>
    <cellStyle name="Comma 5 5 4 7 3" xfId="24842"/>
    <cellStyle name="Comma 5 5 4 8" xfId="7208"/>
    <cellStyle name="Comma 5 5 4 8 2" xfId="19934"/>
    <cellStyle name="Comma 5 5 4 9" xfId="15954"/>
    <cellStyle name="Comma 5 5 5" xfId="325"/>
    <cellStyle name="Comma 5 5 5 2" xfId="2813"/>
    <cellStyle name="Comma 5 5 5 2 2" xfId="12119"/>
    <cellStyle name="Comma 5 5 5 2 2 2" xfId="22176"/>
    <cellStyle name="Comma 5 5 5 2 3" xfId="8548"/>
    <cellStyle name="Comma 5 5 5 2 4" xfId="17169"/>
    <cellStyle name="Comma 5 5 5 3" xfId="4501"/>
    <cellStyle name="Comma 5 5 5 3 2" xfId="13341"/>
    <cellStyle name="Comma 5 5 5 3 2 2" xfId="23592"/>
    <cellStyle name="Comma 5 5 5 3 3" xfId="9762"/>
    <cellStyle name="Comma 5 5 5 3 4" xfId="18585"/>
    <cellStyle name="Comma 5 5 5 4" xfId="1922"/>
    <cellStyle name="Comma 5 5 5 4 2" xfId="11289"/>
    <cellStyle name="Comma 5 5 5 4 3" xfId="21293"/>
    <cellStyle name="Comma 5 5 5 5" xfId="5959"/>
    <cellStyle name="Comma 5 5 5 5 2" xfId="14786"/>
    <cellStyle name="Comma 5 5 5 5 3" xfId="25037"/>
    <cellStyle name="Comma 5 5 5 6" xfId="7403"/>
    <cellStyle name="Comma 5 5 5 6 2" xfId="19775"/>
    <cellStyle name="Comma 5 5 5 7" xfId="16286"/>
    <cellStyle name="Comma 5 5 6" xfId="684"/>
    <cellStyle name="Comma 5 5 6 2" xfId="3172"/>
    <cellStyle name="Comma 5 5 6 2 2" xfId="12317"/>
    <cellStyle name="Comma 5 5 6 2 2 2" xfId="22535"/>
    <cellStyle name="Comma 5 5 6 2 3" xfId="8739"/>
    <cellStyle name="Comma 5 5 6 2 4" xfId="17528"/>
    <cellStyle name="Comma 5 5 6 3" xfId="4850"/>
    <cellStyle name="Comma 5 5 6 3 2" xfId="13689"/>
    <cellStyle name="Comma 5 5 6 3 2 2" xfId="23940"/>
    <cellStyle name="Comma 5 5 6 3 3" xfId="10110"/>
    <cellStyle name="Comma 5 5 6 3 4" xfId="18933"/>
    <cellStyle name="Comma 5 5 6 4" xfId="2281"/>
    <cellStyle name="Comma 5 5 6 4 2" xfId="11648"/>
    <cellStyle name="Comma 5 5 6 4 3" xfId="21652"/>
    <cellStyle name="Comma 5 5 6 5" xfId="6307"/>
    <cellStyle name="Comma 5 5 6 5 2" xfId="15134"/>
    <cellStyle name="Comma 5 5 6 5 3" xfId="25385"/>
    <cellStyle name="Comma 5 5 6 6" xfId="7753"/>
    <cellStyle name="Comma 5 5 6 6 2" xfId="20134"/>
    <cellStyle name="Comma 5 5 6 7" xfId="16645"/>
    <cellStyle name="Comma 5 5 7" xfId="1097"/>
    <cellStyle name="Comma 5 5 7 2" xfId="3528"/>
    <cellStyle name="Comma 5 5 7 2 2" xfId="12666"/>
    <cellStyle name="Comma 5 5 7 2 2 2" xfId="22885"/>
    <cellStyle name="Comma 5 5 7 2 3" xfId="9088"/>
    <cellStyle name="Comma 5 5 7 2 4" xfId="17878"/>
    <cellStyle name="Comma 5 5 7 3" xfId="5191"/>
    <cellStyle name="Comma 5 5 7 3 2" xfId="14030"/>
    <cellStyle name="Comma 5 5 7 3 2 2" xfId="24281"/>
    <cellStyle name="Comma 5 5 7 3 3" xfId="10451"/>
    <cellStyle name="Comma 5 5 7 3 4" xfId="19274"/>
    <cellStyle name="Comma 5 5 7 4" xfId="1757"/>
    <cellStyle name="Comma 5 5 7 4 2" xfId="11130"/>
    <cellStyle name="Comma 5 5 7 4 3" xfId="21134"/>
    <cellStyle name="Comma 5 5 7 5" xfId="6648"/>
    <cellStyle name="Comma 5 5 7 5 2" xfId="15475"/>
    <cellStyle name="Comma 5 5 7 5 3" xfId="25726"/>
    <cellStyle name="Comma 5 5 7 6" xfId="8094"/>
    <cellStyle name="Comma 5 5 7 6 2" xfId="20484"/>
    <cellStyle name="Comma 5 5 7 7" xfId="16127"/>
    <cellStyle name="Comma 5 5 8" xfId="2655"/>
    <cellStyle name="Comma 5 5 8 2" xfId="5605"/>
    <cellStyle name="Comma 5 5 8 2 2" xfId="14432"/>
    <cellStyle name="Comma 5 5 8 2 3" xfId="24683"/>
    <cellStyle name="Comma 5 5 8 3" xfId="7049"/>
    <cellStyle name="Comma 5 5 8 3 2" xfId="22018"/>
    <cellStyle name="Comma 5 5 8 4" xfId="17011"/>
    <cellStyle name="Comma 5 5 9" xfId="4145"/>
    <cellStyle name="Comma 5 5 9 2" xfId="12985"/>
    <cellStyle name="Comma 5 5 9 2 2" xfId="23236"/>
    <cellStyle name="Comma 5 5 9 3" xfId="9406"/>
    <cellStyle name="Comma 5 5 9 4" xfId="18229"/>
    <cellStyle name="Comma 5 6" xfId="182"/>
    <cellStyle name="Comma 5 6 10" xfId="7134"/>
    <cellStyle name="Comma 5 6 10 2" xfId="19643"/>
    <cellStyle name="Comma 5 6 11" xfId="15880"/>
    <cellStyle name="Comma 5 6 2" xfId="510"/>
    <cellStyle name="Comma 5 6 2 2" xfId="691"/>
    <cellStyle name="Comma 5 6 2 2 2" xfId="3179"/>
    <cellStyle name="Comma 5 6 2 2 2 2" xfId="12324"/>
    <cellStyle name="Comma 5 6 2 2 2 2 2" xfId="22542"/>
    <cellStyle name="Comma 5 6 2 2 2 3" xfId="8746"/>
    <cellStyle name="Comma 5 6 2 2 2 4" xfId="17535"/>
    <cellStyle name="Comma 5 6 2 2 3" xfId="4508"/>
    <cellStyle name="Comma 5 6 2 2 3 2" xfId="13348"/>
    <cellStyle name="Comma 5 6 2 2 3 2 2" xfId="23599"/>
    <cellStyle name="Comma 5 6 2 2 3 3" xfId="9769"/>
    <cellStyle name="Comma 5 6 2 2 3 4" xfId="18592"/>
    <cellStyle name="Comma 5 6 2 2 4" xfId="2288"/>
    <cellStyle name="Comma 5 6 2 2 4 2" xfId="11655"/>
    <cellStyle name="Comma 5 6 2 2 4 3" xfId="21659"/>
    <cellStyle name="Comma 5 6 2 2 5" xfId="5966"/>
    <cellStyle name="Comma 5 6 2 2 5 2" xfId="14793"/>
    <cellStyle name="Comma 5 6 2 2 5 3" xfId="25044"/>
    <cellStyle name="Comma 5 6 2 2 6" xfId="7410"/>
    <cellStyle name="Comma 5 6 2 2 6 2" xfId="20141"/>
    <cellStyle name="Comma 5 6 2 2 7" xfId="16652"/>
    <cellStyle name="Comma 5 6 2 3" xfId="1282"/>
    <cellStyle name="Comma 5 6 2 3 2" xfId="3713"/>
    <cellStyle name="Comma 5 6 2 3 2 2" xfId="12851"/>
    <cellStyle name="Comma 5 6 2 3 2 2 2" xfId="23070"/>
    <cellStyle name="Comma 5 6 2 3 2 3" xfId="9272"/>
    <cellStyle name="Comma 5 6 2 3 2 4" xfId="18063"/>
    <cellStyle name="Comma 5 6 2 3 3" xfId="4857"/>
    <cellStyle name="Comma 5 6 2 3 3 2" xfId="13696"/>
    <cellStyle name="Comma 5 6 2 3 3 2 2" xfId="23947"/>
    <cellStyle name="Comma 5 6 2 3 3 3" xfId="10117"/>
    <cellStyle name="Comma 5 6 2 3 3 4" xfId="18940"/>
    <cellStyle name="Comma 5 6 2 3 4" xfId="2107"/>
    <cellStyle name="Comma 5 6 2 3 4 2" xfId="11474"/>
    <cellStyle name="Comma 5 6 2 3 4 3" xfId="21478"/>
    <cellStyle name="Comma 5 6 2 3 5" xfId="6314"/>
    <cellStyle name="Comma 5 6 2 3 5 2" xfId="15141"/>
    <cellStyle name="Comma 5 6 2 3 5 3" xfId="25392"/>
    <cellStyle name="Comma 5 6 2 3 6" xfId="7760"/>
    <cellStyle name="Comma 5 6 2 3 6 2" xfId="20669"/>
    <cellStyle name="Comma 5 6 2 3 7" xfId="16471"/>
    <cellStyle name="Comma 5 6 2 4" xfId="2998"/>
    <cellStyle name="Comma 5 6 2 4 2" xfId="5376"/>
    <cellStyle name="Comma 5 6 2 4 2 2" xfId="14215"/>
    <cellStyle name="Comma 5 6 2 4 2 2 2" xfId="24466"/>
    <cellStyle name="Comma 5 6 2 4 2 3" xfId="10636"/>
    <cellStyle name="Comma 5 6 2 4 2 4" xfId="19459"/>
    <cellStyle name="Comma 5 6 2 4 3" xfId="6833"/>
    <cellStyle name="Comma 5 6 2 4 3 2" xfId="15660"/>
    <cellStyle name="Comma 5 6 2 4 3 3" xfId="25911"/>
    <cellStyle name="Comma 5 6 2 4 4" xfId="8279"/>
    <cellStyle name="Comma 5 6 2 4 4 2" xfId="22361"/>
    <cellStyle name="Comma 5 6 2 4 5" xfId="17354"/>
    <cellStyle name="Comma 5 6 2 5" xfId="4332"/>
    <cellStyle name="Comma 5 6 2 5 2" xfId="13172"/>
    <cellStyle name="Comma 5 6 2 5 2 2" xfId="23423"/>
    <cellStyle name="Comma 5 6 2 5 3" xfId="9593"/>
    <cellStyle name="Comma 5 6 2 5 4" xfId="18416"/>
    <cellStyle name="Comma 5 6 2 6" xfId="1604"/>
    <cellStyle name="Comma 5 6 2 6 2" xfId="10983"/>
    <cellStyle name="Comma 5 6 2 6 3" xfId="20987"/>
    <cellStyle name="Comma 5 6 2 7" xfId="5790"/>
    <cellStyle name="Comma 5 6 2 7 2" xfId="14617"/>
    <cellStyle name="Comma 5 6 2 7 3" xfId="24868"/>
    <cellStyle name="Comma 5 6 2 8" xfId="7234"/>
    <cellStyle name="Comma 5 6 2 8 2" xfId="19960"/>
    <cellStyle name="Comma 5 6 2 9" xfId="15980"/>
    <cellStyle name="Comma 5 6 3" xfId="410"/>
    <cellStyle name="Comma 5 6 3 2" xfId="2898"/>
    <cellStyle name="Comma 5 6 3 2 2" xfId="12188"/>
    <cellStyle name="Comma 5 6 3 2 2 2" xfId="22261"/>
    <cellStyle name="Comma 5 6 3 2 3" xfId="8395"/>
    <cellStyle name="Comma 5 6 3 2 4" xfId="17254"/>
    <cellStyle name="Comma 5 6 3 3" xfId="4507"/>
    <cellStyle name="Comma 5 6 3 3 2" xfId="13347"/>
    <cellStyle name="Comma 5 6 3 3 2 2" xfId="23598"/>
    <cellStyle name="Comma 5 6 3 3 3" xfId="9768"/>
    <cellStyle name="Comma 5 6 3 3 4" xfId="18591"/>
    <cellStyle name="Comma 5 6 3 4" xfId="2007"/>
    <cellStyle name="Comma 5 6 3 4 2" xfId="11374"/>
    <cellStyle name="Comma 5 6 3 4 3" xfId="21378"/>
    <cellStyle name="Comma 5 6 3 5" xfId="5965"/>
    <cellStyle name="Comma 5 6 3 5 2" xfId="14792"/>
    <cellStyle name="Comma 5 6 3 5 3" xfId="25043"/>
    <cellStyle name="Comma 5 6 3 6" xfId="7409"/>
    <cellStyle name="Comma 5 6 3 6 2" xfId="19860"/>
    <cellStyle name="Comma 5 6 3 7" xfId="16371"/>
    <cellStyle name="Comma 5 6 4" xfId="690"/>
    <cellStyle name="Comma 5 6 4 2" xfId="3178"/>
    <cellStyle name="Comma 5 6 4 2 2" xfId="12323"/>
    <cellStyle name="Comma 5 6 4 2 2 2" xfId="22541"/>
    <cellStyle name="Comma 5 6 4 2 3" xfId="8745"/>
    <cellStyle name="Comma 5 6 4 2 4" xfId="17534"/>
    <cellStyle name="Comma 5 6 4 3" xfId="4856"/>
    <cellStyle name="Comma 5 6 4 3 2" xfId="13695"/>
    <cellStyle name="Comma 5 6 4 3 2 2" xfId="23946"/>
    <cellStyle name="Comma 5 6 4 3 3" xfId="10116"/>
    <cellStyle name="Comma 5 6 4 3 4" xfId="18939"/>
    <cellStyle name="Comma 5 6 4 4" xfId="2287"/>
    <cellStyle name="Comma 5 6 4 4 2" xfId="11654"/>
    <cellStyle name="Comma 5 6 4 4 3" xfId="21658"/>
    <cellStyle name="Comma 5 6 4 5" xfId="6313"/>
    <cellStyle name="Comma 5 6 4 5 2" xfId="15140"/>
    <cellStyle name="Comma 5 6 4 5 3" xfId="25391"/>
    <cellStyle name="Comma 5 6 4 6" xfId="7759"/>
    <cellStyle name="Comma 5 6 4 6 2" xfId="20140"/>
    <cellStyle name="Comma 5 6 4 7" xfId="16651"/>
    <cellStyle name="Comma 5 6 5" xfId="1182"/>
    <cellStyle name="Comma 5 6 5 2" xfId="3613"/>
    <cellStyle name="Comma 5 6 5 2 2" xfId="12751"/>
    <cellStyle name="Comma 5 6 5 2 2 2" xfId="22970"/>
    <cellStyle name="Comma 5 6 5 2 3" xfId="9172"/>
    <cellStyle name="Comma 5 6 5 2 4" xfId="17963"/>
    <cellStyle name="Comma 5 6 5 3" xfId="5276"/>
    <cellStyle name="Comma 5 6 5 3 2" xfId="14115"/>
    <cellStyle name="Comma 5 6 5 3 2 2" xfId="24366"/>
    <cellStyle name="Comma 5 6 5 3 3" xfId="10536"/>
    <cellStyle name="Comma 5 6 5 3 4" xfId="19359"/>
    <cellStyle name="Comma 5 6 5 4" xfId="1786"/>
    <cellStyle name="Comma 5 6 5 4 2" xfId="11157"/>
    <cellStyle name="Comma 5 6 5 4 3" xfId="21161"/>
    <cellStyle name="Comma 5 6 5 5" xfId="6733"/>
    <cellStyle name="Comma 5 6 5 5 2" xfId="15560"/>
    <cellStyle name="Comma 5 6 5 5 3" xfId="25811"/>
    <cellStyle name="Comma 5 6 5 6" xfId="8179"/>
    <cellStyle name="Comma 5 6 5 6 2" xfId="20569"/>
    <cellStyle name="Comma 5 6 5 7" xfId="16154"/>
    <cellStyle name="Comma 5 6 6" xfId="2681"/>
    <cellStyle name="Comma 5 6 6 2" xfId="12000"/>
    <cellStyle name="Comma 5 6 6 2 2" xfId="22044"/>
    <cellStyle name="Comma 5 6 6 3" xfId="8574"/>
    <cellStyle name="Comma 5 6 6 4" xfId="17037"/>
    <cellStyle name="Comma 5 6 7" xfId="4232"/>
    <cellStyle name="Comma 5 6 7 2" xfId="13072"/>
    <cellStyle name="Comma 5 6 7 2 2" xfId="23323"/>
    <cellStyle name="Comma 5 6 7 3" xfId="9493"/>
    <cellStyle name="Comma 5 6 7 4" xfId="18316"/>
    <cellStyle name="Comma 5 6 8" xfId="1504"/>
    <cellStyle name="Comma 5 6 8 2" xfId="10883"/>
    <cellStyle name="Comma 5 6 8 3" xfId="20887"/>
    <cellStyle name="Comma 5 6 9" xfId="5690"/>
    <cellStyle name="Comma 5 6 9 2" xfId="14517"/>
    <cellStyle name="Comma 5 6 9 3" xfId="24768"/>
    <cellStyle name="Comma 5 7" xfId="235"/>
    <cellStyle name="Comma 5 7 10" xfId="7077"/>
    <cellStyle name="Comma 5 7 10 2" xfId="19691"/>
    <cellStyle name="Comma 5 7 11" xfId="15823"/>
    <cellStyle name="Comma 5 7 2" xfId="558"/>
    <cellStyle name="Comma 5 7 2 2" xfId="693"/>
    <cellStyle name="Comma 5 7 2 2 2" xfId="3181"/>
    <cellStyle name="Comma 5 7 2 2 2 2" xfId="12326"/>
    <cellStyle name="Comma 5 7 2 2 2 2 2" xfId="22544"/>
    <cellStyle name="Comma 5 7 2 2 2 3" xfId="8748"/>
    <cellStyle name="Comma 5 7 2 2 2 4" xfId="17537"/>
    <cellStyle name="Comma 5 7 2 2 3" xfId="4510"/>
    <cellStyle name="Comma 5 7 2 2 3 2" xfId="13350"/>
    <cellStyle name="Comma 5 7 2 2 3 2 2" xfId="23601"/>
    <cellStyle name="Comma 5 7 2 2 3 3" xfId="9771"/>
    <cellStyle name="Comma 5 7 2 2 3 4" xfId="18594"/>
    <cellStyle name="Comma 5 7 2 2 4" xfId="2290"/>
    <cellStyle name="Comma 5 7 2 2 4 2" xfId="11657"/>
    <cellStyle name="Comma 5 7 2 2 4 3" xfId="21661"/>
    <cellStyle name="Comma 5 7 2 2 5" xfId="5968"/>
    <cellStyle name="Comma 5 7 2 2 5 2" xfId="14795"/>
    <cellStyle name="Comma 5 7 2 2 5 3" xfId="25046"/>
    <cellStyle name="Comma 5 7 2 2 6" xfId="7412"/>
    <cellStyle name="Comma 5 7 2 2 6 2" xfId="20143"/>
    <cellStyle name="Comma 5 7 2 2 7" xfId="16654"/>
    <cellStyle name="Comma 5 7 2 3" xfId="1330"/>
    <cellStyle name="Comma 5 7 2 3 2" xfId="3761"/>
    <cellStyle name="Comma 5 7 2 3 2 2" xfId="12899"/>
    <cellStyle name="Comma 5 7 2 3 2 2 2" xfId="23118"/>
    <cellStyle name="Comma 5 7 2 3 2 3" xfId="9320"/>
    <cellStyle name="Comma 5 7 2 3 2 4" xfId="18111"/>
    <cellStyle name="Comma 5 7 2 3 3" xfId="4859"/>
    <cellStyle name="Comma 5 7 2 3 3 2" xfId="13698"/>
    <cellStyle name="Comma 5 7 2 3 3 2 2" xfId="23949"/>
    <cellStyle name="Comma 5 7 2 3 3 3" xfId="10119"/>
    <cellStyle name="Comma 5 7 2 3 3 4" xfId="18942"/>
    <cellStyle name="Comma 5 7 2 3 4" xfId="2155"/>
    <cellStyle name="Comma 5 7 2 3 4 2" xfId="11522"/>
    <cellStyle name="Comma 5 7 2 3 4 3" xfId="21526"/>
    <cellStyle name="Comma 5 7 2 3 5" xfId="6316"/>
    <cellStyle name="Comma 5 7 2 3 5 2" xfId="15143"/>
    <cellStyle name="Comma 5 7 2 3 5 3" xfId="25394"/>
    <cellStyle name="Comma 5 7 2 3 6" xfId="7762"/>
    <cellStyle name="Comma 5 7 2 3 6 2" xfId="20717"/>
    <cellStyle name="Comma 5 7 2 3 7" xfId="16519"/>
    <cellStyle name="Comma 5 7 2 4" xfId="3046"/>
    <cellStyle name="Comma 5 7 2 4 2" xfId="5424"/>
    <cellStyle name="Comma 5 7 2 4 2 2" xfId="14263"/>
    <cellStyle name="Comma 5 7 2 4 2 2 2" xfId="24514"/>
    <cellStyle name="Comma 5 7 2 4 2 3" xfId="10684"/>
    <cellStyle name="Comma 5 7 2 4 2 4" xfId="19507"/>
    <cellStyle name="Comma 5 7 2 4 3" xfId="6881"/>
    <cellStyle name="Comma 5 7 2 4 3 2" xfId="15708"/>
    <cellStyle name="Comma 5 7 2 4 3 3" xfId="25959"/>
    <cellStyle name="Comma 5 7 2 4 4" xfId="8327"/>
    <cellStyle name="Comma 5 7 2 4 4 2" xfId="22409"/>
    <cellStyle name="Comma 5 7 2 4 5" xfId="17402"/>
    <cellStyle name="Comma 5 7 2 5" xfId="4380"/>
    <cellStyle name="Comma 5 7 2 5 2" xfId="13220"/>
    <cellStyle name="Comma 5 7 2 5 2 2" xfId="23471"/>
    <cellStyle name="Comma 5 7 2 5 3" xfId="9641"/>
    <cellStyle name="Comma 5 7 2 5 4" xfId="18464"/>
    <cellStyle name="Comma 5 7 2 6" xfId="1652"/>
    <cellStyle name="Comma 5 7 2 6 2" xfId="11031"/>
    <cellStyle name="Comma 5 7 2 6 3" xfId="21035"/>
    <cellStyle name="Comma 5 7 2 7" xfId="5838"/>
    <cellStyle name="Comma 5 7 2 7 2" xfId="14665"/>
    <cellStyle name="Comma 5 7 2 7 3" xfId="24916"/>
    <cellStyle name="Comma 5 7 2 8" xfId="7282"/>
    <cellStyle name="Comma 5 7 2 8 2" xfId="20008"/>
    <cellStyle name="Comma 5 7 2 9" xfId="16028"/>
    <cellStyle name="Comma 5 7 3" xfId="353"/>
    <cellStyle name="Comma 5 7 3 2" xfId="2841"/>
    <cellStyle name="Comma 5 7 3 2 2" xfId="12131"/>
    <cellStyle name="Comma 5 7 3 2 2 2" xfId="22204"/>
    <cellStyle name="Comma 5 7 3 2 3" xfId="8544"/>
    <cellStyle name="Comma 5 7 3 2 4" xfId="17197"/>
    <cellStyle name="Comma 5 7 3 3" xfId="4509"/>
    <cellStyle name="Comma 5 7 3 3 2" xfId="13349"/>
    <cellStyle name="Comma 5 7 3 3 2 2" xfId="23600"/>
    <cellStyle name="Comma 5 7 3 3 3" xfId="9770"/>
    <cellStyle name="Comma 5 7 3 3 4" xfId="18593"/>
    <cellStyle name="Comma 5 7 3 4" xfId="1950"/>
    <cellStyle name="Comma 5 7 3 4 2" xfId="11317"/>
    <cellStyle name="Comma 5 7 3 4 3" xfId="21321"/>
    <cellStyle name="Comma 5 7 3 5" xfId="5967"/>
    <cellStyle name="Comma 5 7 3 5 2" xfId="14794"/>
    <cellStyle name="Comma 5 7 3 5 3" xfId="25045"/>
    <cellStyle name="Comma 5 7 3 6" xfId="7411"/>
    <cellStyle name="Comma 5 7 3 6 2" xfId="19803"/>
    <cellStyle name="Comma 5 7 3 7" xfId="16314"/>
    <cellStyle name="Comma 5 7 4" xfId="692"/>
    <cellStyle name="Comma 5 7 4 2" xfId="3180"/>
    <cellStyle name="Comma 5 7 4 2 2" xfId="12325"/>
    <cellStyle name="Comma 5 7 4 2 2 2" xfId="22543"/>
    <cellStyle name="Comma 5 7 4 2 3" xfId="8747"/>
    <cellStyle name="Comma 5 7 4 2 4" xfId="17536"/>
    <cellStyle name="Comma 5 7 4 3" xfId="4858"/>
    <cellStyle name="Comma 5 7 4 3 2" xfId="13697"/>
    <cellStyle name="Comma 5 7 4 3 2 2" xfId="23948"/>
    <cellStyle name="Comma 5 7 4 3 3" xfId="10118"/>
    <cellStyle name="Comma 5 7 4 3 4" xfId="18941"/>
    <cellStyle name="Comma 5 7 4 4" xfId="2289"/>
    <cellStyle name="Comma 5 7 4 4 2" xfId="11656"/>
    <cellStyle name="Comma 5 7 4 4 3" xfId="21660"/>
    <cellStyle name="Comma 5 7 4 5" xfId="6315"/>
    <cellStyle name="Comma 5 7 4 5 2" xfId="15142"/>
    <cellStyle name="Comma 5 7 4 5 3" xfId="25393"/>
    <cellStyle name="Comma 5 7 4 6" xfId="7761"/>
    <cellStyle name="Comma 5 7 4 6 2" xfId="20142"/>
    <cellStyle name="Comma 5 7 4 7" xfId="16653"/>
    <cellStyle name="Comma 5 7 5" xfId="1125"/>
    <cellStyle name="Comma 5 7 5 2" xfId="3556"/>
    <cellStyle name="Comma 5 7 5 2 2" xfId="12694"/>
    <cellStyle name="Comma 5 7 5 2 2 2" xfId="22913"/>
    <cellStyle name="Comma 5 7 5 2 3" xfId="9115"/>
    <cellStyle name="Comma 5 7 5 2 4" xfId="17906"/>
    <cellStyle name="Comma 5 7 5 3" xfId="5219"/>
    <cellStyle name="Comma 5 7 5 3 2" xfId="14058"/>
    <cellStyle name="Comma 5 7 5 3 2 2" xfId="24309"/>
    <cellStyle name="Comma 5 7 5 3 3" xfId="10479"/>
    <cellStyle name="Comma 5 7 5 3 4" xfId="19302"/>
    <cellStyle name="Comma 5 7 5 4" xfId="1835"/>
    <cellStyle name="Comma 5 7 5 4 2" xfId="11205"/>
    <cellStyle name="Comma 5 7 5 4 3" xfId="21209"/>
    <cellStyle name="Comma 5 7 5 5" xfId="6676"/>
    <cellStyle name="Comma 5 7 5 5 2" xfId="15503"/>
    <cellStyle name="Comma 5 7 5 5 3" xfId="25754"/>
    <cellStyle name="Comma 5 7 5 6" xfId="8122"/>
    <cellStyle name="Comma 5 7 5 6 2" xfId="20512"/>
    <cellStyle name="Comma 5 7 5 7" xfId="16202"/>
    <cellStyle name="Comma 5 7 6" xfId="2729"/>
    <cellStyle name="Comma 5 7 6 2" xfId="12048"/>
    <cellStyle name="Comma 5 7 6 2 2" xfId="22092"/>
    <cellStyle name="Comma 5 7 6 3" xfId="8504"/>
    <cellStyle name="Comma 5 7 6 4" xfId="17085"/>
    <cellStyle name="Comma 5 7 7" xfId="4175"/>
    <cellStyle name="Comma 5 7 7 2" xfId="13015"/>
    <cellStyle name="Comma 5 7 7 2 2" xfId="23266"/>
    <cellStyle name="Comma 5 7 7 3" xfId="9436"/>
    <cellStyle name="Comma 5 7 7 4" xfId="18259"/>
    <cellStyle name="Comma 5 7 8" xfId="1447"/>
    <cellStyle name="Comma 5 7 8 2" xfId="10826"/>
    <cellStyle name="Comma 5 7 8 3" xfId="20830"/>
    <cellStyle name="Comma 5 7 9" xfId="5633"/>
    <cellStyle name="Comma 5 7 9 2" xfId="14460"/>
    <cellStyle name="Comma 5 7 9 3" xfId="24711"/>
    <cellStyle name="Comma 5 8" xfId="292"/>
    <cellStyle name="Comma 5 8 10" xfId="16084"/>
    <cellStyle name="Comma 5 8 2" xfId="614"/>
    <cellStyle name="Comma 5 8 2 2" xfId="3102"/>
    <cellStyle name="Comma 5 8 2 2 2" xfId="12247"/>
    <cellStyle name="Comma 5 8 2 2 2 2" xfId="22465"/>
    <cellStyle name="Comma 5 8 2 2 3" xfId="8669"/>
    <cellStyle name="Comma 5 8 2 2 4" xfId="17458"/>
    <cellStyle name="Comma 5 8 2 3" xfId="4511"/>
    <cellStyle name="Comma 5 8 2 3 2" xfId="13351"/>
    <cellStyle name="Comma 5 8 2 3 2 2" xfId="23602"/>
    <cellStyle name="Comma 5 8 2 3 3" xfId="9772"/>
    <cellStyle name="Comma 5 8 2 3 4" xfId="18595"/>
    <cellStyle name="Comma 5 8 2 4" xfId="2211"/>
    <cellStyle name="Comma 5 8 2 4 2" xfId="11578"/>
    <cellStyle name="Comma 5 8 2 4 3" xfId="21582"/>
    <cellStyle name="Comma 5 8 2 5" xfId="5969"/>
    <cellStyle name="Comma 5 8 2 5 2" xfId="14796"/>
    <cellStyle name="Comma 5 8 2 5 3" xfId="25047"/>
    <cellStyle name="Comma 5 8 2 6" xfId="7413"/>
    <cellStyle name="Comma 5 8 2 6 2" xfId="20064"/>
    <cellStyle name="Comma 5 8 2 7" xfId="16575"/>
    <cellStyle name="Comma 5 8 3" xfId="694"/>
    <cellStyle name="Comma 5 8 3 2" xfId="3182"/>
    <cellStyle name="Comma 5 8 3 2 2" xfId="12327"/>
    <cellStyle name="Comma 5 8 3 2 2 2" xfId="22545"/>
    <cellStyle name="Comma 5 8 3 2 3" xfId="8749"/>
    <cellStyle name="Comma 5 8 3 2 4" xfId="17538"/>
    <cellStyle name="Comma 5 8 3 3" xfId="4860"/>
    <cellStyle name="Comma 5 8 3 3 2" xfId="13699"/>
    <cellStyle name="Comma 5 8 3 3 2 2" xfId="23950"/>
    <cellStyle name="Comma 5 8 3 3 3" xfId="10120"/>
    <cellStyle name="Comma 5 8 3 3 4" xfId="18943"/>
    <cellStyle name="Comma 5 8 3 4" xfId="2291"/>
    <cellStyle name="Comma 5 8 3 4 2" xfId="11658"/>
    <cellStyle name="Comma 5 8 3 4 3" xfId="21662"/>
    <cellStyle name="Comma 5 8 3 5" xfId="6317"/>
    <cellStyle name="Comma 5 8 3 5 2" xfId="15144"/>
    <cellStyle name="Comma 5 8 3 5 3" xfId="25395"/>
    <cellStyle name="Comma 5 8 3 6" xfId="7763"/>
    <cellStyle name="Comma 5 8 3 6 2" xfId="20144"/>
    <cellStyle name="Comma 5 8 3 7" xfId="16655"/>
    <cellStyle name="Comma 5 8 4" xfId="1386"/>
    <cellStyle name="Comma 5 8 4 2" xfId="3817"/>
    <cellStyle name="Comma 5 8 4 2 2" xfId="12955"/>
    <cellStyle name="Comma 5 8 4 2 2 2" xfId="23174"/>
    <cellStyle name="Comma 5 8 4 2 3" xfId="9376"/>
    <cellStyle name="Comma 5 8 4 2 4" xfId="18167"/>
    <cellStyle name="Comma 5 8 4 3" xfId="5480"/>
    <cellStyle name="Comma 5 8 4 3 2" xfId="14319"/>
    <cellStyle name="Comma 5 8 4 3 2 2" xfId="24570"/>
    <cellStyle name="Comma 5 8 4 3 3" xfId="10740"/>
    <cellStyle name="Comma 5 8 4 3 4" xfId="19563"/>
    <cellStyle name="Comma 5 8 4 4" xfId="1891"/>
    <cellStyle name="Comma 5 8 4 4 2" xfId="11261"/>
    <cellStyle name="Comma 5 8 4 4 3" xfId="21265"/>
    <cellStyle name="Comma 5 8 4 5" xfId="6937"/>
    <cellStyle name="Comma 5 8 4 5 2" xfId="15764"/>
    <cellStyle name="Comma 5 8 4 5 3" xfId="26015"/>
    <cellStyle name="Comma 5 8 4 6" xfId="8383"/>
    <cellStyle name="Comma 5 8 4 6 2" xfId="20773"/>
    <cellStyle name="Comma 5 8 4 7" xfId="16258"/>
    <cellStyle name="Comma 5 8 5" xfId="2785"/>
    <cellStyle name="Comma 5 8 5 2" xfId="12104"/>
    <cellStyle name="Comma 5 8 5 2 2" xfId="22148"/>
    <cellStyle name="Comma 5 8 5 3" xfId="8616"/>
    <cellStyle name="Comma 5 8 5 4" xfId="17141"/>
    <cellStyle name="Comma 5 8 6" xfId="4436"/>
    <cellStyle name="Comma 5 8 6 2" xfId="13276"/>
    <cellStyle name="Comma 5 8 6 2 2" xfId="23527"/>
    <cellStyle name="Comma 5 8 6 3" xfId="9697"/>
    <cellStyle name="Comma 5 8 6 4" xfId="18520"/>
    <cellStyle name="Comma 5 8 7" xfId="1708"/>
    <cellStyle name="Comma 5 8 7 2" xfId="11087"/>
    <cellStyle name="Comma 5 8 7 3" xfId="21091"/>
    <cellStyle name="Comma 5 8 8" xfId="5894"/>
    <cellStyle name="Comma 5 8 8 2" xfId="14721"/>
    <cellStyle name="Comma 5 8 8 3" xfId="24972"/>
    <cellStyle name="Comma 5 8 9" xfId="7338"/>
    <cellStyle name="Comma 5 8 9 2" xfId="19747"/>
    <cellStyle name="Comma 5 9" xfId="453"/>
    <cellStyle name="Comma 5 9 2" xfId="695"/>
    <cellStyle name="Comma 5 9 2 2" xfId="3183"/>
    <cellStyle name="Comma 5 9 2 2 2" xfId="12328"/>
    <cellStyle name="Comma 5 9 2 2 2 2" xfId="22546"/>
    <cellStyle name="Comma 5 9 2 2 3" xfId="8750"/>
    <cellStyle name="Comma 5 9 2 2 4" xfId="17539"/>
    <cellStyle name="Comma 5 9 2 3" xfId="4512"/>
    <cellStyle name="Comma 5 9 2 3 2" xfId="13352"/>
    <cellStyle name="Comma 5 9 2 3 2 2" xfId="23603"/>
    <cellStyle name="Comma 5 9 2 3 3" xfId="9773"/>
    <cellStyle name="Comma 5 9 2 3 4" xfId="18596"/>
    <cellStyle name="Comma 5 9 2 4" xfId="2292"/>
    <cellStyle name="Comma 5 9 2 4 2" xfId="11659"/>
    <cellStyle name="Comma 5 9 2 4 3" xfId="21663"/>
    <cellStyle name="Comma 5 9 2 5" xfId="5970"/>
    <cellStyle name="Comma 5 9 2 5 2" xfId="14797"/>
    <cellStyle name="Comma 5 9 2 5 3" xfId="25048"/>
    <cellStyle name="Comma 5 9 2 6" xfId="7414"/>
    <cellStyle name="Comma 5 9 2 6 2" xfId="20145"/>
    <cellStyle name="Comma 5 9 2 7" xfId="16656"/>
    <cellStyle name="Comma 5 9 3" xfId="1225"/>
    <cellStyle name="Comma 5 9 3 2" xfId="3656"/>
    <cellStyle name="Comma 5 9 3 2 2" xfId="12794"/>
    <cellStyle name="Comma 5 9 3 2 2 2" xfId="23013"/>
    <cellStyle name="Comma 5 9 3 2 3" xfId="9215"/>
    <cellStyle name="Comma 5 9 3 2 4" xfId="18006"/>
    <cellStyle name="Comma 5 9 3 3" xfId="4861"/>
    <cellStyle name="Comma 5 9 3 3 2" xfId="13700"/>
    <cellStyle name="Comma 5 9 3 3 2 2" xfId="23951"/>
    <cellStyle name="Comma 5 9 3 3 3" xfId="10121"/>
    <cellStyle name="Comma 5 9 3 3 4" xfId="18944"/>
    <cellStyle name="Comma 5 9 3 4" xfId="2050"/>
    <cellStyle name="Comma 5 9 3 4 2" xfId="11417"/>
    <cellStyle name="Comma 5 9 3 4 3" xfId="21421"/>
    <cellStyle name="Comma 5 9 3 5" xfId="6318"/>
    <cellStyle name="Comma 5 9 3 5 2" xfId="15145"/>
    <cellStyle name="Comma 5 9 3 5 3" xfId="25396"/>
    <cellStyle name="Comma 5 9 3 6" xfId="7764"/>
    <cellStyle name="Comma 5 9 3 6 2" xfId="20612"/>
    <cellStyle name="Comma 5 9 3 7" xfId="16414"/>
    <cellStyle name="Comma 5 9 4" xfId="2941"/>
    <cellStyle name="Comma 5 9 4 2" xfId="5319"/>
    <cellStyle name="Comma 5 9 4 2 2" xfId="14158"/>
    <cellStyle name="Comma 5 9 4 2 2 2" xfId="24409"/>
    <cellStyle name="Comma 5 9 4 2 3" xfId="10579"/>
    <cellStyle name="Comma 5 9 4 2 4" xfId="19402"/>
    <cellStyle name="Comma 5 9 4 3" xfId="6776"/>
    <cellStyle name="Comma 5 9 4 3 2" xfId="15603"/>
    <cellStyle name="Comma 5 9 4 3 3" xfId="25854"/>
    <cellStyle name="Comma 5 9 4 4" xfId="8222"/>
    <cellStyle name="Comma 5 9 4 4 2" xfId="22304"/>
    <cellStyle name="Comma 5 9 4 5" xfId="17297"/>
    <cellStyle name="Comma 5 9 5" xfId="4275"/>
    <cellStyle name="Comma 5 9 5 2" xfId="13115"/>
    <cellStyle name="Comma 5 9 5 2 2" xfId="23366"/>
    <cellStyle name="Comma 5 9 5 3" xfId="9536"/>
    <cellStyle name="Comma 5 9 5 4" xfId="18359"/>
    <cellStyle name="Comma 5 9 6" xfId="1547"/>
    <cellStyle name="Comma 5 9 6 2" xfId="10926"/>
    <cellStyle name="Comma 5 9 6 3" xfId="20930"/>
    <cellStyle name="Comma 5 9 7" xfId="5733"/>
    <cellStyle name="Comma 5 9 7 2" xfId="14560"/>
    <cellStyle name="Comma 5 9 7 3" xfId="24811"/>
    <cellStyle name="Comma 5 9 8" xfId="7177"/>
    <cellStyle name="Comma 5 9 8 2" xfId="19903"/>
    <cellStyle name="Comma 5 9 9" xfId="15923"/>
    <cellStyle name="Comma 6" xfId="126"/>
    <cellStyle name="Comma 6 10" xfId="4107"/>
    <cellStyle name="Comma 6 10 2" xfId="5567"/>
    <cellStyle name="Comma 6 10 2 2" xfId="14394"/>
    <cellStyle name="Comma 6 10 2 3" xfId="24645"/>
    <cellStyle name="Comma 6 10 3" xfId="7011"/>
    <cellStyle name="Comma 6 10 3 2" xfId="23198"/>
    <cellStyle name="Comma 6 10 4" xfId="18191"/>
    <cellStyle name="Comma 6 11" xfId="1400"/>
    <cellStyle name="Comma 6 11 2" xfId="10780"/>
    <cellStyle name="Comma 6 11 3" xfId="20784"/>
    <cellStyle name="Comma 6 12" xfId="5535"/>
    <cellStyle name="Comma 6 12 2" xfId="14364"/>
    <cellStyle name="Comma 6 12 3" xfId="24615"/>
    <cellStyle name="Comma 6 13" xfId="6978"/>
    <cellStyle name="Comma 6 13 2" xfId="19603"/>
    <cellStyle name="Comma 6 14" xfId="15777"/>
    <cellStyle name="Comma 6 2" xfId="154"/>
    <cellStyle name="Comma 6 2 10" xfId="1424"/>
    <cellStyle name="Comma 6 2 10 2" xfId="10803"/>
    <cellStyle name="Comma 6 2 10 3" xfId="20807"/>
    <cellStyle name="Comma 6 2 11" xfId="5610"/>
    <cellStyle name="Comma 6 2 11 2" xfId="14437"/>
    <cellStyle name="Comma 6 2 11 3" xfId="24688"/>
    <cellStyle name="Comma 6 2 12" xfId="7054"/>
    <cellStyle name="Comma 6 2 12 2" xfId="19622"/>
    <cellStyle name="Comma 6 2 13" xfId="15800"/>
    <cellStyle name="Comma 6 2 2" xfId="270"/>
    <cellStyle name="Comma 6 2 2 10" xfId="7113"/>
    <cellStyle name="Comma 6 2 2 10 2" xfId="19726"/>
    <cellStyle name="Comma 6 2 2 11" xfId="15859"/>
    <cellStyle name="Comma 6 2 2 2" xfId="593"/>
    <cellStyle name="Comma 6 2 2 2 2" xfId="699"/>
    <cellStyle name="Comma 6 2 2 2 2 2" xfId="3187"/>
    <cellStyle name="Comma 6 2 2 2 2 2 2" xfId="12332"/>
    <cellStyle name="Comma 6 2 2 2 2 2 2 2" xfId="22550"/>
    <cellStyle name="Comma 6 2 2 2 2 2 3" xfId="8754"/>
    <cellStyle name="Comma 6 2 2 2 2 2 4" xfId="17543"/>
    <cellStyle name="Comma 6 2 2 2 2 3" xfId="4516"/>
    <cellStyle name="Comma 6 2 2 2 2 3 2" xfId="13356"/>
    <cellStyle name="Comma 6 2 2 2 2 3 2 2" xfId="23607"/>
    <cellStyle name="Comma 6 2 2 2 2 3 3" xfId="9777"/>
    <cellStyle name="Comma 6 2 2 2 2 3 4" xfId="18600"/>
    <cellStyle name="Comma 6 2 2 2 2 4" xfId="2296"/>
    <cellStyle name="Comma 6 2 2 2 2 4 2" xfId="11663"/>
    <cellStyle name="Comma 6 2 2 2 2 4 3" xfId="21667"/>
    <cellStyle name="Comma 6 2 2 2 2 5" xfId="5974"/>
    <cellStyle name="Comma 6 2 2 2 2 5 2" xfId="14801"/>
    <cellStyle name="Comma 6 2 2 2 2 5 3" xfId="25052"/>
    <cellStyle name="Comma 6 2 2 2 2 6" xfId="7418"/>
    <cellStyle name="Comma 6 2 2 2 2 6 2" xfId="20149"/>
    <cellStyle name="Comma 6 2 2 2 2 7" xfId="16660"/>
    <cellStyle name="Comma 6 2 2 2 3" xfId="1365"/>
    <cellStyle name="Comma 6 2 2 2 3 2" xfId="3796"/>
    <cellStyle name="Comma 6 2 2 2 3 2 2" xfId="12934"/>
    <cellStyle name="Comma 6 2 2 2 3 2 2 2" xfId="23153"/>
    <cellStyle name="Comma 6 2 2 2 3 2 3" xfId="9355"/>
    <cellStyle name="Comma 6 2 2 2 3 2 4" xfId="18146"/>
    <cellStyle name="Comma 6 2 2 2 3 3" xfId="4865"/>
    <cellStyle name="Comma 6 2 2 2 3 3 2" xfId="13704"/>
    <cellStyle name="Comma 6 2 2 2 3 3 2 2" xfId="23955"/>
    <cellStyle name="Comma 6 2 2 2 3 3 3" xfId="10125"/>
    <cellStyle name="Comma 6 2 2 2 3 3 4" xfId="18948"/>
    <cellStyle name="Comma 6 2 2 2 3 4" xfId="2190"/>
    <cellStyle name="Comma 6 2 2 2 3 4 2" xfId="11557"/>
    <cellStyle name="Comma 6 2 2 2 3 4 3" xfId="21561"/>
    <cellStyle name="Comma 6 2 2 2 3 5" xfId="6322"/>
    <cellStyle name="Comma 6 2 2 2 3 5 2" xfId="15149"/>
    <cellStyle name="Comma 6 2 2 2 3 5 3" xfId="25400"/>
    <cellStyle name="Comma 6 2 2 2 3 6" xfId="7768"/>
    <cellStyle name="Comma 6 2 2 2 3 6 2" xfId="20752"/>
    <cellStyle name="Comma 6 2 2 2 3 7" xfId="16554"/>
    <cellStyle name="Comma 6 2 2 2 4" xfId="3081"/>
    <cellStyle name="Comma 6 2 2 2 4 2" xfId="5459"/>
    <cellStyle name="Comma 6 2 2 2 4 2 2" xfId="14298"/>
    <cellStyle name="Comma 6 2 2 2 4 2 2 2" xfId="24549"/>
    <cellStyle name="Comma 6 2 2 2 4 2 3" xfId="10719"/>
    <cellStyle name="Comma 6 2 2 2 4 2 4" xfId="19542"/>
    <cellStyle name="Comma 6 2 2 2 4 3" xfId="6916"/>
    <cellStyle name="Comma 6 2 2 2 4 3 2" xfId="15743"/>
    <cellStyle name="Comma 6 2 2 2 4 3 3" xfId="25994"/>
    <cellStyle name="Comma 6 2 2 2 4 4" xfId="8362"/>
    <cellStyle name="Comma 6 2 2 2 4 4 2" xfId="22444"/>
    <cellStyle name="Comma 6 2 2 2 4 5" xfId="17437"/>
    <cellStyle name="Comma 6 2 2 2 5" xfId="4415"/>
    <cellStyle name="Comma 6 2 2 2 5 2" xfId="13255"/>
    <cellStyle name="Comma 6 2 2 2 5 2 2" xfId="23506"/>
    <cellStyle name="Comma 6 2 2 2 5 3" xfId="9676"/>
    <cellStyle name="Comma 6 2 2 2 5 4" xfId="18499"/>
    <cellStyle name="Comma 6 2 2 2 6" xfId="1687"/>
    <cellStyle name="Comma 6 2 2 2 6 2" xfId="11066"/>
    <cellStyle name="Comma 6 2 2 2 6 3" xfId="21070"/>
    <cellStyle name="Comma 6 2 2 2 7" xfId="5873"/>
    <cellStyle name="Comma 6 2 2 2 7 2" xfId="14700"/>
    <cellStyle name="Comma 6 2 2 2 7 3" xfId="24951"/>
    <cellStyle name="Comma 6 2 2 2 8" xfId="7317"/>
    <cellStyle name="Comma 6 2 2 2 8 2" xfId="20043"/>
    <cellStyle name="Comma 6 2 2 2 9" xfId="16063"/>
    <cellStyle name="Comma 6 2 2 3" xfId="389"/>
    <cellStyle name="Comma 6 2 2 3 2" xfId="2877"/>
    <cellStyle name="Comma 6 2 2 3 2 2" xfId="12167"/>
    <cellStyle name="Comma 6 2 2 3 2 2 2" xfId="22240"/>
    <cellStyle name="Comma 6 2 2 3 2 3" xfId="8409"/>
    <cellStyle name="Comma 6 2 2 3 2 4" xfId="17233"/>
    <cellStyle name="Comma 6 2 2 3 3" xfId="4515"/>
    <cellStyle name="Comma 6 2 2 3 3 2" xfId="13355"/>
    <cellStyle name="Comma 6 2 2 3 3 2 2" xfId="23606"/>
    <cellStyle name="Comma 6 2 2 3 3 3" xfId="9776"/>
    <cellStyle name="Comma 6 2 2 3 3 4" xfId="18599"/>
    <cellStyle name="Comma 6 2 2 3 4" xfId="1986"/>
    <cellStyle name="Comma 6 2 2 3 4 2" xfId="11353"/>
    <cellStyle name="Comma 6 2 2 3 4 3" xfId="21357"/>
    <cellStyle name="Comma 6 2 2 3 5" xfId="5973"/>
    <cellStyle name="Comma 6 2 2 3 5 2" xfId="14800"/>
    <cellStyle name="Comma 6 2 2 3 5 3" xfId="25051"/>
    <cellStyle name="Comma 6 2 2 3 6" xfId="7417"/>
    <cellStyle name="Comma 6 2 2 3 6 2" xfId="19839"/>
    <cellStyle name="Comma 6 2 2 3 7" xfId="16350"/>
    <cellStyle name="Comma 6 2 2 4" xfId="698"/>
    <cellStyle name="Comma 6 2 2 4 2" xfId="3186"/>
    <cellStyle name="Comma 6 2 2 4 2 2" xfId="12331"/>
    <cellStyle name="Comma 6 2 2 4 2 2 2" xfId="22549"/>
    <cellStyle name="Comma 6 2 2 4 2 3" xfId="8753"/>
    <cellStyle name="Comma 6 2 2 4 2 4" xfId="17542"/>
    <cellStyle name="Comma 6 2 2 4 3" xfId="4864"/>
    <cellStyle name="Comma 6 2 2 4 3 2" xfId="13703"/>
    <cellStyle name="Comma 6 2 2 4 3 2 2" xfId="23954"/>
    <cellStyle name="Comma 6 2 2 4 3 3" xfId="10124"/>
    <cellStyle name="Comma 6 2 2 4 3 4" xfId="18947"/>
    <cellStyle name="Comma 6 2 2 4 4" xfId="2295"/>
    <cellStyle name="Comma 6 2 2 4 4 2" xfId="11662"/>
    <cellStyle name="Comma 6 2 2 4 4 3" xfId="21666"/>
    <cellStyle name="Comma 6 2 2 4 5" xfId="6321"/>
    <cellStyle name="Comma 6 2 2 4 5 2" xfId="15148"/>
    <cellStyle name="Comma 6 2 2 4 5 3" xfId="25399"/>
    <cellStyle name="Comma 6 2 2 4 6" xfId="7767"/>
    <cellStyle name="Comma 6 2 2 4 6 2" xfId="20148"/>
    <cellStyle name="Comma 6 2 2 4 7" xfId="16659"/>
    <cellStyle name="Comma 6 2 2 5" xfId="1161"/>
    <cellStyle name="Comma 6 2 2 5 2" xfId="3592"/>
    <cellStyle name="Comma 6 2 2 5 2 2" xfId="12730"/>
    <cellStyle name="Comma 6 2 2 5 2 2 2" xfId="22949"/>
    <cellStyle name="Comma 6 2 2 5 2 3" xfId="9151"/>
    <cellStyle name="Comma 6 2 2 5 2 4" xfId="17942"/>
    <cellStyle name="Comma 6 2 2 5 3" xfId="5255"/>
    <cellStyle name="Comma 6 2 2 5 3 2" xfId="14094"/>
    <cellStyle name="Comma 6 2 2 5 3 2 2" xfId="24345"/>
    <cellStyle name="Comma 6 2 2 5 3 3" xfId="10515"/>
    <cellStyle name="Comma 6 2 2 5 3 4" xfId="19338"/>
    <cellStyle name="Comma 6 2 2 5 4" xfId="1870"/>
    <cellStyle name="Comma 6 2 2 5 4 2" xfId="11240"/>
    <cellStyle name="Comma 6 2 2 5 4 3" xfId="21244"/>
    <cellStyle name="Comma 6 2 2 5 5" xfId="6712"/>
    <cellStyle name="Comma 6 2 2 5 5 2" xfId="15539"/>
    <cellStyle name="Comma 6 2 2 5 5 3" xfId="25790"/>
    <cellStyle name="Comma 6 2 2 5 6" xfId="8158"/>
    <cellStyle name="Comma 6 2 2 5 6 2" xfId="20548"/>
    <cellStyle name="Comma 6 2 2 5 7" xfId="16237"/>
    <cellStyle name="Comma 6 2 2 6" xfId="2764"/>
    <cellStyle name="Comma 6 2 2 6 2" xfId="12083"/>
    <cellStyle name="Comma 6 2 2 6 2 2" xfId="22127"/>
    <cellStyle name="Comma 6 2 2 6 3" xfId="8450"/>
    <cellStyle name="Comma 6 2 2 6 4" xfId="17120"/>
    <cellStyle name="Comma 6 2 2 7" xfId="4211"/>
    <cellStyle name="Comma 6 2 2 7 2" xfId="13051"/>
    <cellStyle name="Comma 6 2 2 7 2 2" xfId="23302"/>
    <cellStyle name="Comma 6 2 2 7 3" xfId="9472"/>
    <cellStyle name="Comma 6 2 2 7 4" xfId="18295"/>
    <cellStyle name="Comma 6 2 2 8" xfId="1483"/>
    <cellStyle name="Comma 6 2 2 8 2" xfId="10862"/>
    <cellStyle name="Comma 6 2 2 8 3" xfId="20866"/>
    <cellStyle name="Comma 6 2 2 9" xfId="5669"/>
    <cellStyle name="Comma 6 2 2 9 2" xfId="14496"/>
    <cellStyle name="Comma 6 2 2 9 3" xfId="24747"/>
    <cellStyle name="Comma 6 2 3" xfId="225"/>
    <cellStyle name="Comma 6 2 3 10" xfId="16021"/>
    <cellStyle name="Comma 6 2 3 2" xfId="551"/>
    <cellStyle name="Comma 6 2 3 2 2" xfId="3039"/>
    <cellStyle name="Comma 6 2 3 2 2 2" xfId="12229"/>
    <cellStyle name="Comma 6 2 3 2 2 2 2" xfId="22402"/>
    <cellStyle name="Comma 6 2 3 2 2 3" xfId="6950"/>
    <cellStyle name="Comma 6 2 3 2 2 4" xfId="17395"/>
    <cellStyle name="Comma 6 2 3 2 3" xfId="4517"/>
    <cellStyle name="Comma 6 2 3 2 3 2" xfId="13357"/>
    <cellStyle name="Comma 6 2 3 2 3 2 2" xfId="23608"/>
    <cellStyle name="Comma 6 2 3 2 3 3" xfId="9778"/>
    <cellStyle name="Comma 6 2 3 2 3 4" xfId="18601"/>
    <cellStyle name="Comma 6 2 3 2 4" xfId="2148"/>
    <cellStyle name="Comma 6 2 3 2 4 2" xfId="11515"/>
    <cellStyle name="Comma 6 2 3 2 4 3" xfId="21519"/>
    <cellStyle name="Comma 6 2 3 2 5" xfId="5975"/>
    <cellStyle name="Comma 6 2 3 2 5 2" xfId="14802"/>
    <cellStyle name="Comma 6 2 3 2 5 3" xfId="25053"/>
    <cellStyle name="Comma 6 2 3 2 6" xfId="7419"/>
    <cellStyle name="Comma 6 2 3 2 6 2" xfId="20001"/>
    <cellStyle name="Comma 6 2 3 2 7" xfId="16512"/>
    <cellStyle name="Comma 6 2 3 3" xfId="700"/>
    <cellStyle name="Comma 6 2 3 3 2" xfId="3188"/>
    <cellStyle name="Comma 6 2 3 3 2 2" xfId="12333"/>
    <cellStyle name="Comma 6 2 3 3 2 2 2" xfId="22551"/>
    <cellStyle name="Comma 6 2 3 3 2 3" xfId="8755"/>
    <cellStyle name="Comma 6 2 3 3 2 4" xfId="17544"/>
    <cellStyle name="Comma 6 2 3 3 3" xfId="4866"/>
    <cellStyle name="Comma 6 2 3 3 3 2" xfId="13705"/>
    <cellStyle name="Comma 6 2 3 3 3 2 2" xfId="23956"/>
    <cellStyle name="Comma 6 2 3 3 3 3" xfId="10126"/>
    <cellStyle name="Comma 6 2 3 3 3 4" xfId="18949"/>
    <cellStyle name="Comma 6 2 3 3 4" xfId="2297"/>
    <cellStyle name="Comma 6 2 3 3 4 2" xfId="11664"/>
    <cellStyle name="Comma 6 2 3 3 4 3" xfId="21668"/>
    <cellStyle name="Comma 6 2 3 3 5" xfId="6323"/>
    <cellStyle name="Comma 6 2 3 3 5 2" xfId="15150"/>
    <cellStyle name="Comma 6 2 3 3 5 3" xfId="25401"/>
    <cellStyle name="Comma 6 2 3 3 6" xfId="7769"/>
    <cellStyle name="Comma 6 2 3 3 6 2" xfId="20150"/>
    <cellStyle name="Comma 6 2 3 3 7" xfId="16661"/>
    <cellStyle name="Comma 6 2 3 4" xfId="1323"/>
    <cellStyle name="Comma 6 2 3 4 2" xfId="3754"/>
    <cellStyle name="Comma 6 2 3 4 2 2" xfId="12892"/>
    <cellStyle name="Comma 6 2 3 4 2 2 2" xfId="23111"/>
    <cellStyle name="Comma 6 2 3 4 2 3" xfId="9313"/>
    <cellStyle name="Comma 6 2 3 4 2 4" xfId="18104"/>
    <cellStyle name="Comma 6 2 3 4 3" xfId="5417"/>
    <cellStyle name="Comma 6 2 3 4 3 2" xfId="14256"/>
    <cellStyle name="Comma 6 2 3 4 3 2 2" xfId="24507"/>
    <cellStyle name="Comma 6 2 3 4 3 3" xfId="10677"/>
    <cellStyle name="Comma 6 2 3 4 3 4" xfId="19500"/>
    <cellStyle name="Comma 6 2 3 4 4" xfId="1828"/>
    <cellStyle name="Comma 6 2 3 4 4 2" xfId="11198"/>
    <cellStyle name="Comma 6 2 3 4 4 3" xfId="21202"/>
    <cellStyle name="Comma 6 2 3 4 5" xfId="6874"/>
    <cellStyle name="Comma 6 2 3 4 5 2" xfId="15701"/>
    <cellStyle name="Comma 6 2 3 4 5 3" xfId="25952"/>
    <cellStyle name="Comma 6 2 3 4 6" xfId="8320"/>
    <cellStyle name="Comma 6 2 3 4 6 2" xfId="20710"/>
    <cellStyle name="Comma 6 2 3 4 7" xfId="16195"/>
    <cellStyle name="Comma 6 2 3 5" xfId="2722"/>
    <cellStyle name="Comma 6 2 3 5 2" xfId="12041"/>
    <cellStyle name="Comma 6 2 3 5 2 2" xfId="22085"/>
    <cellStyle name="Comma 6 2 3 5 3" xfId="8494"/>
    <cellStyle name="Comma 6 2 3 5 4" xfId="17078"/>
    <cellStyle name="Comma 6 2 3 6" xfId="4373"/>
    <cellStyle name="Comma 6 2 3 6 2" xfId="13213"/>
    <cellStyle name="Comma 6 2 3 6 2 2" xfId="23464"/>
    <cellStyle name="Comma 6 2 3 6 3" xfId="9634"/>
    <cellStyle name="Comma 6 2 3 6 4" xfId="18457"/>
    <cellStyle name="Comma 6 2 3 7" xfId="1645"/>
    <cellStyle name="Comma 6 2 3 7 2" xfId="11024"/>
    <cellStyle name="Comma 6 2 3 7 3" xfId="21028"/>
    <cellStyle name="Comma 6 2 3 8" xfId="5831"/>
    <cellStyle name="Comma 6 2 3 8 2" xfId="14658"/>
    <cellStyle name="Comma 6 2 3 8 3" xfId="24909"/>
    <cellStyle name="Comma 6 2 3 9" xfId="7275"/>
    <cellStyle name="Comma 6 2 3 9 2" xfId="19684"/>
    <cellStyle name="Comma 6 2 4" xfId="489"/>
    <cellStyle name="Comma 6 2 4 2" xfId="701"/>
    <cellStyle name="Comma 6 2 4 2 2" xfId="3189"/>
    <cellStyle name="Comma 6 2 4 2 2 2" xfId="12334"/>
    <cellStyle name="Comma 6 2 4 2 2 2 2" xfId="22552"/>
    <cellStyle name="Comma 6 2 4 2 2 3" xfId="8756"/>
    <cellStyle name="Comma 6 2 4 2 2 4" xfId="17545"/>
    <cellStyle name="Comma 6 2 4 2 3" xfId="4518"/>
    <cellStyle name="Comma 6 2 4 2 3 2" xfId="13358"/>
    <cellStyle name="Comma 6 2 4 2 3 2 2" xfId="23609"/>
    <cellStyle name="Comma 6 2 4 2 3 3" xfId="9779"/>
    <cellStyle name="Comma 6 2 4 2 3 4" xfId="18602"/>
    <cellStyle name="Comma 6 2 4 2 4" xfId="2298"/>
    <cellStyle name="Comma 6 2 4 2 4 2" xfId="11665"/>
    <cellStyle name="Comma 6 2 4 2 4 3" xfId="21669"/>
    <cellStyle name="Comma 6 2 4 2 5" xfId="5976"/>
    <cellStyle name="Comma 6 2 4 2 5 2" xfId="14803"/>
    <cellStyle name="Comma 6 2 4 2 5 3" xfId="25054"/>
    <cellStyle name="Comma 6 2 4 2 6" xfId="7420"/>
    <cellStyle name="Comma 6 2 4 2 6 2" xfId="20151"/>
    <cellStyle name="Comma 6 2 4 2 7" xfId="16662"/>
    <cellStyle name="Comma 6 2 4 3" xfId="1261"/>
    <cellStyle name="Comma 6 2 4 3 2" xfId="3692"/>
    <cellStyle name="Comma 6 2 4 3 2 2" xfId="12830"/>
    <cellStyle name="Comma 6 2 4 3 2 2 2" xfId="23049"/>
    <cellStyle name="Comma 6 2 4 3 2 3" xfId="9251"/>
    <cellStyle name="Comma 6 2 4 3 2 4" xfId="18042"/>
    <cellStyle name="Comma 6 2 4 3 3" xfId="4867"/>
    <cellStyle name="Comma 6 2 4 3 3 2" xfId="13706"/>
    <cellStyle name="Comma 6 2 4 3 3 2 2" xfId="23957"/>
    <cellStyle name="Comma 6 2 4 3 3 3" xfId="10127"/>
    <cellStyle name="Comma 6 2 4 3 3 4" xfId="18950"/>
    <cellStyle name="Comma 6 2 4 3 4" xfId="2086"/>
    <cellStyle name="Comma 6 2 4 3 4 2" xfId="11453"/>
    <cellStyle name="Comma 6 2 4 3 4 3" xfId="21457"/>
    <cellStyle name="Comma 6 2 4 3 5" xfId="6324"/>
    <cellStyle name="Comma 6 2 4 3 5 2" xfId="15151"/>
    <cellStyle name="Comma 6 2 4 3 5 3" xfId="25402"/>
    <cellStyle name="Comma 6 2 4 3 6" xfId="7770"/>
    <cellStyle name="Comma 6 2 4 3 6 2" xfId="20648"/>
    <cellStyle name="Comma 6 2 4 3 7" xfId="16450"/>
    <cellStyle name="Comma 6 2 4 4" xfId="2977"/>
    <cellStyle name="Comma 6 2 4 4 2" xfId="5355"/>
    <cellStyle name="Comma 6 2 4 4 2 2" xfId="14194"/>
    <cellStyle name="Comma 6 2 4 4 2 2 2" xfId="24445"/>
    <cellStyle name="Comma 6 2 4 4 2 3" xfId="10615"/>
    <cellStyle name="Comma 6 2 4 4 2 4" xfId="19438"/>
    <cellStyle name="Comma 6 2 4 4 3" xfId="6812"/>
    <cellStyle name="Comma 6 2 4 4 3 2" xfId="15639"/>
    <cellStyle name="Comma 6 2 4 4 3 3" xfId="25890"/>
    <cellStyle name="Comma 6 2 4 4 4" xfId="8258"/>
    <cellStyle name="Comma 6 2 4 4 4 2" xfId="22340"/>
    <cellStyle name="Comma 6 2 4 4 5" xfId="17333"/>
    <cellStyle name="Comma 6 2 4 5" xfId="4311"/>
    <cellStyle name="Comma 6 2 4 5 2" xfId="13151"/>
    <cellStyle name="Comma 6 2 4 5 2 2" xfId="23402"/>
    <cellStyle name="Comma 6 2 4 5 3" xfId="9572"/>
    <cellStyle name="Comma 6 2 4 5 4" xfId="18395"/>
    <cellStyle name="Comma 6 2 4 6" xfId="1583"/>
    <cellStyle name="Comma 6 2 4 6 2" xfId="10962"/>
    <cellStyle name="Comma 6 2 4 6 3" xfId="20966"/>
    <cellStyle name="Comma 6 2 4 7" xfId="5769"/>
    <cellStyle name="Comma 6 2 4 7 2" xfId="14596"/>
    <cellStyle name="Comma 6 2 4 7 3" xfId="24847"/>
    <cellStyle name="Comma 6 2 4 8" xfId="7213"/>
    <cellStyle name="Comma 6 2 4 8 2" xfId="19939"/>
    <cellStyle name="Comma 6 2 4 9" xfId="15959"/>
    <cellStyle name="Comma 6 2 5" xfId="330"/>
    <cellStyle name="Comma 6 2 5 2" xfId="2818"/>
    <cellStyle name="Comma 6 2 5 2 2" xfId="12123"/>
    <cellStyle name="Comma 6 2 5 2 2 2" xfId="22181"/>
    <cellStyle name="Comma 6 2 5 2 3" xfId="8593"/>
    <cellStyle name="Comma 6 2 5 2 4" xfId="17174"/>
    <cellStyle name="Comma 6 2 5 3" xfId="4514"/>
    <cellStyle name="Comma 6 2 5 3 2" xfId="13354"/>
    <cellStyle name="Comma 6 2 5 3 2 2" xfId="23605"/>
    <cellStyle name="Comma 6 2 5 3 3" xfId="9775"/>
    <cellStyle name="Comma 6 2 5 3 4" xfId="18598"/>
    <cellStyle name="Comma 6 2 5 4" xfId="1927"/>
    <cellStyle name="Comma 6 2 5 4 2" xfId="11294"/>
    <cellStyle name="Comma 6 2 5 4 3" xfId="21298"/>
    <cellStyle name="Comma 6 2 5 5" xfId="5972"/>
    <cellStyle name="Comma 6 2 5 5 2" xfId="14799"/>
    <cellStyle name="Comma 6 2 5 5 3" xfId="25050"/>
    <cellStyle name="Comma 6 2 5 6" xfId="7416"/>
    <cellStyle name="Comma 6 2 5 6 2" xfId="19780"/>
    <cellStyle name="Comma 6 2 5 7" xfId="16291"/>
    <cellStyle name="Comma 6 2 6" xfId="697"/>
    <cellStyle name="Comma 6 2 6 2" xfId="3185"/>
    <cellStyle name="Comma 6 2 6 2 2" xfId="12330"/>
    <cellStyle name="Comma 6 2 6 2 2 2" xfId="22548"/>
    <cellStyle name="Comma 6 2 6 2 3" xfId="8752"/>
    <cellStyle name="Comma 6 2 6 2 4" xfId="17541"/>
    <cellStyle name="Comma 6 2 6 3" xfId="4863"/>
    <cellStyle name="Comma 6 2 6 3 2" xfId="13702"/>
    <cellStyle name="Comma 6 2 6 3 2 2" xfId="23953"/>
    <cellStyle name="Comma 6 2 6 3 3" xfId="10123"/>
    <cellStyle name="Comma 6 2 6 3 4" xfId="18946"/>
    <cellStyle name="Comma 6 2 6 4" xfId="2294"/>
    <cellStyle name="Comma 6 2 6 4 2" xfId="11661"/>
    <cellStyle name="Comma 6 2 6 4 3" xfId="21665"/>
    <cellStyle name="Comma 6 2 6 5" xfId="6320"/>
    <cellStyle name="Comma 6 2 6 5 2" xfId="15147"/>
    <cellStyle name="Comma 6 2 6 5 3" xfId="25398"/>
    <cellStyle name="Comma 6 2 6 6" xfId="7766"/>
    <cellStyle name="Comma 6 2 6 6 2" xfId="20147"/>
    <cellStyle name="Comma 6 2 6 7" xfId="16658"/>
    <cellStyle name="Comma 6 2 7" xfId="1102"/>
    <cellStyle name="Comma 6 2 7 2" xfId="3533"/>
    <cellStyle name="Comma 6 2 7 2 2" xfId="12671"/>
    <cellStyle name="Comma 6 2 7 2 2 2" xfId="22890"/>
    <cellStyle name="Comma 6 2 7 2 3" xfId="9093"/>
    <cellStyle name="Comma 6 2 7 2 4" xfId="17883"/>
    <cellStyle name="Comma 6 2 7 3" xfId="5196"/>
    <cellStyle name="Comma 6 2 7 3 2" xfId="14035"/>
    <cellStyle name="Comma 6 2 7 3 2 2" xfId="24286"/>
    <cellStyle name="Comma 6 2 7 3 3" xfId="10456"/>
    <cellStyle name="Comma 6 2 7 3 4" xfId="19279"/>
    <cellStyle name="Comma 6 2 7 4" xfId="1762"/>
    <cellStyle name="Comma 6 2 7 4 2" xfId="11135"/>
    <cellStyle name="Comma 6 2 7 4 3" xfId="21139"/>
    <cellStyle name="Comma 6 2 7 5" xfId="6653"/>
    <cellStyle name="Comma 6 2 7 5 2" xfId="15480"/>
    <cellStyle name="Comma 6 2 7 5 3" xfId="25731"/>
    <cellStyle name="Comma 6 2 7 6" xfId="8099"/>
    <cellStyle name="Comma 6 2 7 6 2" xfId="20489"/>
    <cellStyle name="Comma 6 2 7 7" xfId="16132"/>
    <cellStyle name="Comma 6 2 8" xfId="2660"/>
    <cellStyle name="Comma 6 2 8 2" xfId="11984"/>
    <cellStyle name="Comma 6 2 8 2 2" xfId="22023"/>
    <cellStyle name="Comma 6 2 8 3" xfId="8586"/>
    <cellStyle name="Comma 6 2 8 4" xfId="17016"/>
    <cellStyle name="Comma 6 2 9" xfId="4150"/>
    <cellStyle name="Comma 6 2 9 2" xfId="12990"/>
    <cellStyle name="Comma 6 2 9 2 2" xfId="23241"/>
    <cellStyle name="Comma 6 2 9 3" xfId="9411"/>
    <cellStyle name="Comma 6 2 9 4" xfId="18234"/>
    <cellStyle name="Comma 6 3" xfId="204"/>
    <cellStyle name="Comma 6 3 10" xfId="7156"/>
    <cellStyle name="Comma 6 3 10 2" xfId="19665"/>
    <cellStyle name="Comma 6 3 11" xfId="15902"/>
    <cellStyle name="Comma 6 3 2" xfId="532"/>
    <cellStyle name="Comma 6 3 2 2" xfId="703"/>
    <cellStyle name="Comma 6 3 2 2 2" xfId="3191"/>
    <cellStyle name="Comma 6 3 2 2 2 2" xfId="12336"/>
    <cellStyle name="Comma 6 3 2 2 2 2 2" xfId="22554"/>
    <cellStyle name="Comma 6 3 2 2 2 3" xfId="8758"/>
    <cellStyle name="Comma 6 3 2 2 2 4" xfId="17547"/>
    <cellStyle name="Comma 6 3 2 2 3" xfId="4520"/>
    <cellStyle name="Comma 6 3 2 2 3 2" xfId="13360"/>
    <cellStyle name="Comma 6 3 2 2 3 2 2" xfId="23611"/>
    <cellStyle name="Comma 6 3 2 2 3 3" xfId="9781"/>
    <cellStyle name="Comma 6 3 2 2 3 4" xfId="18604"/>
    <cellStyle name="Comma 6 3 2 2 4" xfId="2300"/>
    <cellStyle name="Comma 6 3 2 2 4 2" xfId="11667"/>
    <cellStyle name="Comma 6 3 2 2 4 3" xfId="21671"/>
    <cellStyle name="Comma 6 3 2 2 5" xfId="5978"/>
    <cellStyle name="Comma 6 3 2 2 5 2" xfId="14805"/>
    <cellStyle name="Comma 6 3 2 2 5 3" xfId="25056"/>
    <cellStyle name="Comma 6 3 2 2 6" xfId="7422"/>
    <cellStyle name="Comma 6 3 2 2 6 2" xfId="20153"/>
    <cellStyle name="Comma 6 3 2 2 7" xfId="16664"/>
    <cellStyle name="Comma 6 3 2 3" xfId="1304"/>
    <cellStyle name="Comma 6 3 2 3 2" xfId="3735"/>
    <cellStyle name="Comma 6 3 2 3 2 2" xfId="12873"/>
    <cellStyle name="Comma 6 3 2 3 2 2 2" xfId="23092"/>
    <cellStyle name="Comma 6 3 2 3 2 3" xfId="9294"/>
    <cellStyle name="Comma 6 3 2 3 2 4" xfId="18085"/>
    <cellStyle name="Comma 6 3 2 3 3" xfId="4869"/>
    <cellStyle name="Comma 6 3 2 3 3 2" xfId="13708"/>
    <cellStyle name="Comma 6 3 2 3 3 2 2" xfId="23959"/>
    <cellStyle name="Comma 6 3 2 3 3 3" xfId="10129"/>
    <cellStyle name="Comma 6 3 2 3 3 4" xfId="18952"/>
    <cellStyle name="Comma 6 3 2 3 4" xfId="2129"/>
    <cellStyle name="Comma 6 3 2 3 4 2" xfId="11496"/>
    <cellStyle name="Comma 6 3 2 3 4 3" xfId="21500"/>
    <cellStyle name="Comma 6 3 2 3 5" xfId="6326"/>
    <cellStyle name="Comma 6 3 2 3 5 2" xfId="15153"/>
    <cellStyle name="Comma 6 3 2 3 5 3" xfId="25404"/>
    <cellStyle name="Comma 6 3 2 3 6" xfId="7772"/>
    <cellStyle name="Comma 6 3 2 3 6 2" xfId="20691"/>
    <cellStyle name="Comma 6 3 2 3 7" xfId="16493"/>
    <cellStyle name="Comma 6 3 2 4" xfId="3020"/>
    <cellStyle name="Comma 6 3 2 4 2" xfId="5398"/>
    <cellStyle name="Comma 6 3 2 4 2 2" xfId="14237"/>
    <cellStyle name="Comma 6 3 2 4 2 2 2" xfId="24488"/>
    <cellStyle name="Comma 6 3 2 4 2 3" xfId="10658"/>
    <cellStyle name="Comma 6 3 2 4 2 4" xfId="19481"/>
    <cellStyle name="Comma 6 3 2 4 3" xfId="6855"/>
    <cellStyle name="Comma 6 3 2 4 3 2" xfId="15682"/>
    <cellStyle name="Comma 6 3 2 4 3 3" xfId="25933"/>
    <cellStyle name="Comma 6 3 2 4 4" xfId="8301"/>
    <cellStyle name="Comma 6 3 2 4 4 2" xfId="22383"/>
    <cellStyle name="Comma 6 3 2 4 5" xfId="17376"/>
    <cellStyle name="Comma 6 3 2 5" xfId="4354"/>
    <cellStyle name="Comma 6 3 2 5 2" xfId="13194"/>
    <cellStyle name="Comma 6 3 2 5 2 2" xfId="23445"/>
    <cellStyle name="Comma 6 3 2 5 3" xfId="9615"/>
    <cellStyle name="Comma 6 3 2 5 4" xfId="18438"/>
    <cellStyle name="Comma 6 3 2 6" xfId="1626"/>
    <cellStyle name="Comma 6 3 2 6 2" xfId="11005"/>
    <cellStyle name="Comma 6 3 2 6 3" xfId="21009"/>
    <cellStyle name="Comma 6 3 2 7" xfId="5812"/>
    <cellStyle name="Comma 6 3 2 7 2" xfId="14639"/>
    <cellStyle name="Comma 6 3 2 7 3" xfId="24890"/>
    <cellStyle name="Comma 6 3 2 8" xfId="7256"/>
    <cellStyle name="Comma 6 3 2 8 2" xfId="19982"/>
    <cellStyle name="Comma 6 3 2 9" xfId="16002"/>
    <cellStyle name="Comma 6 3 3" xfId="432"/>
    <cellStyle name="Comma 6 3 3 2" xfId="2920"/>
    <cellStyle name="Comma 6 3 3 2 2" xfId="12210"/>
    <cellStyle name="Comma 6 3 3 2 2 2" xfId="22283"/>
    <cellStyle name="Comma 6 3 3 2 3" xfId="8617"/>
    <cellStyle name="Comma 6 3 3 2 4" xfId="17276"/>
    <cellStyle name="Comma 6 3 3 3" xfId="4519"/>
    <cellStyle name="Comma 6 3 3 3 2" xfId="13359"/>
    <cellStyle name="Comma 6 3 3 3 2 2" xfId="23610"/>
    <cellStyle name="Comma 6 3 3 3 3" xfId="9780"/>
    <cellStyle name="Comma 6 3 3 3 4" xfId="18603"/>
    <cellStyle name="Comma 6 3 3 4" xfId="2029"/>
    <cellStyle name="Comma 6 3 3 4 2" xfId="11396"/>
    <cellStyle name="Comma 6 3 3 4 3" xfId="21400"/>
    <cellStyle name="Comma 6 3 3 5" xfId="5977"/>
    <cellStyle name="Comma 6 3 3 5 2" xfId="14804"/>
    <cellStyle name="Comma 6 3 3 5 3" xfId="25055"/>
    <cellStyle name="Comma 6 3 3 6" xfId="7421"/>
    <cellStyle name="Comma 6 3 3 6 2" xfId="19882"/>
    <cellStyle name="Comma 6 3 3 7" xfId="16393"/>
    <cellStyle name="Comma 6 3 4" xfId="702"/>
    <cellStyle name="Comma 6 3 4 2" xfId="3190"/>
    <cellStyle name="Comma 6 3 4 2 2" xfId="12335"/>
    <cellStyle name="Comma 6 3 4 2 2 2" xfId="22553"/>
    <cellStyle name="Comma 6 3 4 2 3" xfId="8757"/>
    <cellStyle name="Comma 6 3 4 2 4" xfId="17546"/>
    <cellStyle name="Comma 6 3 4 3" xfId="4868"/>
    <cellStyle name="Comma 6 3 4 3 2" xfId="13707"/>
    <cellStyle name="Comma 6 3 4 3 2 2" xfId="23958"/>
    <cellStyle name="Comma 6 3 4 3 3" xfId="10128"/>
    <cellStyle name="Comma 6 3 4 3 4" xfId="18951"/>
    <cellStyle name="Comma 6 3 4 4" xfId="2299"/>
    <cellStyle name="Comma 6 3 4 4 2" xfId="11666"/>
    <cellStyle name="Comma 6 3 4 4 3" xfId="21670"/>
    <cellStyle name="Comma 6 3 4 5" xfId="6325"/>
    <cellStyle name="Comma 6 3 4 5 2" xfId="15152"/>
    <cellStyle name="Comma 6 3 4 5 3" xfId="25403"/>
    <cellStyle name="Comma 6 3 4 6" xfId="7771"/>
    <cellStyle name="Comma 6 3 4 6 2" xfId="20152"/>
    <cellStyle name="Comma 6 3 4 7" xfId="16663"/>
    <cellStyle name="Comma 6 3 5" xfId="1204"/>
    <cellStyle name="Comma 6 3 5 2" xfId="3635"/>
    <cellStyle name="Comma 6 3 5 2 2" xfId="12773"/>
    <cellStyle name="Comma 6 3 5 2 2 2" xfId="22992"/>
    <cellStyle name="Comma 6 3 5 2 3" xfId="9194"/>
    <cellStyle name="Comma 6 3 5 2 4" xfId="17985"/>
    <cellStyle name="Comma 6 3 5 3" xfId="5298"/>
    <cellStyle name="Comma 6 3 5 3 2" xfId="14137"/>
    <cellStyle name="Comma 6 3 5 3 2 2" xfId="24388"/>
    <cellStyle name="Comma 6 3 5 3 3" xfId="10558"/>
    <cellStyle name="Comma 6 3 5 3 4" xfId="19381"/>
    <cellStyle name="Comma 6 3 5 4" xfId="1808"/>
    <cellStyle name="Comma 6 3 5 4 2" xfId="11179"/>
    <cellStyle name="Comma 6 3 5 4 3" xfId="21183"/>
    <cellStyle name="Comma 6 3 5 5" xfId="6755"/>
    <cellStyle name="Comma 6 3 5 5 2" xfId="15582"/>
    <cellStyle name="Comma 6 3 5 5 3" xfId="25833"/>
    <cellStyle name="Comma 6 3 5 6" xfId="8201"/>
    <cellStyle name="Comma 6 3 5 6 2" xfId="20591"/>
    <cellStyle name="Comma 6 3 5 7" xfId="16176"/>
    <cellStyle name="Comma 6 3 6" xfId="2703"/>
    <cellStyle name="Comma 6 3 6 2" xfId="12022"/>
    <cellStyle name="Comma 6 3 6 2 2" xfId="22066"/>
    <cellStyle name="Comma 6 3 6 3" xfId="8454"/>
    <cellStyle name="Comma 6 3 6 4" xfId="17059"/>
    <cellStyle name="Comma 6 3 7" xfId="4254"/>
    <cellStyle name="Comma 6 3 7 2" xfId="13094"/>
    <cellStyle name="Comma 6 3 7 2 2" xfId="23345"/>
    <cellStyle name="Comma 6 3 7 3" xfId="9515"/>
    <cellStyle name="Comma 6 3 7 4" xfId="18338"/>
    <cellStyle name="Comma 6 3 8" xfId="1526"/>
    <cellStyle name="Comma 6 3 8 2" xfId="10905"/>
    <cellStyle name="Comma 6 3 8 3" xfId="20909"/>
    <cellStyle name="Comma 6 3 9" xfId="5712"/>
    <cellStyle name="Comma 6 3 9 2" xfId="14539"/>
    <cellStyle name="Comma 6 3 9 3" xfId="24790"/>
    <cellStyle name="Comma 6 4" xfId="252"/>
    <cellStyle name="Comma 6 4 10" xfId="7094"/>
    <cellStyle name="Comma 6 4 10 2" xfId="19708"/>
    <cellStyle name="Comma 6 4 11" xfId="15840"/>
    <cellStyle name="Comma 6 4 2" xfId="575"/>
    <cellStyle name="Comma 6 4 2 2" xfId="705"/>
    <cellStyle name="Comma 6 4 2 2 2" xfId="3193"/>
    <cellStyle name="Comma 6 4 2 2 2 2" xfId="12338"/>
    <cellStyle name="Comma 6 4 2 2 2 2 2" xfId="22556"/>
    <cellStyle name="Comma 6 4 2 2 2 3" xfId="8760"/>
    <cellStyle name="Comma 6 4 2 2 2 4" xfId="17549"/>
    <cellStyle name="Comma 6 4 2 2 3" xfId="4522"/>
    <cellStyle name="Comma 6 4 2 2 3 2" xfId="13362"/>
    <cellStyle name="Comma 6 4 2 2 3 2 2" xfId="23613"/>
    <cellStyle name="Comma 6 4 2 2 3 3" xfId="9783"/>
    <cellStyle name="Comma 6 4 2 2 3 4" xfId="18606"/>
    <cellStyle name="Comma 6 4 2 2 4" xfId="2302"/>
    <cellStyle name="Comma 6 4 2 2 4 2" xfId="11669"/>
    <cellStyle name="Comma 6 4 2 2 4 3" xfId="21673"/>
    <cellStyle name="Comma 6 4 2 2 5" xfId="5980"/>
    <cellStyle name="Comma 6 4 2 2 5 2" xfId="14807"/>
    <cellStyle name="Comma 6 4 2 2 5 3" xfId="25058"/>
    <cellStyle name="Comma 6 4 2 2 6" xfId="7424"/>
    <cellStyle name="Comma 6 4 2 2 6 2" xfId="20155"/>
    <cellStyle name="Comma 6 4 2 2 7" xfId="16666"/>
    <cellStyle name="Comma 6 4 2 3" xfId="1347"/>
    <cellStyle name="Comma 6 4 2 3 2" xfId="3778"/>
    <cellStyle name="Comma 6 4 2 3 2 2" xfId="12916"/>
    <cellStyle name="Comma 6 4 2 3 2 2 2" xfId="23135"/>
    <cellStyle name="Comma 6 4 2 3 2 3" xfId="9337"/>
    <cellStyle name="Comma 6 4 2 3 2 4" xfId="18128"/>
    <cellStyle name="Comma 6 4 2 3 3" xfId="4871"/>
    <cellStyle name="Comma 6 4 2 3 3 2" xfId="13710"/>
    <cellStyle name="Comma 6 4 2 3 3 2 2" xfId="23961"/>
    <cellStyle name="Comma 6 4 2 3 3 3" xfId="10131"/>
    <cellStyle name="Comma 6 4 2 3 3 4" xfId="18954"/>
    <cellStyle name="Comma 6 4 2 3 4" xfId="2172"/>
    <cellStyle name="Comma 6 4 2 3 4 2" xfId="11539"/>
    <cellStyle name="Comma 6 4 2 3 4 3" xfId="21543"/>
    <cellStyle name="Comma 6 4 2 3 5" xfId="6328"/>
    <cellStyle name="Comma 6 4 2 3 5 2" xfId="15155"/>
    <cellStyle name="Comma 6 4 2 3 5 3" xfId="25406"/>
    <cellStyle name="Comma 6 4 2 3 6" xfId="7774"/>
    <cellStyle name="Comma 6 4 2 3 6 2" xfId="20734"/>
    <cellStyle name="Comma 6 4 2 3 7" xfId="16536"/>
    <cellStyle name="Comma 6 4 2 4" xfId="3063"/>
    <cellStyle name="Comma 6 4 2 4 2" xfId="5441"/>
    <cellStyle name="Comma 6 4 2 4 2 2" xfId="14280"/>
    <cellStyle name="Comma 6 4 2 4 2 2 2" xfId="24531"/>
    <cellStyle name="Comma 6 4 2 4 2 3" xfId="10701"/>
    <cellStyle name="Comma 6 4 2 4 2 4" xfId="19524"/>
    <cellStyle name="Comma 6 4 2 4 3" xfId="6898"/>
    <cellStyle name="Comma 6 4 2 4 3 2" xfId="15725"/>
    <cellStyle name="Comma 6 4 2 4 3 3" xfId="25976"/>
    <cellStyle name="Comma 6 4 2 4 4" xfId="8344"/>
    <cellStyle name="Comma 6 4 2 4 4 2" xfId="22426"/>
    <cellStyle name="Comma 6 4 2 4 5" xfId="17419"/>
    <cellStyle name="Comma 6 4 2 5" xfId="4397"/>
    <cellStyle name="Comma 6 4 2 5 2" xfId="13237"/>
    <cellStyle name="Comma 6 4 2 5 2 2" xfId="23488"/>
    <cellStyle name="Comma 6 4 2 5 3" xfId="9658"/>
    <cellStyle name="Comma 6 4 2 5 4" xfId="18481"/>
    <cellStyle name="Comma 6 4 2 6" xfId="1669"/>
    <cellStyle name="Comma 6 4 2 6 2" xfId="11048"/>
    <cellStyle name="Comma 6 4 2 6 3" xfId="21052"/>
    <cellStyle name="Comma 6 4 2 7" xfId="5855"/>
    <cellStyle name="Comma 6 4 2 7 2" xfId="14682"/>
    <cellStyle name="Comma 6 4 2 7 3" xfId="24933"/>
    <cellStyle name="Comma 6 4 2 8" xfId="7299"/>
    <cellStyle name="Comma 6 4 2 8 2" xfId="20025"/>
    <cellStyle name="Comma 6 4 2 9" xfId="16045"/>
    <cellStyle name="Comma 6 4 3" xfId="370"/>
    <cellStyle name="Comma 6 4 3 2" xfId="2858"/>
    <cellStyle name="Comma 6 4 3 2 2" xfId="12148"/>
    <cellStyle name="Comma 6 4 3 2 2 2" xfId="22221"/>
    <cellStyle name="Comma 6 4 3 2 3" xfId="6976"/>
    <cellStyle name="Comma 6 4 3 2 4" xfId="17214"/>
    <cellStyle name="Comma 6 4 3 3" xfId="4521"/>
    <cellStyle name="Comma 6 4 3 3 2" xfId="13361"/>
    <cellStyle name="Comma 6 4 3 3 2 2" xfId="23612"/>
    <cellStyle name="Comma 6 4 3 3 3" xfId="9782"/>
    <cellStyle name="Comma 6 4 3 3 4" xfId="18605"/>
    <cellStyle name="Comma 6 4 3 4" xfId="1967"/>
    <cellStyle name="Comma 6 4 3 4 2" xfId="11334"/>
    <cellStyle name="Comma 6 4 3 4 3" xfId="21338"/>
    <cellStyle name="Comma 6 4 3 5" xfId="5979"/>
    <cellStyle name="Comma 6 4 3 5 2" xfId="14806"/>
    <cellStyle name="Comma 6 4 3 5 3" xfId="25057"/>
    <cellStyle name="Comma 6 4 3 6" xfId="7423"/>
    <cellStyle name="Comma 6 4 3 6 2" xfId="19820"/>
    <cellStyle name="Comma 6 4 3 7" xfId="16331"/>
    <cellStyle name="Comma 6 4 4" xfId="704"/>
    <cellStyle name="Comma 6 4 4 2" xfId="3192"/>
    <cellStyle name="Comma 6 4 4 2 2" xfId="12337"/>
    <cellStyle name="Comma 6 4 4 2 2 2" xfId="22555"/>
    <cellStyle name="Comma 6 4 4 2 3" xfId="8759"/>
    <cellStyle name="Comma 6 4 4 2 4" xfId="17548"/>
    <cellStyle name="Comma 6 4 4 3" xfId="4870"/>
    <cellStyle name="Comma 6 4 4 3 2" xfId="13709"/>
    <cellStyle name="Comma 6 4 4 3 2 2" xfId="23960"/>
    <cellStyle name="Comma 6 4 4 3 3" xfId="10130"/>
    <cellStyle name="Comma 6 4 4 3 4" xfId="18953"/>
    <cellStyle name="Comma 6 4 4 4" xfId="2301"/>
    <cellStyle name="Comma 6 4 4 4 2" xfId="11668"/>
    <cellStyle name="Comma 6 4 4 4 3" xfId="21672"/>
    <cellStyle name="Comma 6 4 4 5" xfId="6327"/>
    <cellStyle name="Comma 6 4 4 5 2" xfId="15154"/>
    <cellStyle name="Comma 6 4 4 5 3" xfId="25405"/>
    <cellStyle name="Comma 6 4 4 6" xfId="7773"/>
    <cellStyle name="Comma 6 4 4 6 2" xfId="20154"/>
    <cellStyle name="Comma 6 4 4 7" xfId="16665"/>
    <cellStyle name="Comma 6 4 5" xfId="1142"/>
    <cellStyle name="Comma 6 4 5 2" xfId="3573"/>
    <cellStyle name="Comma 6 4 5 2 2" xfId="12711"/>
    <cellStyle name="Comma 6 4 5 2 2 2" xfId="22930"/>
    <cellStyle name="Comma 6 4 5 2 3" xfId="9132"/>
    <cellStyle name="Comma 6 4 5 2 4" xfId="17923"/>
    <cellStyle name="Comma 6 4 5 3" xfId="5236"/>
    <cellStyle name="Comma 6 4 5 3 2" xfId="14075"/>
    <cellStyle name="Comma 6 4 5 3 2 2" xfId="24326"/>
    <cellStyle name="Comma 6 4 5 3 3" xfId="10496"/>
    <cellStyle name="Comma 6 4 5 3 4" xfId="19319"/>
    <cellStyle name="Comma 6 4 5 4" xfId="1852"/>
    <cellStyle name="Comma 6 4 5 4 2" xfId="11222"/>
    <cellStyle name="Comma 6 4 5 4 3" xfId="21226"/>
    <cellStyle name="Comma 6 4 5 5" xfId="6693"/>
    <cellStyle name="Comma 6 4 5 5 2" xfId="15520"/>
    <cellStyle name="Comma 6 4 5 5 3" xfId="25771"/>
    <cellStyle name="Comma 6 4 5 6" xfId="8139"/>
    <cellStyle name="Comma 6 4 5 6 2" xfId="20529"/>
    <cellStyle name="Comma 6 4 5 7" xfId="16219"/>
    <cellStyle name="Comma 6 4 6" xfId="2746"/>
    <cellStyle name="Comma 6 4 6 2" xfId="12065"/>
    <cellStyle name="Comma 6 4 6 2 2" xfId="22109"/>
    <cellStyle name="Comma 6 4 6 3" xfId="8421"/>
    <cellStyle name="Comma 6 4 6 4" xfId="17102"/>
    <cellStyle name="Comma 6 4 7" xfId="4192"/>
    <cellStyle name="Comma 6 4 7 2" xfId="13032"/>
    <cellStyle name="Comma 6 4 7 2 2" xfId="23283"/>
    <cellStyle name="Comma 6 4 7 3" xfId="9453"/>
    <cellStyle name="Comma 6 4 7 4" xfId="18276"/>
    <cellStyle name="Comma 6 4 8" xfId="1464"/>
    <cellStyle name="Comma 6 4 8 2" xfId="10843"/>
    <cellStyle name="Comma 6 4 8 3" xfId="20847"/>
    <cellStyle name="Comma 6 4 9" xfId="5650"/>
    <cellStyle name="Comma 6 4 9 2" xfId="14477"/>
    <cellStyle name="Comma 6 4 9 3" xfId="24728"/>
    <cellStyle name="Comma 6 5" xfId="470"/>
    <cellStyle name="Comma 6 5 2" xfId="706"/>
    <cellStyle name="Comma 6 5 2 2" xfId="3194"/>
    <cellStyle name="Comma 6 5 2 2 2" xfId="12339"/>
    <cellStyle name="Comma 6 5 2 2 2 2" xfId="22557"/>
    <cellStyle name="Comma 6 5 2 2 3" xfId="8761"/>
    <cellStyle name="Comma 6 5 2 2 4" xfId="17550"/>
    <cellStyle name="Comma 6 5 2 3" xfId="4523"/>
    <cellStyle name="Comma 6 5 2 3 2" xfId="13363"/>
    <cellStyle name="Comma 6 5 2 3 2 2" xfId="23614"/>
    <cellStyle name="Comma 6 5 2 3 3" xfId="9784"/>
    <cellStyle name="Comma 6 5 2 3 4" xfId="18607"/>
    <cellStyle name="Comma 6 5 2 4" xfId="2303"/>
    <cellStyle name="Comma 6 5 2 4 2" xfId="11670"/>
    <cellStyle name="Comma 6 5 2 4 3" xfId="21674"/>
    <cellStyle name="Comma 6 5 2 5" xfId="5981"/>
    <cellStyle name="Comma 6 5 2 5 2" xfId="14808"/>
    <cellStyle name="Comma 6 5 2 5 3" xfId="25059"/>
    <cellStyle name="Comma 6 5 2 6" xfId="7425"/>
    <cellStyle name="Comma 6 5 2 6 2" xfId="20156"/>
    <cellStyle name="Comma 6 5 2 7" xfId="16667"/>
    <cellStyle name="Comma 6 5 3" xfId="1242"/>
    <cellStyle name="Comma 6 5 3 2" xfId="3673"/>
    <cellStyle name="Comma 6 5 3 2 2" xfId="12811"/>
    <cellStyle name="Comma 6 5 3 2 2 2" xfId="23030"/>
    <cellStyle name="Comma 6 5 3 2 3" xfId="9232"/>
    <cellStyle name="Comma 6 5 3 2 4" xfId="18023"/>
    <cellStyle name="Comma 6 5 3 3" xfId="4872"/>
    <cellStyle name="Comma 6 5 3 3 2" xfId="13711"/>
    <cellStyle name="Comma 6 5 3 3 2 2" xfId="23962"/>
    <cellStyle name="Comma 6 5 3 3 3" xfId="10132"/>
    <cellStyle name="Comma 6 5 3 3 4" xfId="18955"/>
    <cellStyle name="Comma 6 5 3 4" xfId="2067"/>
    <cellStyle name="Comma 6 5 3 4 2" xfId="11434"/>
    <cellStyle name="Comma 6 5 3 4 3" xfId="21438"/>
    <cellStyle name="Comma 6 5 3 5" xfId="6329"/>
    <cellStyle name="Comma 6 5 3 5 2" xfId="15156"/>
    <cellStyle name="Comma 6 5 3 5 3" xfId="25407"/>
    <cellStyle name="Comma 6 5 3 6" xfId="7775"/>
    <cellStyle name="Comma 6 5 3 6 2" xfId="20629"/>
    <cellStyle name="Comma 6 5 3 7" xfId="16431"/>
    <cellStyle name="Comma 6 5 4" xfId="2958"/>
    <cellStyle name="Comma 6 5 4 2" xfId="5336"/>
    <cellStyle name="Comma 6 5 4 2 2" xfId="14175"/>
    <cellStyle name="Comma 6 5 4 2 2 2" xfId="24426"/>
    <cellStyle name="Comma 6 5 4 2 3" xfId="10596"/>
    <cellStyle name="Comma 6 5 4 2 4" xfId="19419"/>
    <cellStyle name="Comma 6 5 4 3" xfId="6793"/>
    <cellStyle name="Comma 6 5 4 3 2" xfId="15620"/>
    <cellStyle name="Comma 6 5 4 3 3" xfId="25871"/>
    <cellStyle name="Comma 6 5 4 4" xfId="8239"/>
    <cellStyle name="Comma 6 5 4 4 2" xfId="22321"/>
    <cellStyle name="Comma 6 5 4 5" xfId="17314"/>
    <cellStyle name="Comma 6 5 5" xfId="4292"/>
    <cellStyle name="Comma 6 5 5 2" xfId="13132"/>
    <cellStyle name="Comma 6 5 5 2 2" xfId="23383"/>
    <cellStyle name="Comma 6 5 5 3" xfId="9553"/>
    <cellStyle name="Comma 6 5 5 4" xfId="18376"/>
    <cellStyle name="Comma 6 5 6" xfId="1564"/>
    <cellStyle name="Comma 6 5 6 2" xfId="10943"/>
    <cellStyle name="Comma 6 5 6 3" xfId="20947"/>
    <cellStyle name="Comma 6 5 7" xfId="5750"/>
    <cellStyle name="Comma 6 5 7 2" xfId="14577"/>
    <cellStyle name="Comma 6 5 7 3" xfId="24828"/>
    <cellStyle name="Comma 6 5 8" xfId="7194"/>
    <cellStyle name="Comma 6 5 8 2" xfId="19920"/>
    <cellStyle name="Comma 6 5 9" xfId="15940"/>
    <cellStyle name="Comma 6 6" xfId="307"/>
    <cellStyle name="Comma 6 6 2" xfId="707"/>
    <cellStyle name="Comma 6 6 2 2" xfId="3195"/>
    <cellStyle name="Comma 6 6 2 2 2" xfId="12340"/>
    <cellStyle name="Comma 6 6 2 2 2 2" xfId="22558"/>
    <cellStyle name="Comma 6 6 2 2 3" xfId="8762"/>
    <cellStyle name="Comma 6 6 2 2 4" xfId="17551"/>
    <cellStyle name="Comma 6 6 2 3" xfId="4524"/>
    <cellStyle name="Comma 6 6 2 3 2" xfId="13364"/>
    <cellStyle name="Comma 6 6 2 3 2 2" xfId="23615"/>
    <cellStyle name="Comma 6 6 2 3 3" xfId="9785"/>
    <cellStyle name="Comma 6 6 2 3 4" xfId="18608"/>
    <cellStyle name="Comma 6 6 2 4" xfId="2304"/>
    <cellStyle name="Comma 6 6 2 4 2" xfId="11671"/>
    <cellStyle name="Comma 6 6 2 4 3" xfId="21675"/>
    <cellStyle name="Comma 6 6 2 5" xfId="5982"/>
    <cellStyle name="Comma 6 6 2 5 2" xfId="14809"/>
    <cellStyle name="Comma 6 6 2 5 3" xfId="25060"/>
    <cellStyle name="Comma 6 6 2 6" xfId="7426"/>
    <cellStyle name="Comma 6 6 2 6 2" xfId="20157"/>
    <cellStyle name="Comma 6 6 2 7" xfId="16668"/>
    <cellStyle name="Comma 6 6 3" xfId="1079"/>
    <cellStyle name="Comma 6 6 3 2" xfId="3510"/>
    <cellStyle name="Comma 6 6 3 2 2" xfId="12648"/>
    <cellStyle name="Comma 6 6 3 2 2 2" xfId="22867"/>
    <cellStyle name="Comma 6 6 3 2 3" xfId="9070"/>
    <cellStyle name="Comma 6 6 3 2 4" xfId="17860"/>
    <cellStyle name="Comma 6 6 3 3" xfId="4873"/>
    <cellStyle name="Comma 6 6 3 3 2" xfId="13712"/>
    <cellStyle name="Comma 6 6 3 3 2 2" xfId="23963"/>
    <cellStyle name="Comma 6 6 3 3 3" xfId="10133"/>
    <cellStyle name="Comma 6 6 3 3 4" xfId="18956"/>
    <cellStyle name="Comma 6 6 3 4" xfId="2602"/>
    <cellStyle name="Comma 6 6 3 4 2" xfId="11968"/>
    <cellStyle name="Comma 6 6 3 4 3" xfId="21972"/>
    <cellStyle name="Comma 6 6 3 5" xfId="6330"/>
    <cellStyle name="Comma 6 6 3 5 2" xfId="15157"/>
    <cellStyle name="Comma 6 6 3 5 3" xfId="25408"/>
    <cellStyle name="Comma 6 6 3 6" xfId="7776"/>
    <cellStyle name="Comma 6 6 3 6 2" xfId="20466"/>
    <cellStyle name="Comma 6 6 3 7" xfId="16965"/>
    <cellStyle name="Comma 6 6 4" xfId="2795"/>
    <cellStyle name="Comma 6 6 4 2" xfId="5173"/>
    <cellStyle name="Comma 6 6 4 2 2" xfId="14012"/>
    <cellStyle name="Comma 6 6 4 2 2 2" xfId="24263"/>
    <cellStyle name="Comma 6 6 4 2 3" xfId="10433"/>
    <cellStyle name="Comma 6 6 4 2 4" xfId="19256"/>
    <cellStyle name="Comma 6 6 4 3" xfId="6630"/>
    <cellStyle name="Comma 6 6 4 3 2" xfId="15457"/>
    <cellStyle name="Comma 6 6 4 3 3" xfId="25708"/>
    <cellStyle name="Comma 6 6 4 4" xfId="8076"/>
    <cellStyle name="Comma 6 6 4 4 2" xfId="22158"/>
    <cellStyle name="Comma 6 6 4 5" xfId="17151"/>
    <cellStyle name="Comma 6 6 5" xfId="4127"/>
    <cellStyle name="Comma 6 6 5 2" xfId="12967"/>
    <cellStyle name="Comma 6 6 5 2 2" xfId="23218"/>
    <cellStyle name="Comma 6 6 5 3" xfId="9388"/>
    <cellStyle name="Comma 6 6 5 4" xfId="18211"/>
    <cellStyle name="Comma 6 6 6" xfId="1904"/>
    <cellStyle name="Comma 6 6 6 2" xfId="11271"/>
    <cellStyle name="Comma 6 6 6 3" xfId="21275"/>
    <cellStyle name="Comma 6 6 7" xfId="5587"/>
    <cellStyle name="Comma 6 6 7 2" xfId="14414"/>
    <cellStyle name="Comma 6 6 7 3" xfId="24665"/>
    <cellStyle name="Comma 6 6 8" xfId="7031"/>
    <cellStyle name="Comma 6 6 8 2" xfId="19757"/>
    <cellStyle name="Comma 6 6 9" xfId="16268"/>
    <cellStyle name="Comma 6 7" xfId="696"/>
    <cellStyle name="Comma 6 7 2" xfId="3184"/>
    <cellStyle name="Comma 6 7 2 2" xfId="12329"/>
    <cellStyle name="Comma 6 7 2 2 2" xfId="22547"/>
    <cellStyle name="Comma 6 7 2 3" xfId="8751"/>
    <cellStyle name="Comma 6 7 2 4" xfId="17540"/>
    <cellStyle name="Comma 6 7 3" xfId="4513"/>
    <cellStyle name="Comma 6 7 3 2" xfId="13353"/>
    <cellStyle name="Comma 6 7 3 2 2" xfId="23604"/>
    <cellStyle name="Comma 6 7 3 3" xfId="9774"/>
    <cellStyle name="Comma 6 7 3 4" xfId="18597"/>
    <cellStyle name="Comma 6 7 4" xfId="2293"/>
    <cellStyle name="Comma 6 7 4 2" xfId="11660"/>
    <cellStyle name="Comma 6 7 4 3" xfId="21664"/>
    <cellStyle name="Comma 6 7 5" xfId="5971"/>
    <cellStyle name="Comma 6 7 5 2" xfId="14798"/>
    <cellStyle name="Comma 6 7 5 3" xfId="25049"/>
    <cellStyle name="Comma 6 7 6" xfId="7415"/>
    <cellStyle name="Comma 6 7 6 2" xfId="20146"/>
    <cellStyle name="Comma 6 7 7" xfId="16657"/>
    <cellStyle name="Comma 6 8" xfId="1059"/>
    <cellStyle name="Comma 6 8 2" xfId="3490"/>
    <cellStyle name="Comma 6 8 2 2" xfId="12628"/>
    <cellStyle name="Comma 6 8 2 2 2" xfId="22847"/>
    <cellStyle name="Comma 6 8 2 3" xfId="9050"/>
    <cellStyle name="Comma 6 8 2 4" xfId="17840"/>
    <cellStyle name="Comma 6 8 3" xfId="4862"/>
    <cellStyle name="Comma 6 8 3 2" xfId="13701"/>
    <cellStyle name="Comma 6 8 3 2 2" xfId="23952"/>
    <cellStyle name="Comma 6 8 3 3" xfId="10122"/>
    <cellStyle name="Comma 6 8 3 4" xfId="18945"/>
    <cellStyle name="Comma 6 8 4" xfId="1740"/>
    <cellStyle name="Comma 6 8 4 2" xfId="11116"/>
    <cellStyle name="Comma 6 8 4 3" xfId="21120"/>
    <cellStyle name="Comma 6 8 5" xfId="6319"/>
    <cellStyle name="Comma 6 8 5 2" xfId="15146"/>
    <cellStyle name="Comma 6 8 5 3" xfId="25397"/>
    <cellStyle name="Comma 6 8 6" xfId="7765"/>
    <cellStyle name="Comma 6 8 6 2" xfId="20446"/>
    <cellStyle name="Comma 6 8 7" xfId="16113"/>
    <cellStyle name="Comma 6 9" xfId="2638"/>
    <cellStyle name="Comma 6 9 2" xfId="5153"/>
    <cellStyle name="Comma 6 9 2 2" xfId="13992"/>
    <cellStyle name="Comma 6 9 2 2 2" xfId="24243"/>
    <cellStyle name="Comma 6 9 2 3" xfId="10413"/>
    <cellStyle name="Comma 6 9 2 4" xfId="19236"/>
    <cellStyle name="Comma 6 9 3" xfId="6610"/>
    <cellStyle name="Comma 6 9 3 2" xfId="15437"/>
    <cellStyle name="Comma 6 9 3 3" xfId="25688"/>
    <cellStyle name="Comma 6 9 4" xfId="8056"/>
    <cellStyle name="Comma 6 9 4 2" xfId="22003"/>
    <cellStyle name="Comma 6 9 5" xfId="16996"/>
    <cellStyle name="Comma 7" xfId="128"/>
    <cellStyle name="Explanatory Text 2" xfId="1023"/>
    <cellStyle name="Good 2" xfId="1024"/>
    <cellStyle name="Heading 1 2" xfId="1025"/>
    <cellStyle name="Heading 2 2" xfId="1026"/>
    <cellStyle name="Heading 3 2" xfId="1027"/>
    <cellStyle name="Heading 4 2" xfId="1028"/>
    <cellStyle name="Input 2" xfId="1029"/>
    <cellStyle name="Input 3" xfId="1043"/>
    <cellStyle name="Linked Cell 2" xfId="1030"/>
    <cellStyle name="Neutral 2" xfId="1031"/>
    <cellStyle name="Normal" xfId="0" builtinId="0"/>
    <cellStyle name="Normal 10" xfId="21"/>
    <cellStyle name="Normal 10 10" xfId="5513"/>
    <cellStyle name="Normal 10 10 2" xfId="14342"/>
    <cellStyle name="Normal 10 10 3" xfId="24593"/>
    <cellStyle name="Normal 10 11" xfId="6953"/>
    <cellStyle name="Normal 10 2" xfId="117"/>
    <cellStyle name="Normal 10 2 10" xfId="4118"/>
    <cellStyle name="Normal 10 2 10 2" xfId="5578"/>
    <cellStyle name="Normal 10 2 10 2 2" xfId="14405"/>
    <cellStyle name="Normal 10 2 10 2 3" xfId="24656"/>
    <cellStyle name="Normal 10 2 10 3" xfId="7022"/>
    <cellStyle name="Normal 10 2 10 3 2" xfId="23209"/>
    <cellStyle name="Normal 10 2 10 4" xfId="18202"/>
    <cellStyle name="Normal 10 2 11" xfId="1412"/>
    <cellStyle name="Normal 10 2 11 2" xfId="10791"/>
    <cellStyle name="Normal 10 2 11 3" xfId="20795"/>
    <cellStyle name="Normal 10 2 12" xfId="5517"/>
    <cellStyle name="Normal 10 2 12 2" xfId="14346"/>
    <cellStyle name="Normal 10 2 12 3" xfId="24597"/>
    <cellStyle name="Normal 10 2 13" xfId="6958"/>
    <cellStyle name="Normal 10 2 13 2" xfId="19596"/>
    <cellStyle name="Normal 10 2 14" xfId="15788"/>
    <cellStyle name="Normal 10 2 2" xfId="170"/>
    <cellStyle name="Normal 10 2 2 10" xfId="1437"/>
    <cellStyle name="Normal 10 2 2 10 2" xfId="10816"/>
    <cellStyle name="Normal 10 2 2 10 3" xfId="20820"/>
    <cellStyle name="Normal 10 2 2 11" xfId="5546"/>
    <cellStyle name="Normal 10 2 2 11 2" xfId="14375"/>
    <cellStyle name="Normal 10 2 2 11 3" xfId="24626"/>
    <cellStyle name="Normal 10 2 2 12" xfId="6992"/>
    <cellStyle name="Normal 10 2 2 12 2" xfId="19633"/>
    <cellStyle name="Normal 10 2 2 13" xfId="15813"/>
    <cellStyle name="Normal 10 2 2 2" xfId="217"/>
    <cellStyle name="Normal 10 2 2 2 10" xfId="7167"/>
    <cellStyle name="Normal 10 2 2 2 10 2" xfId="19676"/>
    <cellStyle name="Normal 10 2 2 2 11" xfId="15913"/>
    <cellStyle name="Normal 10 2 2 2 2" xfId="543"/>
    <cellStyle name="Normal 10 2 2 2 2 2" xfId="712"/>
    <cellStyle name="Normal 10 2 2 2 2 2 2" xfId="3200"/>
    <cellStyle name="Normal 10 2 2 2 2 2 2 2" xfId="12345"/>
    <cellStyle name="Normal 10 2 2 2 2 2 2 2 2" xfId="22563"/>
    <cellStyle name="Normal 10 2 2 2 2 2 2 3" xfId="8767"/>
    <cellStyle name="Normal 10 2 2 2 2 2 2 4" xfId="17556"/>
    <cellStyle name="Normal 10 2 2 2 2 2 3" xfId="4529"/>
    <cellStyle name="Normal 10 2 2 2 2 2 3 2" xfId="13369"/>
    <cellStyle name="Normal 10 2 2 2 2 2 3 2 2" xfId="23620"/>
    <cellStyle name="Normal 10 2 2 2 2 2 3 3" xfId="9790"/>
    <cellStyle name="Normal 10 2 2 2 2 2 3 4" xfId="18613"/>
    <cellStyle name="Normal 10 2 2 2 2 2 4" xfId="2309"/>
    <cellStyle name="Normal 10 2 2 2 2 2 4 2" xfId="11676"/>
    <cellStyle name="Normal 10 2 2 2 2 2 4 3" xfId="21680"/>
    <cellStyle name="Normal 10 2 2 2 2 2 5" xfId="5987"/>
    <cellStyle name="Normal 10 2 2 2 2 2 5 2" xfId="14814"/>
    <cellStyle name="Normal 10 2 2 2 2 2 5 3" xfId="25065"/>
    <cellStyle name="Normal 10 2 2 2 2 2 6" xfId="7431"/>
    <cellStyle name="Normal 10 2 2 2 2 2 6 2" xfId="20162"/>
    <cellStyle name="Normal 10 2 2 2 2 2 7" xfId="16673"/>
    <cellStyle name="Normal 10 2 2 2 2 3" xfId="1315"/>
    <cellStyle name="Normal 10 2 2 2 2 3 2" xfId="3746"/>
    <cellStyle name="Normal 10 2 2 2 2 3 2 2" xfId="12884"/>
    <cellStyle name="Normal 10 2 2 2 2 3 2 2 2" xfId="23103"/>
    <cellStyle name="Normal 10 2 2 2 2 3 2 3" xfId="9305"/>
    <cellStyle name="Normal 10 2 2 2 2 3 2 4" xfId="18096"/>
    <cellStyle name="Normal 10 2 2 2 2 3 3" xfId="4878"/>
    <cellStyle name="Normal 10 2 2 2 2 3 3 2" xfId="13717"/>
    <cellStyle name="Normal 10 2 2 2 2 3 3 2 2" xfId="23968"/>
    <cellStyle name="Normal 10 2 2 2 2 3 3 3" xfId="10138"/>
    <cellStyle name="Normal 10 2 2 2 2 3 3 4" xfId="18961"/>
    <cellStyle name="Normal 10 2 2 2 2 3 4" xfId="2140"/>
    <cellStyle name="Normal 10 2 2 2 2 3 4 2" xfId="11507"/>
    <cellStyle name="Normal 10 2 2 2 2 3 4 3" xfId="21511"/>
    <cellStyle name="Normal 10 2 2 2 2 3 5" xfId="6335"/>
    <cellStyle name="Normal 10 2 2 2 2 3 5 2" xfId="15162"/>
    <cellStyle name="Normal 10 2 2 2 2 3 5 3" xfId="25413"/>
    <cellStyle name="Normal 10 2 2 2 2 3 6" xfId="7781"/>
    <cellStyle name="Normal 10 2 2 2 2 3 6 2" xfId="20702"/>
    <cellStyle name="Normal 10 2 2 2 2 3 7" xfId="16504"/>
    <cellStyle name="Normal 10 2 2 2 2 4" xfId="3031"/>
    <cellStyle name="Normal 10 2 2 2 2 4 2" xfId="5409"/>
    <cellStyle name="Normal 10 2 2 2 2 4 2 2" xfId="14248"/>
    <cellStyle name="Normal 10 2 2 2 2 4 2 2 2" xfId="24499"/>
    <cellStyle name="Normal 10 2 2 2 2 4 2 3" xfId="10669"/>
    <cellStyle name="Normal 10 2 2 2 2 4 2 4" xfId="19492"/>
    <cellStyle name="Normal 10 2 2 2 2 4 3" xfId="6866"/>
    <cellStyle name="Normal 10 2 2 2 2 4 3 2" xfId="15693"/>
    <cellStyle name="Normal 10 2 2 2 2 4 3 3" xfId="25944"/>
    <cellStyle name="Normal 10 2 2 2 2 4 4" xfId="8312"/>
    <cellStyle name="Normal 10 2 2 2 2 4 4 2" xfId="22394"/>
    <cellStyle name="Normal 10 2 2 2 2 4 5" xfId="17387"/>
    <cellStyle name="Normal 10 2 2 2 2 5" xfId="4365"/>
    <cellStyle name="Normal 10 2 2 2 2 5 2" xfId="13205"/>
    <cellStyle name="Normal 10 2 2 2 2 5 2 2" xfId="23456"/>
    <cellStyle name="Normal 10 2 2 2 2 5 3" xfId="9626"/>
    <cellStyle name="Normal 10 2 2 2 2 5 4" xfId="18449"/>
    <cellStyle name="Normal 10 2 2 2 2 6" xfId="1637"/>
    <cellStyle name="Normal 10 2 2 2 2 6 2" xfId="11016"/>
    <cellStyle name="Normal 10 2 2 2 2 6 3" xfId="21020"/>
    <cellStyle name="Normal 10 2 2 2 2 7" xfId="5823"/>
    <cellStyle name="Normal 10 2 2 2 2 7 2" xfId="14650"/>
    <cellStyle name="Normal 10 2 2 2 2 7 3" xfId="24901"/>
    <cellStyle name="Normal 10 2 2 2 2 8" xfId="7267"/>
    <cellStyle name="Normal 10 2 2 2 2 8 2" xfId="19993"/>
    <cellStyle name="Normal 10 2 2 2 2 9" xfId="16013"/>
    <cellStyle name="Normal 10 2 2 2 2_Degree data" xfId="3911"/>
    <cellStyle name="Normal 10 2 2 2 3" xfId="443"/>
    <cellStyle name="Normal 10 2 2 2 3 2" xfId="2931"/>
    <cellStyle name="Normal 10 2 2 2 3 2 2" xfId="12221"/>
    <cellStyle name="Normal 10 2 2 2 3 2 2 2" xfId="22294"/>
    <cellStyle name="Normal 10 2 2 2 3 2 3" xfId="8459"/>
    <cellStyle name="Normal 10 2 2 2 3 2 4" xfId="17287"/>
    <cellStyle name="Normal 10 2 2 2 3 3" xfId="4528"/>
    <cellStyle name="Normal 10 2 2 2 3 3 2" xfId="13368"/>
    <cellStyle name="Normal 10 2 2 2 3 3 2 2" xfId="23619"/>
    <cellStyle name="Normal 10 2 2 2 3 3 3" xfId="9789"/>
    <cellStyle name="Normal 10 2 2 2 3 3 4" xfId="18612"/>
    <cellStyle name="Normal 10 2 2 2 3 4" xfId="2040"/>
    <cellStyle name="Normal 10 2 2 2 3 4 2" xfId="11407"/>
    <cellStyle name="Normal 10 2 2 2 3 4 3" xfId="21411"/>
    <cellStyle name="Normal 10 2 2 2 3 5" xfId="5986"/>
    <cellStyle name="Normal 10 2 2 2 3 5 2" xfId="14813"/>
    <cellStyle name="Normal 10 2 2 2 3 5 3" xfId="25064"/>
    <cellStyle name="Normal 10 2 2 2 3 6" xfId="7430"/>
    <cellStyle name="Normal 10 2 2 2 3 6 2" xfId="19893"/>
    <cellStyle name="Normal 10 2 2 2 3 7" xfId="16404"/>
    <cellStyle name="Normal 10 2 2 2 4" xfId="711"/>
    <cellStyle name="Normal 10 2 2 2 4 2" xfId="3199"/>
    <cellStyle name="Normal 10 2 2 2 4 2 2" xfId="12344"/>
    <cellStyle name="Normal 10 2 2 2 4 2 2 2" xfId="22562"/>
    <cellStyle name="Normal 10 2 2 2 4 2 3" xfId="8766"/>
    <cellStyle name="Normal 10 2 2 2 4 2 4" xfId="17555"/>
    <cellStyle name="Normal 10 2 2 2 4 3" xfId="4877"/>
    <cellStyle name="Normal 10 2 2 2 4 3 2" xfId="13716"/>
    <cellStyle name="Normal 10 2 2 2 4 3 2 2" xfId="23967"/>
    <cellStyle name="Normal 10 2 2 2 4 3 3" xfId="10137"/>
    <cellStyle name="Normal 10 2 2 2 4 3 4" xfId="18960"/>
    <cellStyle name="Normal 10 2 2 2 4 4" xfId="2308"/>
    <cellStyle name="Normal 10 2 2 2 4 4 2" xfId="11675"/>
    <cellStyle name="Normal 10 2 2 2 4 4 3" xfId="21679"/>
    <cellStyle name="Normal 10 2 2 2 4 5" xfId="6334"/>
    <cellStyle name="Normal 10 2 2 2 4 5 2" xfId="15161"/>
    <cellStyle name="Normal 10 2 2 2 4 5 3" xfId="25412"/>
    <cellStyle name="Normal 10 2 2 2 4 6" xfId="7780"/>
    <cellStyle name="Normal 10 2 2 2 4 6 2" xfId="20161"/>
    <cellStyle name="Normal 10 2 2 2 4 7" xfId="16672"/>
    <cellStyle name="Normal 10 2 2 2 5" xfId="1215"/>
    <cellStyle name="Normal 10 2 2 2 5 2" xfId="3646"/>
    <cellStyle name="Normal 10 2 2 2 5 2 2" xfId="12784"/>
    <cellStyle name="Normal 10 2 2 2 5 2 2 2" xfId="23003"/>
    <cellStyle name="Normal 10 2 2 2 5 2 3" xfId="9205"/>
    <cellStyle name="Normal 10 2 2 2 5 2 4" xfId="17996"/>
    <cellStyle name="Normal 10 2 2 2 5 3" xfId="5309"/>
    <cellStyle name="Normal 10 2 2 2 5 3 2" xfId="14148"/>
    <cellStyle name="Normal 10 2 2 2 5 3 2 2" xfId="24399"/>
    <cellStyle name="Normal 10 2 2 2 5 3 3" xfId="10569"/>
    <cellStyle name="Normal 10 2 2 2 5 3 4" xfId="19392"/>
    <cellStyle name="Normal 10 2 2 2 5 4" xfId="1820"/>
    <cellStyle name="Normal 10 2 2 2 5 4 2" xfId="11190"/>
    <cellStyle name="Normal 10 2 2 2 5 4 3" xfId="21194"/>
    <cellStyle name="Normal 10 2 2 2 5 5" xfId="6766"/>
    <cellStyle name="Normal 10 2 2 2 5 5 2" xfId="15593"/>
    <cellStyle name="Normal 10 2 2 2 5 5 3" xfId="25844"/>
    <cellStyle name="Normal 10 2 2 2 5 6" xfId="8212"/>
    <cellStyle name="Normal 10 2 2 2 5 6 2" xfId="20602"/>
    <cellStyle name="Normal 10 2 2 2 5 7" xfId="16187"/>
    <cellStyle name="Normal 10 2 2 2 6" xfId="2714"/>
    <cellStyle name="Normal 10 2 2 2 6 2" xfId="12033"/>
    <cellStyle name="Normal 10 2 2 2 6 2 2" xfId="22077"/>
    <cellStyle name="Normal 10 2 2 2 6 3" xfId="8423"/>
    <cellStyle name="Normal 10 2 2 2 6 4" xfId="17070"/>
    <cellStyle name="Normal 10 2 2 2 7" xfId="4265"/>
    <cellStyle name="Normal 10 2 2 2 7 2" xfId="13105"/>
    <cellStyle name="Normal 10 2 2 2 7 2 2" xfId="23356"/>
    <cellStyle name="Normal 10 2 2 2 7 3" xfId="9526"/>
    <cellStyle name="Normal 10 2 2 2 7 4" xfId="18349"/>
    <cellStyle name="Normal 10 2 2 2 8" xfId="1537"/>
    <cellStyle name="Normal 10 2 2 2 8 2" xfId="10916"/>
    <cellStyle name="Normal 10 2 2 2 8 3" xfId="20920"/>
    <cellStyle name="Normal 10 2 2 2 9" xfId="5723"/>
    <cellStyle name="Normal 10 2 2 2 9 2" xfId="14550"/>
    <cellStyle name="Normal 10 2 2 2 9 3" xfId="24801"/>
    <cellStyle name="Normal 10 2 2 2_Degree data" xfId="3907"/>
    <cellStyle name="Normal 10 2 2 3" xfId="282"/>
    <cellStyle name="Normal 10 2 2 3 10" xfId="7124"/>
    <cellStyle name="Normal 10 2 2 3 10 2" xfId="19737"/>
    <cellStyle name="Normal 10 2 2 3 11" xfId="15870"/>
    <cellStyle name="Normal 10 2 2 3 2" xfId="604"/>
    <cellStyle name="Normal 10 2 2 3 2 2" xfId="714"/>
    <cellStyle name="Normal 10 2 2 3 2 2 2" xfId="3202"/>
    <cellStyle name="Normal 10 2 2 3 2 2 2 2" xfId="12347"/>
    <cellStyle name="Normal 10 2 2 3 2 2 2 2 2" xfId="22565"/>
    <cellStyle name="Normal 10 2 2 3 2 2 2 3" xfId="8769"/>
    <cellStyle name="Normal 10 2 2 3 2 2 2 4" xfId="17558"/>
    <cellStyle name="Normal 10 2 2 3 2 2 3" xfId="4531"/>
    <cellStyle name="Normal 10 2 2 3 2 2 3 2" xfId="13371"/>
    <cellStyle name="Normal 10 2 2 3 2 2 3 2 2" xfId="23622"/>
    <cellStyle name="Normal 10 2 2 3 2 2 3 3" xfId="9792"/>
    <cellStyle name="Normal 10 2 2 3 2 2 3 4" xfId="18615"/>
    <cellStyle name="Normal 10 2 2 3 2 2 4" xfId="2311"/>
    <cellStyle name="Normal 10 2 2 3 2 2 4 2" xfId="11678"/>
    <cellStyle name="Normal 10 2 2 3 2 2 4 3" xfId="21682"/>
    <cellStyle name="Normal 10 2 2 3 2 2 5" xfId="5989"/>
    <cellStyle name="Normal 10 2 2 3 2 2 5 2" xfId="14816"/>
    <cellStyle name="Normal 10 2 2 3 2 2 5 3" xfId="25067"/>
    <cellStyle name="Normal 10 2 2 3 2 2 6" xfId="7433"/>
    <cellStyle name="Normal 10 2 2 3 2 2 6 2" xfId="20164"/>
    <cellStyle name="Normal 10 2 2 3 2 2 7" xfId="16675"/>
    <cellStyle name="Normal 10 2 2 3 2 3" xfId="1376"/>
    <cellStyle name="Normal 10 2 2 3 2 3 2" xfId="3807"/>
    <cellStyle name="Normal 10 2 2 3 2 3 2 2" xfId="12945"/>
    <cellStyle name="Normal 10 2 2 3 2 3 2 2 2" xfId="23164"/>
    <cellStyle name="Normal 10 2 2 3 2 3 2 3" xfId="9366"/>
    <cellStyle name="Normal 10 2 2 3 2 3 2 4" xfId="18157"/>
    <cellStyle name="Normal 10 2 2 3 2 3 3" xfId="4880"/>
    <cellStyle name="Normal 10 2 2 3 2 3 3 2" xfId="13719"/>
    <cellStyle name="Normal 10 2 2 3 2 3 3 2 2" xfId="23970"/>
    <cellStyle name="Normal 10 2 2 3 2 3 3 3" xfId="10140"/>
    <cellStyle name="Normal 10 2 2 3 2 3 3 4" xfId="18963"/>
    <cellStyle name="Normal 10 2 2 3 2 3 4" xfId="2201"/>
    <cellStyle name="Normal 10 2 2 3 2 3 4 2" xfId="11568"/>
    <cellStyle name="Normal 10 2 2 3 2 3 4 3" xfId="21572"/>
    <cellStyle name="Normal 10 2 2 3 2 3 5" xfId="6337"/>
    <cellStyle name="Normal 10 2 2 3 2 3 5 2" xfId="15164"/>
    <cellStyle name="Normal 10 2 2 3 2 3 5 3" xfId="25415"/>
    <cellStyle name="Normal 10 2 2 3 2 3 6" xfId="7783"/>
    <cellStyle name="Normal 10 2 2 3 2 3 6 2" xfId="20763"/>
    <cellStyle name="Normal 10 2 2 3 2 3 7" xfId="16565"/>
    <cellStyle name="Normal 10 2 2 3 2 4" xfId="3092"/>
    <cellStyle name="Normal 10 2 2 3 2 4 2" xfId="5470"/>
    <cellStyle name="Normal 10 2 2 3 2 4 2 2" xfId="14309"/>
    <cellStyle name="Normal 10 2 2 3 2 4 2 2 2" xfId="24560"/>
    <cellStyle name="Normal 10 2 2 3 2 4 2 3" xfId="10730"/>
    <cellStyle name="Normal 10 2 2 3 2 4 2 4" xfId="19553"/>
    <cellStyle name="Normal 10 2 2 3 2 4 3" xfId="6927"/>
    <cellStyle name="Normal 10 2 2 3 2 4 3 2" xfId="15754"/>
    <cellStyle name="Normal 10 2 2 3 2 4 3 3" xfId="26005"/>
    <cellStyle name="Normal 10 2 2 3 2 4 4" xfId="8373"/>
    <cellStyle name="Normal 10 2 2 3 2 4 4 2" xfId="22455"/>
    <cellStyle name="Normal 10 2 2 3 2 4 5" xfId="17448"/>
    <cellStyle name="Normal 10 2 2 3 2 5" xfId="4426"/>
    <cellStyle name="Normal 10 2 2 3 2 5 2" xfId="13266"/>
    <cellStyle name="Normal 10 2 2 3 2 5 2 2" xfId="23517"/>
    <cellStyle name="Normal 10 2 2 3 2 5 3" xfId="9687"/>
    <cellStyle name="Normal 10 2 2 3 2 5 4" xfId="18510"/>
    <cellStyle name="Normal 10 2 2 3 2 6" xfId="1698"/>
    <cellStyle name="Normal 10 2 2 3 2 6 2" xfId="11077"/>
    <cellStyle name="Normal 10 2 2 3 2 6 3" xfId="21081"/>
    <cellStyle name="Normal 10 2 2 3 2 7" xfId="5884"/>
    <cellStyle name="Normal 10 2 2 3 2 7 2" xfId="14711"/>
    <cellStyle name="Normal 10 2 2 3 2 7 3" xfId="24962"/>
    <cellStyle name="Normal 10 2 2 3 2 8" xfId="7328"/>
    <cellStyle name="Normal 10 2 2 3 2 8 2" xfId="20054"/>
    <cellStyle name="Normal 10 2 2 3 2 9" xfId="16074"/>
    <cellStyle name="Normal 10 2 2 3 2_Degree data" xfId="2618"/>
    <cellStyle name="Normal 10 2 2 3 3" xfId="400"/>
    <cellStyle name="Normal 10 2 2 3 3 2" xfId="2888"/>
    <cellStyle name="Normal 10 2 2 3 3 2 2" xfId="12178"/>
    <cellStyle name="Normal 10 2 2 3 3 2 2 2" xfId="22251"/>
    <cellStyle name="Normal 10 2 2 3 3 2 3" xfId="8470"/>
    <cellStyle name="Normal 10 2 2 3 3 2 4" xfId="17244"/>
    <cellStyle name="Normal 10 2 2 3 3 3" xfId="4530"/>
    <cellStyle name="Normal 10 2 2 3 3 3 2" xfId="13370"/>
    <cellStyle name="Normal 10 2 2 3 3 3 2 2" xfId="23621"/>
    <cellStyle name="Normal 10 2 2 3 3 3 3" xfId="9791"/>
    <cellStyle name="Normal 10 2 2 3 3 3 4" xfId="18614"/>
    <cellStyle name="Normal 10 2 2 3 3 4" xfId="1997"/>
    <cellStyle name="Normal 10 2 2 3 3 4 2" xfId="11364"/>
    <cellStyle name="Normal 10 2 2 3 3 4 3" xfId="21368"/>
    <cellStyle name="Normal 10 2 2 3 3 5" xfId="5988"/>
    <cellStyle name="Normal 10 2 2 3 3 5 2" xfId="14815"/>
    <cellStyle name="Normal 10 2 2 3 3 5 3" xfId="25066"/>
    <cellStyle name="Normal 10 2 2 3 3 6" xfId="7432"/>
    <cellStyle name="Normal 10 2 2 3 3 6 2" xfId="19850"/>
    <cellStyle name="Normal 10 2 2 3 3 7" xfId="16361"/>
    <cellStyle name="Normal 10 2 2 3 4" xfId="713"/>
    <cellStyle name="Normal 10 2 2 3 4 2" xfId="3201"/>
    <cellStyle name="Normal 10 2 2 3 4 2 2" xfId="12346"/>
    <cellStyle name="Normal 10 2 2 3 4 2 2 2" xfId="22564"/>
    <cellStyle name="Normal 10 2 2 3 4 2 3" xfId="8768"/>
    <cellStyle name="Normal 10 2 2 3 4 2 4" xfId="17557"/>
    <cellStyle name="Normal 10 2 2 3 4 3" xfId="4879"/>
    <cellStyle name="Normal 10 2 2 3 4 3 2" xfId="13718"/>
    <cellStyle name="Normal 10 2 2 3 4 3 2 2" xfId="23969"/>
    <cellStyle name="Normal 10 2 2 3 4 3 3" xfId="10139"/>
    <cellStyle name="Normal 10 2 2 3 4 3 4" xfId="18962"/>
    <cellStyle name="Normal 10 2 2 3 4 4" xfId="2310"/>
    <cellStyle name="Normal 10 2 2 3 4 4 2" xfId="11677"/>
    <cellStyle name="Normal 10 2 2 3 4 4 3" xfId="21681"/>
    <cellStyle name="Normal 10 2 2 3 4 5" xfId="6336"/>
    <cellStyle name="Normal 10 2 2 3 4 5 2" xfId="15163"/>
    <cellStyle name="Normal 10 2 2 3 4 5 3" xfId="25414"/>
    <cellStyle name="Normal 10 2 2 3 4 6" xfId="7782"/>
    <cellStyle name="Normal 10 2 2 3 4 6 2" xfId="20163"/>
    <cellStyle name="Normal 10 2 2 3 4 7" xfId="16674"/>
    <cellStyle name="Normal 10 2 2 3 5" xfId="1172"/>
    <cellStyle name="Normal 10 2 2 3 5 2" xfId="3603"/>
    <cellStyle name="Normal 10 2 2 3 5 2 2" xfId="12741"/>
    <cellStyle name="Normal 10 2 2 3 5 2 2 2" xfId="22960"/>
    <cellStyle name="Normal 10 2 2 3 5 2 3" xfId="9162"/>
    <cellStyle name="Normal 10 2 2 3 5 2 4" xfId="17953"/>
    <cellStyle name="Normal 10 2 2 3 5 3" xfId="5266"/>
    <cellStyle name="Normal 10 2 2 3 5 3 2" xfId="14105"/>
    <cellStyle name="Normal 10 2 2 3 5 3 2 2" xfId="24356"/>
    <cellStyle name="Normal 10 2 2 3 5 3 3" xfId="10526"/>
    <cellStyle name="Normal 10 2 2 3 5 3 4" xfId="19349"/>
    <cellStyle name="Normal 10 2 2 3 5 4" xfId="1881"/>
    <cellStyle name="Normal 10 2 2 3 5 4 2" xfId="11251"/>
    <cellStyle name="Normal 10 2 2 3 5 4 3" xfId="21255"/>
    <cellStyle name="Normal 10 2 2 3 5 5" xfId="6723"/>
    <cellStyle name="Normal 10 2 2 3 5 5 2" xfId="15550"/>
    <cellStyle name="Normal 10 2 2 3 5 5 3" xfId="25801"/>
    <cellStyle name="Normal 10 2 2 3 5 6" xfId="8169"/>
    <cellStyle name="Normal 10 2 2 3 5 6 2" xfId="20559"/>
    <cellStyle name="Normal 10 2 2 3 5 7" xfId="16248"/>
    <cellStyle name="Normal 10 2 2 3 6" xfId="2775"/>
    <cellStyle name="Normal 10 2 2 3 6 2" xfId="12094"/>
    <cellStyle name="Normal 10 2 2 3 6 2 2" xfId="22138"/>
    <cellStyle name="Normal 10 2 2 3 6 3" xfId="8492"/>
    <cellStyle name="Normal 10 2 2 3 6 4" xfId="17131"/>
    <cellStyle name="Normal 10 2 2 3 7" xfId="4222"/>
    <cellStyle name="Normal 10 2 2 3 7 2" xfId="13062"/>
    <cellStyle name="Normal 10 2 2 3 7 2 2" xfId="23313"/>
    <cellStyle name="Normal 10 2 2 3 7 3" xfId="9483"/>
    <cellStyle name="Normal 10 2 2 3 7 4" xfId="18306"/>
    <cellStyle name="Normal 10 2 2 3 8" xfId="1494"/>
    <cellStyle name="Normal 10 2 2 3 8 2" xfId="10873"/>
    <cellStyle name="Normal 10 2 2 3 8 3" xfId="20877"/>
    <cellStyle name="Normal 10 2 2 3 9" xfId="5680"/>
    <cellStyle name="Normal 10 2 2 3 9 2" xfId="14507"/>
    <cellStyle name="Normal 10 2 2 3 9 3" xfId="24758"/>
    <cellStyle name="Normal 10 2 2 3_Degree data" xfId="3861"/>
    <cellStyle name="Normal 10 2 2 4" xfId="500"/>
    <cellStyle name="Normal 10 2 2 4 2" xfId="715"/>
    <cellStyle name="Normal 10 2 2 4 2 2" xfId="3203"/>
    <cellStyle name="Normal 10 2 2 4 2 2 2" xfId="12348"/>
    <cellStyle name="Normal 10 2 2 4 2 2 2 2" xfId="22566"/>
    <cellStyle name="Normal 10 2 2 4 2 2 3" xfId="8770"/>
    <cellStyle name="Normal 10 2 2 4 2 2 4" xfId="17559"/>
    <cellStyle name="Normal 10 2 2 4 2 3" xfId="4532"/>
    <cellStyle name="Normal 10 2 2 4 2 3 2" xfId="13372"/>
    <cellStyle name="Normal 10 2 2 4 2 3 2 2" xfId="23623"/>
    <cellStyle name="Normal 10 2 2 4 2 3 3" xfId="9793"/>
    <cellStyle name="Normal 10 2 2 4 2 3 4" xfId="18616"/>
    <cellStyle name="Normal 10 2 2 4 2 4" xfId="2312"/>
    <cellStyle name="Normal 10 2 2 4 2 4 2" xfId="11679"/>
    <cellStyle name="Normal 10 2 2 4 2 4 3" xfId="21683"/>
    <cellStyle name="Normal 10 2 2 4 2 5" xfId="5990"/>
    <cellStyle name="Normal 10 2 2 4 2 5 2" xfId="14817"/>
    <cellStyle name="Normal 10 2 2 4 2 5 3" xfId="25068"/>
    <cellStyle name="Normal 10 2 2 4 2 6" xfId="7434"/>
    <cellStyle name="Normal 10 2 2 4 2 6 2" xfId="20165"/>
    <cellStyle name="Normal 10 2 2 4 2 7" xfId="16676"/>
    <cellStyle name="Normal 10 2 2 4 3" xfId="1272"/>
    <cellStyle name="Normal 10 2 2 4 3 2" xfId="3703"/>
    <cellStyle name="Normal 10 2 2 4 3 2 2" xfId="12841"/>
    <cellStyle name="Normal 10 2 2 4 3 2 2 2" xfId="23060"/>
    <cellStyle name="Normal 10 2 2 4 3 2 3" xfId="9262"/>
    <cellStyle name="Normal 10 2 2 4 3 2 4" xfId="18053"/>
    <cellStyle name="Normal 10 2 2 4 3 3" xfId="4881"/>
    <cellStyle name="Normal 10 2 2 4 3 3 2" xfId="13720"/>
    <cellStyle name="Normal 10 2 2 4 3 3 2 2" xfId="23971"/>
    <cellStyle name="Normal 10 2 2 4 3 3 3" xfId="10141"/>
    <cellStyle name="Normal 10 2 2 4 3 3 4" xfId="18964"/>
    <cellStyle name="Normal 10 2 2 4 3 4" xfId="2097"/>
    <cellStyle name="Normal 10 2 2 4 3 4 2" xfId="11464"/>
    <cellStyle name="Normal 10 2 2 4 3 4 3" xfId="21468"/>
    <cellStyle name="Normal 10 2 2 4 3 5" xfId="6338"/>
    <cellStyle name="Normal 10 2 2 4 3 5 2" xfId="15165"/>
    <cellStyle name="Normal 10 2 2 4 3 5 3" xfId="25416"/>
    <cellStyle name="Normal 10 2 2 4 3 6" xfId="7784"/>
    <cellStyle name="Normal 10 2 2 4 3 6 2" xfId="20659"/>
    <cellStyle name="Normal 10 2 2 4 3 7" xfId="16461"/>
    <cellStyle name="Normal 10 2 2 4 4" xfId="2988"/>
    <cellStyle name="Normal 10 2 2 4 4 2" xfId="5366"/>
    <cellStyle name="Normal 10 2 2 4 4 2 2" xfId="14205"/>
    <cellStyle name="Normal 10 2 2 4 4 2 2 2" xfId="24456"/>
    <cellStyle name="Normal 10 2 2 4 4 2 3" xfId="10626"/>
    <cellStyle name="Normal 10 2 2 4 4 2 4" xfId="19449"/>
    <cellStyle name="Normal 10 2 2 4 4 3" xfId="6823"/>
    <cellStyle name="Normal 10 2 2 4 4 3 2" xfId="15650"/>
    <cellStyle name="Normal 10 2 2 4 4 3 3" xfId="25901"/>
    <cellStyle name="Normal 10 2 2 4 4 4" xfId="8269"/>
    <cellStyle name="Normal 10 2 2 4 4 4 2" xfId="22351"/>
    <cellStyle name="Normal 10 2 2 4 4 5" xfId="17344"/>
    <cellStyle name="Normal 10 2 2 4 5" xfId="4322"/>
    <cellStyle name="Normal 10 2 2 4 5 2" xfId="13162"/>
    <cellStyle name="Normal 10 2 2 4 5 2 2" xfId="23413"/>
    <cellStyle name="Normal 10 2 2 4 5 3" xfId="9583"/>
    <cellStyle name="Normal 10 2 2 4 5 4" xfId="18406"/>
    <cellStyle name="Normal 10 2 2 4 6" xfId="1594"/>
    <cellStyle name="Normal 10 2 2 4 6 2" xfId="10973"/>
    <cellStyle name="Normal 10 2 2 4 6 3" xfId="20977"/>
    <cellStyle name="Normal 10 2 2 4 7" xfId="5780"/>
    <cellStyle name="Normal 10 2 2 4 7 2" xfId="14607"/>
    <cellStyle name="Normal 10 2 2 4 7 3" xfId="24858"/>
    <cellStyle name="Normal 10 2 2 4 8" xfId="7224"/>
    <cellStyle name="Normal 10 2 2 4 8 2" xfId="19950"/>
    <cellStyle name="Normal 10 2 2 4 9" xfId="15970"/>
    <cellStyle name="Normal 10 2 2 4_Degree data" xfId="3860"/>
    <cellStyle name="Normal 10 2 2 5" xfId="343"/>
    <cellStyle name="Normal 10 2 2 5 2" xfId="2831"/>
    <cellStyle name="Normal 10 2 2 5 2 2" xfId="12128"/>
    <cellStyle name="Normal 10 2 2 5 2 2 2" xfId="22194"/>
    <cellStyle name="Normal 10 2 2 5 2 3" xfId="8484"/>
    <cellStyle name="Normal 10 2 2 5 2 4" xfId="17187"/>
    <cellStyle name="Normal 10 2 2 5 3" xfId="4527"/>
    <cellStyle name="Normal 10 2 2 5 3 2" xfId="13367"/>
    <cellStyle name="Normal 10 2 2 5 3 2 2" xfId="23618"/>
    <cellStyle name="Normal 10 2 2 5 3 3" xfId="9788"/>
    <cellStyle name="Normal 10 2 2 5 3 4" xfId="18611"/>
    <cellStyle name="Normal 10 2 2 5 4" xfId="1940"/>
    <cellStyle name="Normal 10 2 2 5 4 2" xfId="11307"/>
    <cellStyle name="Normal 10 2 2 5 4 3" xfId="21311"/>
    <cellStyle name="Normal 10 2 2 5 5" xfId="5985"/>
    <cellStyle name="Normal 10 2 2 5 5 2" xfId="14812"/>
    <cellStyle name="Normal 10 2 2 5 5 3" xfId="25063"/>
    <cellStyle name="Normal 10 2 2 5 6" xfId="7429"/>
    <cellStyle name="Normal 10 2 2 5 6 2" xfId="19793"/>
    <cellStyle name="Normal 10 2 2 5 7" xfId="16304"/>
    <cellStyle name="Normal 10 2 2 6" xfId="710"/>
    <cellStyle name="Normal 10 2 2 6 2" xfId="3198"/>
    <cellStyle name="Normal 10 2 2 6 2 2" xfId="12343"/>
    <cellStyle name="Normal 10 2 2 6 2 2 2" xfId="22561"/>
    <cellStyle name="Normal 10 2 2 6 2 3" xfId="8765"/>
    <cellStyle name="Normal 10 2 2 6 2 4" xfId="17554"/>
    <cellStyle name="Normal 10 2 2 6 3" xfId="4876"/>
    <cellStyle name="Normal 10 2 2 6 3 2" xfId="13715"/>
    <cellStyle name="Normal 10 2 2 6 3 2 2" xfId="23966"/>
    <cellStyle name="Normal 10 2 2 6 3 3" xfId="10136"/>
    <cellStyle name="Normal 10 2 2 6 3 4" xfId="18959"/>
    <cellStyle name="Normal 10 2 2 6 4" xfId="2307"/>
    <cellStyle name="Normal 10 2 2 6 4 2" xfId="11674"/>
    <cellStyle name="Normal 10 2 2 6 4 3" xfId="21678"/>
    <cellStyle name="Normal 10 2 2 6 5" xfId="6333"/>
    <cellStyle name="Normal 10 2 2 6 5 2" xfId="15160"/>
    <cellStyle name="Normal 10 2 2 6 5 3" xfId="25411"/>
    <cellStyle name="Normal 10 2 2 6 6" xfId="7779"/>
    <cellStyle name="Normal 10 2 2 6 6 2" xfId="20160"/>
    <cellStyle name="Normal 10 2 2 6 7" xfId="16671"/>
    <cellStyle name="Normal 10 2 2 7" xfId="1115"/>
    <cellStyle name="Normal 10 2 2 7 2" xfId="3546"/>
    <cellStyle name="Normal 10 2 2 7 2 2" xfId="12684"/>
    <cellStyle name="Normal 10 2 2 7 2 2 2" xfId="22903"/>
    <cellStyle name="Normal 10 2 2 7 2 3" xfId="9105"/>
    <cellStyle name="Normal 10 2 2 7 2 4" xfId="17896"/>
    <cellStyle name="Normal 10 2 2 7 3" xfId="5209"/>
    <cellStyle name="Normal 10 2 2 7 3 2" xfId="14048"/>
    <cellStyle name="Normal 10 2 2 7 3 2 2" xfId="24299"/>
    <cellStyle name="Normal 10 2 2 7 3 3" xfId="10469"/>
    <cellStyle name="Normal 10 2 2 7 3 4" xfId="19292"/>
    <cellStyle name="Normal 10 2 2 7 4" xfId="1774"/>
    <cellStyle name="Normal 10 2 2 7 4 2" xfId="11147"/>
    <cellStyle name="Normal 10 2 2 7 4 3" xfId="21151"/>
    <cellStyle name="Normal 10 2 2 7 5" xfId="6666"/>
    <cellStyle name="Normal 10 2 2 7 5 2" xfId="15493"/>
    <cellStyle name="Normal 10 2 2 7 5 3" xfId="25744"/>
    <cellStyle name="Normal 10 2 2 7 6" xfId="8112"/>
    <cellStyle name="Normal 10 2 2 7 6 2" xfId="20502"/>
    <cellStyle name="Normal 10 2 2 7 7" xfId="16144"/>
    <cellStyle name="Normal 10 2 2 8" xfId="2671"/>
    <cellStyle name="Normal 10 2 2 8 2" xfId="5623"/>
    <cellStyle name="Normal 10 2 2 8 2 2" xfId="14450"/>
    <cellStyle name="Normal 10 2 2 8 2 3" xfId="24701"/>
    <cellStyle name="Normal 10 2 2 8 3" xfId="7067"/>
    <cellStyle name="Normal 10 2 2 8 3 2" xfId="22034"/>
    <cellStyle name="Normal 10 2 2 8 4" xfId="17027"/>
    <cellStyle name="Normal 10 2 2 9" xfId="4163"/>
    <cellStyle name="Normal 10 2 2 9 2" xfId="13003"/>
    <cellStyle name="Normal 10 2 2 9 2 2" xfId="23254"/>
    <cellStyle name="Normal 10 2 2 9 3" xfId="9424"/>
    <cellStyle name="Normal 10 2 2 9 4" xfId="18247"/>
    <cellStyle name="Normal 10 2 2_Degree data" xfId="3879"/>
    <cellStyle name="Normal 10 2 3" xfId="190"/>
    <cellStyle name="Normal 10 2 3 10" xfId="7142"/>
    <cellStyle name="Normal 10 2 3 10 2" xfId="19651"/>
    <cellStyle name="Normal 10 2 3 11" xfId="15888"/>
    <cellStyle name="Normal 10 2 3 2" xfId="518"/>
    <cellStyle name="Normal 10 2 3 2 2" xfId="717"/>
    <cellStyle name="Normal 10 2 3 2 2 2" xfId="3205"/>
    <cellStyle name="Normal 10 2 3 2 2 2 2" xfId="12350"/>
    <cellStyle name="Normal 10 2 3 2 2 2 2 2" xfId="22568"/>
    <cellStyle name="Normal 10 2 3 2 2 2 3" xfId="8772"/>
    <cellStyle name="Normal 10 2 3 2 2 2 4" xfId="17561"/>
    <cellStyle name="Normal 10 2 3 2 2 3" xfId="4534"/>
    <cellStyle name="Normal 10 2 3 2 2 3 2" xfId="13374"/>
    <cellStyle name="Normal 10 2 3 2 2 3 2 2" xfId="23625"/>
    <cellStyle name="Normal 10 2 3 2 2 3 3" xfId="9795"/>
    <cellStyle name="Normal 10 2 3 2 2 3 4" xfId="18618"/>
    <cellStyle name="Normal 10 2 3 2 2 4" xfId="2314"/>
    <cellStyle name="Normal 10 2 3 2 2 4 2" xfId="11681"/>
    <cellStyle name="Normal 10 2 3 2 2 4 3" xfId="21685"/>
    <cellStyle name="Normal 10 2 3 2 2 5" xfId="5992"/>
    <cellStyle name="Normal 10 2 3 2 2 5 2" xfId="14819"/>
    <cellStyle name="Normal 10 2 3 2 2 5 3" xfId="25070"/>
    <cellStyle name="Normal 10 2 3 2 2 6" xfId="7436"/>
    <cellStyle name="Normal 10 2 3 2 2 6 2" xfId="20167"/>
    <cellStyle name="Normal 10 2 3 2 2 7" xfId="16678"/>
    <cellStyle name="Normal 10 2 3 2 3" xfId="1290"/>
    <cellStyle name="Normal 10 2 3 2 3 2" xfId="3721"/>
    <cellStyle name="Normal 10 2 3 2 3 2 2" xfId="12859"/>
    <cellStyle name="Normal 10 2 3 2 3 2 2 2" xfId="23078"/>
    <cellStyle name="Normal 10 2 3 2 3 2 3" xfId="9280"/>
    <cellStyle name="Normal 10 2 3 2 3 2 4" xfId="18071"/>
    <cellStyle name="Normal 10 2 3 2 3 3" xfId="4883"/>
    <cellStyle name="Normal 10 2 3 2 3 3 2" xfId="13722"/>
    <cellStyle name="Normal 10 2 3 2 3 3 2 2" xfId="23973"/>
    <cellStyle name="Normal 10 2 3 2 3 3 3" xfId="10143"/>
    <cellStyle name="Normal 10 2 3 2 3 3 4" xfId="18966"/>
    <cellStyle name="Normal 10 2 3 2 3 4" xfId="2115"/>
    <cellStyle name="Normal 10 2 3 2 3 4 2" xfId="11482"/>
    <cellStyle name="Normal 10 2 3 2 3 4 3" xfId="21486"/>
    <cellStyle name="Normal 10 2 3 2 3 5" xfId="6340"/>
    <cellStyle name="Normal 10 2 3 2 3 5 2" xfId="15167"/>
    <cellStyle name="Normal 10 2 3 2 3 5 3" xfId="25418"/>
    <cellStyle name="Normal 10 2 3 2 3 6" xfId="7786"/>
    <cellStyle name="Normal 10 2 3 2 3 6 2" xfId="20677"/>
    <cellStyle name="Normal 10 2 3 2 3 7" xfId="16479"/>
    <cellStyle name="Normal 10 2 3 2 4" xfId="3006"/>
    <cellStyle name="Normal 10 2 3 2 4 2" xfId="5384"/>
    <cellStyle name="Normal 10 2 3 2 4 2 2" xfId="14223"/>
    <cellStyle name="Normal 10 2 3 2 4 2 2 2" xfId="24474"/>
    <cellStyle name="Normal 10 2 3 2 4 2 3" xfId="10644"/>
    <cellStyle name="Normal 10 2 3 2 4 2 4" xfId="19467"/>
    <cellStyle name="Normal 10 2 3 2 4 3" xfId="6841"/>
    <cellStyle name="Normal 10 2 3 2 4 3 2" xfId="15668"/>
    <cellStyle name="Normal 10 2 3 2 4 3 3" xfId="25919"/>
    <cellStyle name="Normal 10 2 3 2 4 4" xfId="8287"/>
    <cellStyle name="Normal 10 2 3 2 4 4 2" xfId="22369"/>
    <cellStyle name="Normal 10 2 3 2 4 5" xfId="17362"/>
    <cellStyle name="Normal 10 2 3 2 5" xfId="4340"/>
    <cellStyle name="Normal 10 2 3 2 5 2" xfId="13180"/>
    <cellStyle name="Normal 10 2 3 2 5 2 2" xfId="23431"/>
    <cellStyle name="Normal 10 2 3 2 5 3" xfId="9601"/>
    <cellStyle name="Normal 10 2 3 2 5 4" xfId="18424"/>
    <cellStyle name="Normal 10 2 3 2 6" xfId="1612"/>
    <cellStyle name="Normal 10 2 3 2 6 2" xfId="10991"/>
    <cellStyle name="Normal 10 2 3 2 6 3" xfId="20995"/>
    <cellStyle name="Normal 10 2 3 2 7" xfId="5798"/>
    <cellStyle name="Normal 10 2 3 2 7 2" xfId="14625"/>
    <cellStyle name="Normal 10 2 3 2 7 3" xfId="24876"/>
    <cellStyle name="Normal 10 2 3 2 8" xfId="7242"/>
    <cellStyle name="Normal 10 2 3 2 8 2" xfId="19968"/>
    <cellStyle name="Normal 10 2 3 2 9" xfId="15988"/>
    <cellStyle name="Normal 10 2 3 2_Degree data" xfId="3850"/>
    <cellStyle name="Normal 10 2 3 3" xfId="418"/>
    <cellStyle name="Normal 10 2 3 3 2" xfId="2906"/>
    <cellStyle name="Normal 10 2 3 3 2 2" xfId="12196"/>
    <cellStyle name="Normal 10 2 3 3 2 2 2" xfId="22269"/>
    <cellStyle name="Normal 10 2 3 3 2 3" xfId="8467"/>
    <cellStyle name="Normal 10 2 3 3 2 4" xfId="17262"/>
    <cellStyle name="Normal 10 2 3 3 3" xfId="4533"/>
    <cellStyle name="Normal 10 2 3 3 3 2" xfId="13373"/>
    <cellStyle name="Normal 10 2 3 3 3 2 2" xfId="23624"/>
    <cellStyle name="Normal 10 2 3 3 3 3" xfId="9794"/>
    <cellStyle name="Normal 10 2 3 3 3 4" xfId="18617"/>
    <cellStyle name="Normal 10 2 3 3 4" xfId="2015"/>
    <cellStyle name="Normal 10 2 3 3 4 2" xfId="11382"/>
    <cellStyle name="Normal 10 2 3 3 4 3" xfId="21386"/>
    <cellStyle name="Normal 10 2 3 3 5" xfId="5991"/>
    <cellStyle name="Normal 10 2 3 3 5 2" xfId="14818"/>
    <cellStyle name="Normal 10 2 3 3 5 3" xfId="25069"/>
    <cellStyle name="Normal 10 2 3 3 6" xfId="7435"/>
    <cellStyle name="Normal 10 2 3 3 6 2" xfId="19868"/>
    <cellStyle name="Normal 10 2 3 3 7" xfId="16379"/>
    <cellStyle name="Normal 10 2 3 4" xfId="716"/>
    <cellStyle name="Normal 10 2 3 4 2" xfId="3204"/>
    <cellStyle name="Normal 10 2 3 4 2 2" xfId="12349"/>
    <cellStyle name="Normal 10 2 3 4 2 2 2" xfId="22567"/>
    <cellStyle name="Normal 10 2 3 4 2 3" xfId="8771"/>
    <cellStyle name="Normal 10 2 3 4 2 4" xfId="17560"/>
    <cellStyle name="Normal 10 2 3 4 3" xfId="4882"/>
    <cellStyle name="Normal 10 2 3 4 3 2" xfId="13721"/>
    <cellStyle name="Normal 10 2 3 4 3 2 2" xfId="23972"/>
    <cellStyle name="Normal 10 2 3 4 3 3" xfId="10142"/>
    <cellStyle name="Normal 10 2 3 4 3 4" xfId="18965"/>
    <cellStyle name="Normal 10 2 3 4 4" xfId="2313"/>
    <cellStyle name="Normal 10 2 3 4 4 2" xfId="11680"/>
    <cellStyle name="Normal 10 2 3 4 4 3" xfId="21684"/>
    <cellStyle name="Normal 10 2 3 4 5" xfId="6339"/>
    <cellStyle name="Normal 10 2 3 4 5 2" xfId="15166"/>
    <cellStyle name="Normal 10 2 3 4 5 3" xfId="25417"/>
    <cellStyle name="Normal 10 2 3 4 6" xfId="7785"/>
    <cellStyle name="Normal 10 2 3 4 6 2" xfId="20166"/>
    <cellStyle name="Normal 10 2 3 4 7" xfId="16677"/>
    <cellStyle name="Normal 10 2 3 5" xfId="1190"/>
    <cellStyle name="Normal 10 2 3 5 2" xfId="3621"/>
    <cellStyle name="Normal 10 2 3 5 2 2" xfId="12759"/>
    <cellStyle name="Normal 10 2 3 5 2 2 2" xfId="22978"/>
    <cellStyle name="Normal 10 2 3 5 2 3" xfId="9180"/>
    <cellStyle name="Normal 10 2 3 5 2 4" xfId="17971"/>
    <cellStyle name="Normal 10 2 3 5 3" xfId="5284"/>
    <cellStyle name="Normal 10 2 3 5 3 2" xfId="14123"/>
    <cellStyle name="Normal 10 2 3 5 3 2 2" xfId="24374"/>
    <cellStyle name="Normal 10 2 3 5 3 3" xfId="10544"/>
    <cellStyle name="Normal 10 2 3 5 3 4" xfId="19367"/>
    <cellStyle name="Normal 10 2 3 5 4" xfId="1794"/>
    <cellStyle name="Normal 10 2 3 5 4 2" xfId="11165"/>
    <cellStyle name="Normal 10 2 3 5 4 3" xfId="21169"/>
    <cellStyle name="Normal 10 2 3 5 5" xfId="6741"/>
    <cellStyle name="Normal 10 2 3 5 5 2" xfId="15568"/>
    <cellStyle name="Normal 10 2 3 5 5 3" xfId="25819"/>
    <cellStyle name="Normal 10 2 3 5 6" xfId="8187"/>
    <cellStyle name="Normal 10 2 3 5 6 2" xfId="20577"/>
    <cellStyle name="Normal 10 2 3 5 7" xfId="16162"/>
    <cellStyle name="Normal 10 2 3 6" xfId="2689"/>
    <cellStyle name="Normal 10 2 3 6 2" xfId="12008"/>
    <cellStyle name="Normal 10 2 3 6 2 2" xfId="22052"/>
    <cellStyle name="Normal 10 2 3 6 3" xfId="8506"/>
    <cellStyle name="Normal 10 2 3 6 4" xfId="17045"/>
    <cellStyle name="Normal 10 2 3 7" xfId="4240"/>
    <cellStyle name="Normal 10 2 3 7 2" xfId="13080"/>
    <cellStyle name="Normal 10 2 3 7 2 2" xfId="23331"/>
    <cellStyle name="Normal 10 2 3 7 3" xfId="9501"/>
    <cellStyle name="Normal 10 2 3 7 4" xfId="18324"/>
    <cellStyle name="Normal 10 2 3 8" xfId="1512"/>
    <cellStyle name="Normal 10 2 3 8 2" xfId="10891"/>
    <cellStyle name="Normal 10 2 3 8 3" xfId="20895"/>
    <cellStyle name="Normal 10 2 3 9" xfId="5698"/>
    <cellStyle name="Normal 10 2 3 9 2" xfId="14525"/>
    <cellStyle name="Normal 10 2 3 9 3" xfId="24776"/>
    <cellStyle name="Normal 10 2 3_Degree data" xfId="3904"/>
    <cellStyle name="Normal 10 2 4" xfId="245"/>
    <cellStyle name="Normal 10 2 4 10" xfId="7087"/>
    <cellStyle name="Normal 10 2 4 10 2" xfId="19701"/>
    <cellStyle name="Normal 10 2 4 11" xfId="15833"/>
    <cellStyle name="Normal 10 2 4 2" xfId="568"/>
    <cellStyle name="Normal 10 2 4 2 2" xfId="719"/>
    <cellStyle name="Normal 10 2 4 2 2 2" xfId="3207"/>
    <cellStyle name="Normal 10 2 4 2 2 2 2" xfId="12352"/>
    <cellStyle name="Normal 10 2 4 2 2 2 2 2" xfId="22570"/>
    <cellStyle name="Normal 10 2 4 2 2 2 3" xfId="8774"/>
    <cellStyle name="Normal 10 2 4 2 2 2 4" xfId="17563"/>
    <cellStyle name="Normal 10 2 4 2 2 3" xfId="4536"/>
    <cellStyle name="Normal 10 2 4 2 2 3 2" xfId="13376"/>
    <cellStyle name="Normal 10 2 4 2 2 3 2 2" xfId="23627"/>
    <cellStyle name="Normal 10 2 4 2 2 3 3" xfId="9797"/>
    <cellStyle name="Normal 10 2 4 2 2 3 4" xfId="18620"/>
    <cellStyle name="Normal 10 2 4 2 2 4" xfId="2316"/>
    <cellStyle name="Normal 10 2 4 2 2 4 2" xfId="11683"/>
    <cellStyle name="Normal 10 2 4 2 2 4 3" xfId="21687"/>
    <cellStyle name="Normal 10 2 4 2 2 5" xfId="5994"/>
    <cellStyle name="Normal 10 2 4 2 2 5 2" xfId="14821"/>
    <cellStyle name="Normal 10 2 4 2 2 5 3" xfId="25072"/>
    <cellStyle name="Normal 10 2 4 2 2 6" xfId="7438"/>
    <cellStyle name="Normal 10 2 4 2 2 6 2" xfId="20169"/>
    <cellStyle name="Normal 10 2 4 2 2 7" xfId="16680"/>
    <cellStyle name="Normal 10 2 4 2 3" xfId="1340"/>
    <cellStyle name="Normal 10 2 4 2 3 2" xfId="3771"/>
    <cellStyle name="Normal 10 2 4 2 3 2 2" xfId="12909"/>
    <cellStyle name="Normal 10 2 4 2 3 2 2 2" xfId="23128"/>
    <cellStyle name="Normal 10 2 4 2 3 2 3" xfId="9330"/>
    <cellStyle name="Normal 10 2 4 2 3 2 4" xfId="18121"/>
    <cellStyle name="Normal 10 2 4 2 3 3" xfId="4885"/>
    <cellStyle name="Normal 10 2 4 2 3 3 2" xfId="13724"/>
    <cellStyle name="Normal 10 2 4 2 3 3 2 2" xfId="23975"/>
    <cellStyle name="Normal 10 2 4 2 3 3 3" xfId="10145"/>
    <cellStyle name="Normal 10 2 4 2 3 3 4" xfId="18968"/>
    <cellStyle name="Normal 10 2 4 2 3 4" xfId="2165"/>
    <cellStyle name="Normal 10 2 4 2 3 4 2" xfId="11532"/>
    <cellStyle name="Normal 10 2 4 2 3 4 3" xfId="21536"/>
    <cellStyle name="Normal 10 2 4 2 3 5" xfId="6342"/>
    <cellStyle name="Normal 10 2 4 2 3 5 2" xfId="15169"/>
    <cellStyle name="Normal 10 2 4 2 3 5 3" xfId="25420"/>
    <cellStyle name="Normal 10 2 4 2 3 6" xfId="7788"/>
    <cellStyle name="Normal 10 2 4 2 3 6 2" xfId="20727"/>
    <cellStyle name="Normal 10 2 4 2 3 7" xfId="16529"/>
    <cellStyle name="Normal 10 2 4 2 4" xfId="3056"/>
    <cellStyle name="Normal 10 2 4 2 4 2" xfId="5434"/>
    <cellStyle name="Normal 10 2 4 2 4 2 2" xfId="14273"/>
    <cellStyle name="Normal 10 2 4 2 4 2 2 2" xfId="24524"/>
    <cellStyle name="Normal 10 2 4 2 4 2 3" xfId="10694"/>
    <cellStyle name="Normal 10 2 4 2 4 2 4" xfId="19517"/>
    <cellStyle name="Normal 10 2 4 2 4 3" xfId="6891"/>
    <cellStyle name="Normal 10 2 4 2 4 3 2" xfId="15718"/>
    <cellStyle name="Normal 10 2 4 2 4 3 3" xfId="25969"/>
    <cellStyle name="Normal 10 2 4 2 4 4" xfId="8337"/>
    <cellStyle name="Normal 10 2 4 2 4 4 2" xfId="22419"/>
    <cellStyle name="Normal 10 2 4 2 4 5" xfId="17412"/>
    <cellStyle name="Normal 10 2 4 2 5" xfId="4390"/>
    <cellStyle name="Normal 10 2 4 2 5 2" xfId="13230"/>
    <cellStyle name="Normal 10 2 4 2 5 2 2" xfId="23481"/>
    <cellStyle name="Normal 10 2 4 2 5 3" xfId="9651"/>
    <cellStyle name="Normal 10 2 4 2 5 4" xfId="18474"/>
    <cellStyle name="Normal 10 2 4 2 6" xfId="1662"/>
    <cellStyle name="Normal 10 2 4 2 6 2" xfId="11041"/>
    <cellStyle name="Normal 10 2 4 2 6 3" xfId="21045"/>
    <cellStyle name="Normal 10 2 4 2 7" xfId="5848"/>
    <cellStyle name="Normal 10 2 4 2 7 2" xfId="14675"/>
    <cellStyle name="Normal 10 2 4 2 7 3" xfId="24926"/>
    <cellStyle name="Normal 10 2 4 2 8" xfId="7292"/>
    <cellStyle name="Normal 10 2 4 2 8 2" xfId="20018"/>
    <cellStyle name="Normal 10 2 4 2 9" xfId="16038"/>
    <cellStyle name="Normal 10 2 4 2_Degree data" xfId="3883"/>
    <cellStyle name="Normal 10 2 4 3" xfId="363"/>
    <cellStyle name="Normal 10 2 4 3 2" xfId="2851"/>
    <cellStyle name="Normal 10 2 4 3 2 2" xfId="12141"/>
    <cellStyle name="Normal 10 2 4 3 2 2 2" xfId="22214"/>
    <cellStyle name="Normal 10 2 4 3 2 3" xfId="8434"/>
    <cellStyle name="Normal 10 2 4 3 2 4" xfId="17207"/>
    <cellStyle name="Normal 10 2 4 3 3" xfId="4535"/>
    <cellStyle name="Normal 10 2 4 3 3 2" xfId="13375"/>
    <cellStyle name="Normal 10 2 4 3 3 2 2" xfId="23626"/>
    <cellStyle name="Normal 10 2 4 3 3 3" xfId="9796"/>
    <cellStyle name="Normal 10 2 4 3 3 4" xfId="18619"/>
    <cellStyle name="Normal 10 2 4 3 4" xfId="1960"/>
    <cellStyle name="Normal 10 2 4 3 4 2" xfId="11327"/>
    <cellStyle name="Normal 10 2 4 3 4 3" xfId="21331"/>
    <cellStyle name="Normal 10 2 4 3 5" xfId="5993"/>
    <cellStyle name="Normal 10 2 4 3 5 2" xfId="14820"/>
    <cellStyle name="Normal 10 2 4 3 5 3" xfId="25071"/>
    <cellStyle name="Normal 10 2 4 3 6" xfId="7437"/>
    <cellStyle name="Normal 10 2 4 3 6 2" xfId="19813"/>
    <cellStyle name="Normal 10 2 4 3 7" xfId="16324"/>
    <cellStyle name="Normal 10 2 4 4" xfId="718"/>
    <cellStyle name="Normal 10 2 4 4 2" xfId="3206"/>
    <cellStyle name="Normal 10 2 4 4 2 2" xfId="12351"/>
    <cellStyle name="Normal 10 2 4 4 2 2 2" xfId="22569"/>
    <cellStyle name="Normal 10 2 4 4 2 3" xfId="8773"/>
    <cellStyle name="Normal 10 2 4 4 2 4" xfId="17562"/>
    <cellStyle name="Normal 10 2 4 4 3" xfId="4884"/>
    <cellStyle name="Normal 10 2 4 4 3 2" xfId="13723"/>
    <cellStyle name="Normal 10 2 4 4 3 2 2" xfId="23974"/>
    <cellStyle name="Normal 10 2 4 4 3 3" xfId="10144"/>
    <cellStyle name="Normal 10 2 4 4 3 4" xfId="18967"/>
    <cellStyle name="Normal 10 2 4 4 4" xfId="2315"/>
    <cellStyle name="Normal 10 2 4 4 4 2" xfId="11682"/>
    <cellStyle name="Normal 10 2 4 4 4 3" xfId="21686"/>
    <cellStyle name="Normal 10 2 4 4 5" xfId="6341"/>
    <cellStyle name="Normal 10 2 4 4 5 2" xfId="15168"/>
    <cellStyle name="Normal 10 2 4 4 5 3" xfId="25419"/>
    <cellStyle name="Normal 10 2 4 4 6" xfId="7787"/>
    <cellStyle name="Normal 10 2 4 4 6 2" xfId="20168"/>
    <cellStyle name="Normal 10 2 4 4 7" xfId="16679"/>
    <cellStyle name="Normal 10 2 4 5" xfId="1135"/>
    <cellStyle name="Normal 10 2 4 5 2" xfId="3566"/>
    <cellStyle name="Normal 10 2 4 5 2 2" xfId="12704"/>
    <cellStyle name="Normal 10 2 4 5 2 2 2" xfId="22923"/>
    <cellStyle name="Normal 10 2 4 5 2 3" xfId="9125"/>
    <cellStyle name="Normal 10 2 4 5 2 4" xfId="17916"/>
    <cellStyle name="Normal 10 2 4 5 3" xfId="5229"/>
    <cellStyle name="Normal 10 2 4 5 3 2" xfId="14068"/>
    <cellStyle name="Normal 10 2 4 5 3 2 2" xfId="24319"/>
    <cellStyle name="Normal 10 2 4 5 3 3" xfId="10489"/>
    <cellStyle name="Normal 10 2 4 5 3 4" xfId="19312"/>
    <cellStyle name="Normal 10 2 4 5 4" xfId="1845"/>
    <cellStyle name="Normal 10 2 4 5 4 2" xfId="11215"/>
    <cellStyle name="Normal 10 2 4 5 4 3" xfId="21219"/>
    <cellStyle name="Normal 10 2 4 5 5" xfId="6686"/>
    <cellStyle name="Normal 10 2 4 5 5 2" xfId="15513"/>
    <cellStyle name="Normal 10 2 4 5 5 3" xfId="25764"/>
    <cellStyle name="Normal 10 2 4 5 6" xfId="8132"/>
    <cellStyle name="Normal 10 2 4 5 6 2" xfId="20522"/>
    <cellStyle name="Normal 10 2 4 5 7" xfId="16212"/>
    <cellStyle name="Normal 10 2 4 6" xfId="2739"/>
    <cellStyle name="Normal 10 2 4 6 2" xfId="12058"/>
    <cellStyle name="Normal 10 2 4 6 2 2" xfId="22102"/>
    <cellStyle name="Normal 10 2 4 6 3" xfId="8620"/>
    <cellStyle name="Normal 10 2 4 6 4" xfId="17095"/>
    <cellStyle name="Normal 10 2 4 7" xfId="4185"/>
    <cellStyle name="Normal 10 2 4 7 2" xfId="13025"/>
    <cellStyle name="Normal 10 2 4 7 2 2" xfId="23276"/>
    <cellStyle name="Normal 10 2 4 7 3" xfId="9446"/>
    <cellStyle name="Normal 10 2 4 7 4" xfId="18269"/>
    <cellStyle name="Normal 10 2 4 8" xfId="1457"/>
    <cellStyle name="Normal 10 2 4 8 2" xfId="10836"/>
    <cellStyle name="Normal 10 2 4 8 3" xfId="20840"/>
    <cellStyle name="Normal 10 2 4 9" xfId="5643"/>
    <cellStyle name="Normal 10 2 4 9 2" xfId="14470"/>
    <cellStyle name="Normal 10 2 4 9 3" xfId="24721"/>
    <cellStyle name="Normal 10 2 4_Degree data" xfId="3891"/>
    <cellStyle name="Normal 10 2 5" xfId="463"/>
    <cellStyle name="Normal 10 2 5 2" xfId="720"/>
    <cellStyle name="Normal 10 2 5 2 2" xfId="3208"/>
    <cellStyle name="Normal 10 2 5 2 2 2" xfId="12353"/>
    <cellStyle name="Normal 10 2 5 2 2 2 2" xfId="22571"/>
    <cellStyle name="Normal 10 2 5 2 2 3" xfId="8775"/>
    <cellStyle name="Normal 10 2 5 2 2 4" xfId="17564"/>
    <cellStyle name="Normal 10 2 5 2 3" xfId="4537"/>
    <cellStyle name="Normal 10 2 5 2 3 2" xfId="13377"/>
    <cellStyle name="Normal 10 2 5 2 3 2 2" xfId="23628"/>
    <cellStyle name="Normal 10 2 5 2 3 3" xfId="9798"/>
    <cellStyle name="Normal 10 2 5 2 3 4" xfId="18621"/>
    <cellStyle name="Normal 10 2 5 2 4" xfId="2317"/>
    <cellStyle name="Normal 10 2 5 2 4 2" xfId="11684"/>
    <cellStyle name="Normal 10 2 5 2 4 3" xfId="21688"/>
    <cellStyle name="Normal 10 2 5 2 5" xfId="5995"/>
    <cellStyle name="Normal 10 2 5 2 5 2" xfId="14822"/>
    <cellStyle name="Normal 10 2 5 2 5 3" xfId="25073"/>
    <cellStyle name="Normal 10 2 5 2 6" xfId="7439"/>
    <cellStyle name="Normal 10 2 5 2 6 2" xfId="20170"/>
    <cellStyle name="Normal 10 2 5 2 7" xfId="16681"/>
    <cellStyle name="Normal 10 2 5 3" xfId="1235"/>
    <cellStyle name="Normal 10 2 5 3 2" xfId="3666"/>
    <cellStyle name="Normal 10 2 5 3 2 2" xfId="12804"/>
    <cellStyle name="Normal 10 2 5 3 2 2 2" xfId="23023"/>
    <cellStyle name="Normal 10 2 5 3 2 3" xfId="9225"/>
    <cellStyle name="Normal 10 2 5 3 2 4" xfId="18016"/>
    <cellStyle name="Normal 10 2 5 3 3" xfId="4886"/>
    <cellStyle name="Normal 10 2 5 3 3 2" xfId="13725"/>
    <cellStyle name="Normal 10 2 5 3 3 2 2" xfId="23976"/>
    <cellStyle name="Normal 10 2 5 3 3 3" xfId="10146"/>
    <cellStyle name="Normal 10 2 5 3 3 4" xfId="18969"/>
    <cellStyle name="Normal 10 2 5 3 4" xfId="2060"/>
    <cellStyle name="Normal 10 2 5 3 4 2" xfId="11427"/>
    <cellStyle name="Normal 10 2 5 3 4 3" xfId="21431"/>
    <cellStyle name="Normal 10 2 5 3 5" xfId="6343"/>
    <cellStyle name="Normal 10 2 5 3 5 2" xfId="15170"/>
    <cellStyle name="Normal 10 2 5 3 5 3" xfId="25421"/>
    <cellStyle name="Normal 10 2 5 3 6" xfId="7789"/>
    <cellStyle name="Normal 10 2 5 3 6 2" xfId="20622"/>
    <cellStyle name="Normal 10 2 5 3 7" xfId="16424"/>
    <cellStyle name="Normal 10 2 5 4" xfId="2951"/>
    <cellStyle name="Normal 10 2 5 4 2" xfId="5329"/>
    <cellStyle name="Normal 10 2 5 4 2 2" xfId="14168"/>
    <cellStyle name="Normal 10 2 5 4 2 2 2" xfId="24419"/>
    <cellStyle name="Normal 10 2 5 4 2 3" xfId="10589"/>
    <cellStyle name="Normal 10 2 5 4 2 4" xfId="19412"/>
    <cellStyle name="Normal 10 2 5 4 3" xfId="6786"/>
    <cellStyle name="Normal 10 2 5 4 3 2" xfId="15613"/>
    <cellStyle name="Normal 10 2 5 4 3 3" xfId="25864"/>
    <cellStyle name="Normal 10 2 5 4 4" xfId="8232"/>
    <cellStyle name="Normal 10 2 5 4 4 2" xfId="22314"/>
    <cellStyle name="Normal 10 2 5 4 5" xfId="17307"/>
    <cellStyle name="Normal 10 2 5 5" xfId="4285"/>
    <cellStyle name="Normal 10 2 5 5 2" xfId="13125"/>
    <cellStyle name="Normal 10 2 5 5 2 2" xfId="23376"/>
    <cellStyle name="Normal 10 2 5 5 3" xfId="9546"/>
    <cellStyle name="Normal 10 2 5 5 4" xfId="18369"/>
    <cellStyle name="Normal 10 2 5 6" xfId="1557"/>
    <cellStyle name="Normal 10 2 5 6 2" xfId="10936"/>
    <cellStyle name="Normal 10 2 5 6 3" xfId="20940"/>
    <cellStyle name="Normal 10 2 5 7" xfId="5743"/>
    <cellStyle name="Normal 10 2 5 7 2" xfId="14570"/>
    <cellStyle name="Normal 10 2 5 7 3" xfId="24821"/>
    <cellStyle name="Normal 10 2 5 8" xfId="7187"/>
    <cellStyle name="Normal 10 2 5 8 2" xfId="19913"/>
    <cellStyle name="Normal 10 2 5 9" xfId="15933"/>
    <cellStyle name="Normal 10 2 5_Degree data" xfId="3834"/>
    <cellStyle name="Normal 10 2 6" xfId="318"/>
    <cellStyle name="Normal 10 2 6 2" xfId="721"/>
    <cellStyle name="Normal 10 2 6 2 2" xfId="3209"/>
    <cellStyle name="Normal 10 2 6 2 2 2" xfId="12354"/>
    <cellStyle name="Normal 10 2 6 2 2 2 2" xfId="22572"/>
    <cellStyle name="Normal 10 2 6 2 2 3" xfId="8776"/>
    <cellStyle name="Normal 10 2 6 2 2 4" xfId="17565"/>
    <cellStyle name="Normal 10 2 6 2 3" xfId="4538"/>
    <cellStyle name="Normal 10 2 6 2 3 2" xfId="13378"/>
    <cellStyle name="Normal 10 2 6 2 3 2 2" xfId="23629"/>
    <cellStyle name="Normal 10 2 6 2 3 3" xfId="9799"/>
    <cellStyle name="Normal 10 2 6 2 3 4" xfId="18622"/>
    <cellStyle name="Normal 10 2 6 2 4" xfId="2318"/>
    <cellStyle name="Normal 10 2 6 2 4 2" xfId="11685"/>
    <cellStyle name="Normal 10 2 6 2 4 3" xfId="21689"/>
    <cellStyle name="Normal 10 2 6 2 5" xfId="5996"/>
    <cellStyle name="Normal 10 2 6 2 5 2" xfId="14823"/>
    <cellStyle name="Normal 10 2 6 2 5 3" xfId="25074"/>
    <cellStyle name="Normal 10 2 6 2 6" xfId="7440"/>
    <cellStyle name="Normal 10 2 6 2 6 2" xfId="20171"/>
    <cellStyle name="Normal 10 2 6 2 7" xfId="16682"/>
    <cellStyle name="Normal 10 2 6 3" xfId="1090"/>
    <cellStyle name="Normal 10 2 6 3 2" xfId="3521"/>
    <cellStyle name="Normal 10 2 6 3 2 2" xfId="12659"/>
    <cellStyle name="Normal 10 2 6 3 2 2 2" xfId="22878"/>
    <cellStyle name="Normal 10 2 6 3 2 3" xfId="9081"/>
    <cellStyle name="Normal 10 2 6 3 2 4" xfId="17871"/>
    <cellStyle name="Normal 10 2 6 3 3" xfId="4887"/>
    <cellStyle name="Normal 10 2 6 3 3 2" xfId="13726"/>
    <cellStyle name="Normal 10 2 6 3 3 2 2" xfId="23977"/>
    <cellStyle name="Normal 10 2 6 3 3 3" xfId="10147"/>
    <cellStyle name="Normal 10 2 6 3 3 4" xfId="18970"/>
    <cellStyle name="Normal 10 2 6 3 4" xfId="2596"/>
    <cellStyle name="Normal 10 2 6 3 4 2" xfId="11962"/>
    <cellStyle name="Normal 10 2 6 3 4 3" xfId="21966"/>
    <cellStyle name="Normal 10 2 6 3 5" xfId="6344"/>
    <cellStyle name="Normal 10 2 6 3 5 2" xfId="15171"/>
    <cellStyle name="Normal 10 2 6 3 5 3" xfId="25422"/>
    <cellStyle name="Normal 10 2 6 3 6" xfId="7790"/>
    <cellStyle name="Normal 10 2 6 3 6 2" xfId="20477"/>
    <cellStyle name="Normal 10 2 6 3 7" xfId="16959"/>
    <cellStyle name="Normal 10 2 6 4" xfId="2806"/>
    <cellStyle name="Normal 10 2 6 4 2" xfId="5184"/>
    <cellStyle name="Normal 10 2 6 4 2 2" xfId="14023"/>
    <cellStyle name="Normal 10 2 6 4 2 2 2" xfId="24274"/>
    <cellStyle name="Normal 10 2 6 4 2 3" xfId="10444"/>
    <cellStyle name="Normal 10 2 6 4 2 4" xfId="19267"/>
    <cellStyle name="Normal 10 2 6 4 3" xfId="6641"/>
    <cellStyle name="Normal 10 2 6 4 3 2" xfId="15468"/>
    <cellStyle name="Normal 10 2 6 4 3 3" xfId="25719"/>
    <cellStyle name="Normal 10 2 6 4 4" xfId="8087"/>
    <cellStyle name="Normal 10 2 6 4 4 2" xfId="22169"/>
    <cellStyle name="Normal 10 2 6 4 5" xfId="17162"/>
    <cellStyle name="Normal 10 2 6 5" xfId="4138"/>
    <cellStyle name="Normal 10 2 6 5 2" xfId="12978"/>
    <cellStyle name="Normal 10 2 6 5 2 2" xfId="23229"/>
    <cellStyle name="Normal 10 2 6 5 3" xfId="9399"/>
    <cellStyle name="Normal 10 2 6 5 4" xfId="18222"/>
    <cellStyle name="Normal 10 2 6 6" xfId="1915"/>
    <cellStyle name="Normal 10 2 6 6 2" xfId="11282"/>
    <cellStyle name="Normal 10 2 6 6 3" xfId="21286"/>
    <cellStyle name="Normal 10 2 6 7" xfId="5598"/>
    <cellStyle name="Normal 10 2 6 7 2" xfId="14425"/>
    <cellStyle name="Normal 10 2 6 7 3" xfId="24676"/>
    <cellStyle name="Normal 10 2 6 8" xfId="7042"/>
    <cellStyle name="Normal 10 2 6 8 2" xfId="19768"/>
    <cellStyle name="Normal 10 2 6 9" xfId="16279"/>
    <cellStyle name="Normal 10 2 6_Degree data" xfId="3899"/>
    <cellStyle name="Normal 10 2 7" xfId="709"/>
    <cellStyle name="Normal 10 2 7 2" xfId="3197"/>
    <cellStyle name="Normal 10 2 7 2 2" xfId="12342"/>
    <cellStyle name="Normal 10 2 7 2 2 2" xfId="22560"/>
    <cellStyle name="Normal 10 2 7 2 3" xfId="8764"/>
    <cellStyle name="Normal 10 2 7 2 4" xfId="17553"/>
    <cellStyle name="Normal 10 2 7 3" xfId="4526"/>
    <cellStyle name="Normal 10 2 7 3 2" xfId="13366"/>
    <cellStyle name="Normal 10 2 7 3 2 2" xfId="23617"/>
    <cellStyle name="Normal 10 2 7 3 3" xfId="9787"/>
    <cellStyle name="Normal 10 2 7 3 4" xfId="18610"/>
    <cellStyle name="Normal 10 2 7 4" xfId="2306"/>
    <cellStyle name="Normal 10 2 7 4 2" xfId="11673"/>
    <cellStyle name="Normal 10 2 7 4 3" xfId="21677"/>
    <cellStyle name="Normal 10 2 7 5" xfId="5984"/>
    <cellStyle name="Normal 10 2 7 5 2" xfId="14811"/>
    <cellStyle name="Normal 10 2 7 5 3" xfId="25062"/>
    <cellStyle name="Normal 10 2 7 6" xfId="7428"/>
    <cellStyle name="Normal 10 2 7 6 2" xfId="20159"/>
    <cellStyle name="Normal 10 2 7 7" xfId="16670"/>
    <cellStyle name="Normal 10 2 8" xfId="1070"/>
    <cellStyle name="Normal 10 2 8 2" xfId="3501"/>
    <cellStyle name="Normal 10 2 8 2 2" xfId="12639"/>
    <cellStyle name="Normal 10 2 8 2 2 2" xfId="22858"/>
    <cellStyle name="Normal 10 2 8 2 3" xfId="9061"/>
    <cellStyle name="Normal 10 2 8 2 4" xfId="17851"/>
    <cellStyle name="Normal 10 2 8 3" xfId="4875"/>
    <cellStyle name="Normal 10 2 8 3 2" xfId="13714"/>
    <cellStyle name="Normal 10 2 8 3 2 2" xfId="23965"/>
    <cellStyle name="Normal 10 2 8 3 3" xfId="10135"/>
    <cellStyle name="Normal 10 2 8 3 4" xfId="18958"/>
    <cellStyle name="Normal 10 2 8 4" xfId="1733"/>
    <cellStyle name="Normal 10 2 8 4 2" xfId="11109"/>
    <cellStyle name="Normal 10 2 8 4 3" xfId="21113"/>
    <cellStyle name="Normal 10 2 8 5" xfId="6332"/>
    <cellStyle name="Normal 10 2 8 5 2" xfId="15159"/>
    <cellStyle name="Normal 10 2 8 5 3" xfId="25410"/>
    <cellStyle name="Normal 10 2 8 6" xfId="7778"/>
    <cellStyle name="Normal 10 2 8 6 2" xfId="20457"/>
    <cellStyle name="Normal 10 2 8 7" xfId="16106"/>
    <cellStyle name="Normal 10 2 9" xfId="2631"/>
    <cellStyle name="Normal 10 2 9 2" xfId="5164"/>
    <cellStyle name="Normal 10 2 9 2 2" xfId="14003"/>
    <cellStyle name="Normal 10 2 9 2 2 2" xfId="24254"/>
    <cellStyle name="Normal 10 2 9 2 3" xfId="10424"/>
    <cellStyle name="Normal 10 2 9 2 4" xfId="19247"/>
    <cellStyle name="Normal 10 2 9 3" xfId="6621"/>
    <cellStyle name="Normal 10 2 9 3 2" xfId="15448"/>
    <cellStyle name="Normal 10 2 9 3 3" xfId="25699"/>
    <cellStyle name="Normal 10 2 9 4" xfId="8067"/>
    <cellStyle name="Normal 10 2 9 4 2" xfId="21996"/>
    <cellStyle name="Normal 10 2 9 5" xfId="16989"/>
    <cellStyle name="Normal 10 2_Degree data" xfId="3875"/>
    <cellStyle name="Normal 10 3" xfId="106"/>
    <cellStyle name="Normal 10 3 2" xfId="162"/>
    <cellStyle name="Normal 10 3 2 10" xfId="7058"/>
    <cellStyle name="Normal 10 3 2 11" xfId="15804"/>
    <cellStyle name="Normal 10 3 2 2" xfId="274"/>
    <cellStyle name="Normal 10 3 2 3" xfId="227"/>
    <cellStyle name="Normal 10 3 2 3 10" xfId="16022"/>
    <cellStyle name="Normal 10 3 2 3 2" xfId="552"/>
    <cellStyle name="Normal 10 3 2 3 2 2" xfId="3040"/>
    <cellStyle name="Normal 10 3 2 3 2 2 2" xfId="12230"/>
    <cellStyle name="Normal 10 3 2 3 2 2 2 2" xfId="22403"/>
    <cellStyle name="Normal 10 3 2 3 2 2 3" xfId="8393"/>
    <cellStyle name="Normal 10 3 2 3 2 2 4" xfId="17396"/>
    <cellStyle name="Normal 10 3 2 3 2 3" xfId="4540"/>
    <cellStyle name="Normal 10 3 2 3 2 3 2" xfId="13380"/>
    <cellStyle name="Normal 10 3 2 3 2 3 2 2" xfId="23631"/>
    <cellStyle name="Normal 10 3 2 3 2 3 3" xfId="9801"/>
    <cellStyle name="Normal 10 3 2 3 2 3 4" xfId="18624"/>
    <cellStyle name="Normal 10 3 2 3 2 4" xfId="2149"/>
    <cellStyle name="Normal 10 3 2 3 2 4 2" xfId="11516"/>
    <cellStyle name="Normal 10 3 2 3 2 4 3" xfId="21520"/>
    <cellStyle name="Normal 10 3 2 3 2 5" xfId="5998"/>
    <cellStyle name="Normal 10 3 2 3 2 5 2" xfId="14825"/>
    <cellStyle name="Normal 10 3 2 3 2 5 3" xfId="25076"/>
    <cellStyle name="Normal 10 3 2 3 2 6" xfId="7442"/>
    <cellStyle name="Normal 10 3 2 3 2 6 2" xfId="20002"/>
    <cellStyle name="Normal 10 3 2 3 2 7" xfId="16513"/>
    <cellStyle name="Normal 10 3 2 3 3" xfId="723"/>
    <cellStyle name="Normal 10 3 2 3 3 2" xfId="3211"/>
    <cellStyle name="Normal 10 3 2 3 3 2 2" xfId="12356"/>
    <cellStyle name="Normal 10 3 2 3 3 2 2 2" xfId="22574"/>
    <cellStyle name="Normal 10 3 2 3 3 2 3" xfId="8778"/>
    <cellStyle name="Normal 10 3 2 3 3 2 4" xfId="17567"/>
    <cellStyle name="Normal 10 3 2 3 3 3" xfId="4889"/>
    <cellStyle name="Normal 10 3 2 3 3 3 2" xfId="13728"/>
    <cellStyle name="Normal 10 3 2 3 3 3 2 2" xfId="23979"/>
    <cellStyle name="Normal 10 3 2 3 3 3 3" xfId="10149"/>
    <cellStyle name="Normal 10 3 2 3 3 3 4" xfId="18972"/>
    <cellStyle name="Normal 10 3 2 3 3 4" xfId="2320"/>
    <cellStyle name="Normal 10 3 2 3 3 4 2" xfId="11687"/>
    <cellStyle name="Normal 10 3 2 3 3 4 3" xfId="21691"/>
    <cellStyle name="Normal 10 3 2 3 3 5" xfId="6346"/>
    <cellStyle name="Normal 10 3 2 3 3 5 2" xfId="15173"/>
    <cellStyle name="Normal 10 3 2 3 3 5 3" xfId="25424"/>
    <cellStyle name="Normal 10 3 2 3 3 6" xfId="7792"/>
    <cellStyle name="Normal 10 3 2 3 3 6 2" xfId="20173"/>
    <cellStyle name="Normal 10 3 2 3 3 7" xfId="16684"/>
    <cellStyle name="Normal 10 3 2 3 4" xfId="1324"/>
    <cellStyle name="Normal 10 3 2 3 4 2" xfId="3755"/>
    <cellStyle name="Normal 10 3 2 3 4 2 2" xfId="12893"/>
    <cellStyle name="Normal 10 3 2 3 4 2 2 2" xfId="23112"/>
    <cellStyle name="Normal 10 3 2 3 4 2 3" xfId="9314"/>
    <cellStyle name="Normal 10 3 2 3 4 2 4" xfId="18105"/>
    <cellStyle name="Normal 10 3 2 3 4 3" xfId="5418"/>
    <cellStyle name="Normal 10 3 2 3 4 3 2" xfId="14257"/>
    <cellStyle name="Normal 10 3 2 3 4 3 2 2" xfId="24508"/>
    <cellStyle name="Normal 10 3 2 3 4 3 3" xfId="10678"/>
    <cellStyle name="Normal 10 3 2 3 4 3 4" xfId="19501"/>
    <cellStyle name="Normal 10 3 2 3 4 4" xfId="1829"/>
    <cellStyle name="Normal 10 3 2 3 4 4 2" xfId="11199"/>
    <cellStyle name="Normal 10 3 2 3 4 4 3" xfId="21203"/>
    <cellStyle name="Normal 10 3 2 3 4 5" xfId="6875"/>
    <cellStyle name="Normal 10 3 2 3 4 5 2" xfId="15702"/>
    <cellStyle name="Normal 10 3 2 3 4 5 3" xfId="25953"/>
    <cellStyle name="Normal 10 3 2 3 4 6" xfId="8321"/>
    <cellStyle name="Normal 10 3 2 3 4 6 2" xfId="20711"/>
    <cellStyle name="Normal 10 3 2 3 4 7" xfId="16196"/>
    <cellStyle name="Normal 10 3 2 3 5" xfId="2723"/>
    <cellStyle name="Normal 10 3 2 3 5 2" xfId="12042"/>
    <cellStyle name="Normal 10 3 2 3 5 2 2" xfId="22086"/>
    <cellStyle name="Normal 10 3 2 3 5 3" xfId="8594"/>
    <cellStyle name="Normal 10 3 2 3 5 4" xfId="17079"/>
    <cellStyle name="Normal 10 3 2 3 6" xfId="4374"/>
    <cellStyle name="Normal 10 3 2 3 6 2" xfId="13214"/>
    <cellStyle name="Normal 10 3 2 3 6 2 2" xfId="23465"/>
    <cellStyle name="Normal 10 3 2 3 6 3" xfId="9635"/>
    <cellStyle name="Normal 10 3 2 3 6 4" xfId="18458"/>
    <cellStyle name="Normal 10 3 2 3 7" xfId="1646"/>
    <cellStyle name="Normal 10 3 2 3 7 2" xfId="11025"/>
    <cellStyle name="Normal 10 3 2 3 7 3" xfId="21029"/>
    <cellStyle name="Normal 10 3 2 3 8" xfId="5832"/>
    <cellStyle name="Normal 10 3 2 3 8 2" xfId="14659"/>
    <cellStyle name="Normal 10 3 2 3 8 3" xfId="24910"/>
    <cellStyle name="Normal 10 3 2 3 9" xfId="7276"/>
    <cellStyle name="Normal 10 3 2 3 9 2" xfId="19685"/>
    <cellStyle name="Normal 10 3 2 3_Degree data" xfId="3844"/>
    <cellStyle name="Normal 10 3 2 4" xfId="334"/>
    <cellStyle name="Normal 10 3 2 4 2" xfId="2822"/>
    <cellStyle name="Normal 10 3 2 4 2 2" xfId="12124"/>
    <cellStyle name="Normal 10 3 2 4 2 2 2" xfId="22185"/>
    <cellStyle name="Normal 10 3 2 4 2 3" xfId="8546"/>
    <cellStyle name="Normal 10 3 2 4 2 4" xfId="17178"/>
    <cellStyle name="Normal 10 3 2 4 3" xfId="4539"/>
    <cellStyle name="Normal 10 3 2 4 3 2" xfId="13379"/>
    <cellStyle name="Normal 10 3 2 4 3 2 2" xfId="23630"/>
    <cellStyle name="Normal 10 3 2 4 3 3" xfId="9800"/>
    <cellStyle name="Normal 10 3 2 4 3 4" xfId="18623"/>
    <cellStyle name="Normal 10 3 2 4 4" xfId="1931"/>
    <cellStyle name="Normal 10 3 2 4 4 2" xfId="11298"/>
    <cellStyle name="Normal 10 3 2 4 4 3" xfId="21302"/>
    <cellStyle name="Normal 10 3 2 4 5" xfId="5997"/>
    <cellStyle name="Normal 10 3 2 4 5 2" xfId="14824"/>
    <cellStyle name="Normal 10 3 2 4 5 3" xfId="25075"/>
    <cellStyle name="Normal 10 3 2 4 6" xfId="7441"/>
    <cellStyle name="Normal 10 3 2 4 6 2" xfId="19784"/>
    <cellStyle name="Normal 10 3 2 4 7" xfId="16295"/>
    <cellStyle name="Normal 10 3 2 5" xfId="722"/>
    <cellStyle name="Normal 10 3 2 5 2" xfId="3210"/>
    <cellStyle name="Normal 10 3 2 5 2 2" xfId="12355"/>
    <cellStyle name="Normal 10 3 2 5 2 2 2" xfId="22573"/>
    <cellStyle name="Normal 10 3 2 5 2 3" xfId="8777"/>
    <cellStyle name="Normal 10 3 2 5 2 4" xfId="17566"/>
    <cellStyle name="Normal 10 3 2 5 3" xfId="4888"/>
    <cellStyle name="Normal 10 3 2 5 3 2" xfId="13727"/>
    <cellStyle name="Normal 10 3 2 5 3 2 2" xfId="23978"/>
    <cellStyle name="Normal 10 3 2 5 3 3" xfId="10148"/>
    <cellStyle name="Normal 10 3 2 5 3 4" xfId="18971"/>
    <cellStyle name="Normal 10 3 2 5 4" xfId="2319"/>
    <cellStyle name="Normal 10 3 2 5 4 2" xfId="11686"/>
    <cellStyle name="Normal 10 3 2 5 4 3" xfId="21690"/>
    <cellStyle name="Normal 10 3 2 5 5" xfId="6345"/>
    <cellStyle name="Normal 10 3 2 5 5 2" xfId="15172"/>
    <cellStyle name="Normal 10 3 2 5 5 3" xfId="25423"/>
    <cellStyle name="Normal 10 3 2 5 6" xfId="7791"/>
    <cellStyle name="Normal 10 3 2 5 6 2" xfId="20172"/>
    <cellStyle name="Normal 10 3 2 5 7" xfId="16683"/>
    <cellStyle name="Normal 10 3 2 6" xfId="1106"/>
    <cellStyle name="Normal 10 3 2 6 2" xfId="5200"/>
    <cellStyle name="Normal 10 3 2 6 2 2" xfId="14039"/>
    <cellStyle name="Normal 10 3 2 6 2 2 2" xfId="24290"/>
    <cellStyle name="Normal 10 3 2 6 2 3" xfId="10460"/>
    <cellStyle name="Normal 10 3 2 6 2 4" xfId="19283"/>
    <cellStyle name="Normal 10 3 2 6 3" xfId="3537"/>
    <cellStyle name="Normal 10 3 2 6 3 2" xfId="12675"/>
    <cellStyle name="Normal 10 3 2 6 3 3" xfId="22894"/>
    <cellStyle name="Normal 10 3 2 6 4" xfId="6657"/>
    <cellStyle name="Normal 10 3 2 6 4 2" xfId="15484"/>
    <cellStyle name="Normal 10 3 2 6 4 3" xfId="25735"/>
    <cellStyle name="Normal 10 3 2 6 5" xfId="8103"/>
    <cellStyle name="Normal 10 3 2 6 5 2" xfId="20493"/>
    <cellStyle name="Normal 10 3 2 6 6" xfId="17887"/>
    <cellStyle name="Normal 10 3 2 7" xfId="4154"/>
    <cellStyle name="Normal 10 3 2 7 2" xfId="12994"/>
    <cellStyle name="Normal 10 3 2 7 2 2" xfId="23245"/>
    <cellStyle name="Normal 10 3 2 7 3" xfId="9415"/>
    <cellStyle name="Normal 10 3 2 7 4" xfId="18238"/>
    <cellStyle name="Normal 10 3 2 8" xfId="1428"/>
    <cellStyle name="Normal 10 3 2 8 2" xfId="10807"/>
    <cellStyle name="Normal 10 3 2 8 3" xfId="20811"/>
    <cellStyle name="Normal 10 3 2 9" xfId="5614"/>
    <cellStyle name="Normal 10 3 2 9 2" xfId="14441"/>
    <cellStyle name="Normal 10 3 2 9 3" xfId="24692"/>
    <cellStyle name="Normal 10 3 2_Degree data" xfId="3908"/>
    <cellStyle name="Normal 10 3 3" xfId="241"/>
    <cellStyle name="Normal 10 3 3 10" xfId="7083"/>
    <cellStyle name="Normal 10 3 3 10 2" xfId="19697"/>
    <cellStyle name="Normal 10 3 3 11" xfId="15829"/>
    <cellStyle name="Normal 10 3 3 2" xfId="564"/>
    <cellStyle name="Normal 10 3 3 2 2" xfId="725"/>
    <cellStyle name="Normal 10 3 3 2 2 2" xfId="3213"/>
    <cellStyle name="Normal 10 3 3 2 2 2 2" xfId="12358"/>
    <cellStyle name="Normal 10 3 3 2 2 2 2 2" xfId="22576"/>
    <cellStyle name="Normal 10 3 3 2 2 2 3" xfId="8780"/>
    <cellStyle name="Normal 10 3 3 2 2 2 4" xfId="17569"/>
    <cellStyle name="Normal 10 3 3 2 2 3" xfId="4542"/>
    <cellStyle name="Normal 10 3 3 2 2 3 2" xfId="13382"/>
    <cellStyle name="Normal 10 3 3 2 2 3 2 2" xfId="23633"/>
    <cellStyle name="Normal 10 3 3 2 2 3 3" xfId="9803"/>
    <cellStyle name="Normal 10 3 3 2 2 3 4" xfId="18626"/>
    <cellStyle name="Normal 10 3 3 2 2 4" xfId="2322"/>
    <cellStyle name="Normal 10 3 3 2 2 4 2" xfId="11689"/>
    <cellStyle name="Normal 10 3 3 2 2 4 3" xfId="21693"/>
    <cellStyle name="Normal 10 3 3 2 2 5" xfId="6000"/>
    <cellStyle name="Normal 10 3 3 2 2 5 2" xfId="14827"/>
    <cellStyle name="Normal 10 3 3 2 2 5 3" xfId="25078"/>
    <cellStyle name="Normal 10 3 3 2 2 6" xfId="7444"/>
    <cellStyle name="Normal 10 3 3 2 2 6 2" xfId="20175"/>
    <cellStyle name="Normal 10 3 3 2 2 7" xfId="16686"/>
    <cellStyle name="Normal 10 3 3 2 3" xfId="1336"/>
    <cellStyle name="Normal 10 3 3 2 3 2" xfId="3767"/>
    <cellStyle name="Normal 10 3 3 2 3 2 2" xfId="12905"/>
    <cellStyle name="Normal 10 3 3 2 3 2 2 2" xfId="23124"/>
    <cellStyle name="Normal 10 3 3 2 3 2 3" xfId="9326"/>
    <cellStyle name="Normal 10 3 3 2 3 2 4" xfId="18117"/>
    <cellStyle name="Normal 10 3 3 2 3 3" xfId="4891"/>
    <cellStyle name="Normal 10 3 3 2 3 3 2" xfId="13730"/>
    <cellStyle name="Normal 10 3 3 2 3 3 2 2" xfId="23981"/>
    <cellStyle name="Normal 10 3 3 2 3 3 3" xfId="10151"/>
    <cellStyle name="Normal 10 3 3 2 3 3 4" xfId="18974"/>
    <cellStyle name="Normal 10 3 3 2 3 4" xfId="2161"/>
    <cellStyle name="Normal 10 3 3 2 3 4 2" xfId="11528"/>
    <cellStyle name="Normal 10 3 3 2 3 4 3" xfId="21532"/>
    <cellStyle name="Normal 10 3 3 2 3 5" xfId="6348"/>
    <cellStyle name="Normal 10 3 3 2 3 5 2" xfId="15175"/>
    <cellStyle name="Normal 10 3 3 2 3 5 3" xfId="25426"/>
    <cellStyle name="Normal 10 3 3 2 3 6" xfId="7794"/>
    <cellStyle name="Normal 10 3 3 2 3 6 2" xfId="20723"/>
    <cellStyle name="Normal 10 3 3 2 3 7" xfId="16525"/>
    <cellStyle name="Normal 10 3 3 2 4" xfId="3052"/>
    <cellStyle name="Normal 10 3 3 2 4 2" xfId="5430"/>
    <cellStyle name="Normal 10 3 3 2 4 2 2" xfId="14269"/>
    <cellStyle name="Normal 10 3 3 2 4 2 2 2" xfId="24520"/>
    <cellStyle name="Normal 10 3 3 2 4 2 3" xfId="10690"/>
    <cellStyle name="Normal 10 3 3 2 4 2 4" xfId="19513"/>
    <cellStyle name="Normal 10 3 3 2 4 3" xfId="6887"/>
    <cellStyle name="Normal 10 3 3 2 4 3 2" xfId="15714"/>
    <cellStyle name="Normal 10 3 3 2 4 3 3" xfId="25965"/>
    <cellStyle name="Normal 10 3 3 2 4 4" xfId="8333"/>
    <cellStyle name="Normal 10 3 3 2 4 4 2" xfId="22415"/>
    <cellStyle name="Normal 10 3 3 2 4 5" xfId="17408"/>
    <cellStyle name="Normal 10 3 3 2 5" xfId="4386"/>
    <cellStyle name="Normal 10 3 3 2 5 2" xfId="13226"/>
    <cellStyle name="Normal 10 3 3 2 5 2 2" xfId="23477"/>
    <cellStyle name="Normal 10 3 3 2 5 3" xfId="9647"/>
    <cellStyle name="Normal 10 3 3 2 5 4" xfId="18470"/>
    <cellStyle name="Normal 10 3 3 2 6" xfId="1658"/>
    <cellStyle name="Normal 10 3 3 2 6 2" xfId="11037"/>
    <cellStyle name="Normal 10 3 3 2 6 3" xfId="21041"/>
    <cellStyle name="Normal 10 3 3 2 7" xfId="5844"/>
    <cellStyle name="Normal 10 3 3 2 7 2" xfId="14671"/>
    <cellStyle name="Normal 10 3 3 2 7 3" xfId="24922"/>
    <cellStyle name="Normal 10 3 3 2 8" xfId="7288"/>
    <cellStyle name="Normal 10 3 3 2 8 2" xfId="20014"/>
    <cellStyle name="Normal 10 3 3 2 9" xfId="16034"/>
    <cellStyle name="Normal 10 3 3 2_Degree data" xfId="3890"/>
    <cellStyle name="Normal 10 3 3 3" xfId="359"/>
    <cellStyle name="Normal 10 3 3 3 2" xfId="2847"/>
    <cellStyle name="Normal 10 3 3 3 2 2" xfId="12137"/>
    <cellStyle name="Normal 10 3 3 3 2 2 2" xfId="22210"/>
    <cellStyle name="Normal 10 3 3 3 2 3" xfId="8479"/>
    <cellStyle name="Normal 10 3 3 3 2 4" xfId="17203"/>
    <cellStyle name="Normal 10 3 3 3 3" xfId="4541"/>
    <cellStyle name="Normal 10 3 3 3 3 2" xfId="13381"/>
    <cellStyle name="Normal 10 3 3 3 3 2 2" xfId="23632"/>
    <cellStyle name="Normal 10 3 3 3 3 3" xfId="9802"/>
    <cellStyle name="Normal 10 3 3 3 3 4" xfId="18625"/>
    <cellStyle name="Normal 10 3 3 3 4" xfId="1956"/>
    <cellStyle name="Normal 10 3 3 3 4 2" xfId="11323"/>
    <cellStyle name="Normal 10 3 3 3 4 3" xfId="21327"/>
    <cellStyle name="Normal 10 3 3 3 5" xfId="5999"/>
    <cellStyle name="Normal 10 3 3 3 5 2" xfId="14826"/>
    <cellStyle name="Normal 10 3 3 3 5 3" xfId="25077"/>
    <cellStyle name="Normal 10 3 3 3 6" xfId="7443"/>
    <cellStyle name="Normal 10 3 3 3 6 2" xfId="19809"/>
    <cellStyle name="Normal 10 3 3 3 7" xfId="16320"/>
    <cellStyle name="Normal 10 3 3 4" xfId="724"/>
    <cellStyle name="Normal 10 3 3 4 2" xfId="3212"/>
    <cellStyle name="Normal 10 3 3 4 2 2" xfId="12357"/>
    <cellStyle name="Normal 10 3 3 4 2 2 2" xfId="22575"/>
    <cellStyle name="Normal 10 3 3 4 2 3" xfId="8779"/>
    <cellStyle name="Normal 10 3 3 4 2 4" xfId="17568"/>
    <cellStyle name="Normal 10 3 3 4 3" xfId="4890"/>
    <cellStyle name="Normal 10 3 3 4 3 2" xfId="13729"/>
    <cellStyle name="Normal 10 3 3 4 3 2 2" xfId="23980"/>
    <cellStyle name="Normal 10 3 3 4 3 3" xfId="10150"/>
    <cellStyle name="Normal 10 3 3 4 3 4" xfId="18973"/>
    <cellStyle name="Normal 10 3 3 4 4" xfId="2321"/>
    <cellStyle name="Normal 10 3 3 4 4 2" xfId="11688"/>
    <cellStyle name="Normal 10 3 3 4 4 3" xfId="21692"/>
    <cellStyle name="Normal 10 3 3 4 5" xfId="6347"/>
    <cellStyle name="Normal 10 3 3 4 5 2" xfId="15174"/>
    <cellStyle name="Normal 10 3 3 4 5 3" xfId="25425"/>
    <cellStyle name="Normal 10 3 3 4 6" xfId="7793"/>
    <cellStyle name="Normal 10 3 3 4 6 2" xfId="20174"/>
    <cellStyle name="Normal 10 3 3 4 7" xfId="16685"/>
    <cellStyle name="Normal 10 3 3 5" xfId="1131"/>
    <cellStyle name="Normal 10 3 3 5 2" xfId="3562"/>
    <cellStyle name="Normal 10 3 3 5 2 2" xfId="12700"/>
    <cellStyle name="Normal 10 3 3 5 2 2 2" xfId="22919"/>
    <cellStyle name="Normal 10 3 3 5 2 3" xfId="9121"/>
    <cellStyle name="Normal 10 3 3 5 2 4" xfId="17912"/>
    <cellStyle name="Normal 10 3 3 5 3" xfId="5225"/>
    <cellStyle name="Normal 10 3 3 5 3 2" xfId="14064"/>
    <cellStyle name="Normal 10 3 3 5 3 2 2" xfId="24315"/>
    <cellStyle name="Normal 10 3 3 5 3 3" xfId="10485"/>
    <cellStyle name="Normal 10 3 3 5 3 4" xfId="19308"/>
    <cellStyle name="Normal 10 3 3 5 4" xfId="1841"/>
    <cellStyle name="Normal 10 3 3 5 4 2" xfId="11211"/>
    <cellStyle name="Normal 10 3 3 5 4 3" xfId="21215"/>
    <cellStyle name="Normal 10 3 3 5 5" xfId="6682"/>
    <cellStyle name="Normal 10 3 3 5 5 2" xfId="15509"/>
    <cellStyle name="Normal 10 3 3 5 5 3" xfId="25760"/>
    <cellStyle name="Normal 10 3 3 5 6" xfId="8128"/>
    <cellStyle name="Normal 10 3 3 5 6 2" xfId="20518"/>
    <cellStyle name="Normal 10 3 3 5 7" xfId="16208"/>
    <cellStyle name="Normal 10 3 3 6" xfId="2735"/>
    <cellStyle name="Normal 10 3 3 6 2" xfId="12054"/>
    <cellStyle name="Normal 10 3 3 6 2 2" xfId="22098"/>
    <cellStyle name="Normal 10 3 3 6 3" xfId="8564"/>
    <cellStyle name="Normal 10 3 3 6 4" xfId="17091"/>
    <cellStyle name="Normal 10 3 3 7" xfId="4181"/>
    <cellStyle name="Normal 10 3 3 7 2" xfId="13021"/>
    <cellStyle name="Normal 10 3 3 7 2 2" xfId="23272"/>
    <cellStyle name="Normal 10 3 3 7 3" xfId="9442"/>
    <cellStyle name="Normal 10 3 3 7 4" xfId="18265"/>
    <cellStyle name="Normal 10 3 3 8" xfId="1453"/>
    <cellStyle name="Normal 10 3 3 8 2" xfId="10832"/>
    <cellStyle name="Normal 10 3 3 8 3" xfId="20836"/>
    <cellStyle name="Normal 10 3 3 9" xfId="5639"/>
    <cellStyle name="Normal 10 3 3 9 2" xfId="14466"/>
    <cellStyle name="Normal 10 3 3 9 3" xfId="24717"/>
    <cellStyle name="Normal 10 3 3_Degree data" xfId="3917"/>
    <cellStyle name="Normal 10 3 4" xfId="459"/>
    <cellStyle name="Normal 10 3 4 2" xfId="726"/>
    <cellStyle name="Normal 10 3 4 2 2" xfId="3214"/>
    <cellStyle name="Normal 10 3 4 2 2 2" xfId="12359"/>
    <cellStyle name="Normal 10 3 4 2 2 2 2" xfId="22577"/>
    <cellStyle name="Normal 10 3 4 2 2 3" xfId="8781"/>
    <cellStyle name="Normal 10 3 4 2 2 4" xfId="17570"/>
    <cellStyle name="Normal 10 3 4 2 3" xfId="4543"/>
    <cellStyle name="Normal 10 3 4 2 3 2" xfId="13383"/>
    <cellStyle name="Normal 10 3 4 2 3 2 2" xfId="23634"/>
    <cellStyle name="Normal 10 3 4 2 3 3" xfId="9804"/>
    <cellStyle name="Normal 10 3 4 2 3 4" xfId="18627"/>
    <cellStyle name="Normal 10 3 4 2 4" xfId="2323"/>
    <cellStyle name="Normal 10 3 4 2 4 2" xfId="11690"/>
    <cellStyle name="Normal 10 3 4 2 4 3" xfId="21694"/>
    <cellStyle name="Normal 10 3 4 2 5" xfId="6001"/>
    <cellStyle name="Normal 10 3 4 2 5 2" xfId="14828"/>
    <cellStyle name="Normal 10 3 4 2 5 3" xfId="25079"/>
    <cellStyle name="Normal 10 3 4 2 6" xfId="7445"/>
    <cellStyle name="Normal 10 3 4 2 6 2" xfId="20176"/>
    <cellStyle name="Normal 10 3 4 2 7" xfId="16687"/>
    <cellStyle name="Normal 10 3 4 3" xfId="1231"/>
    <cellStyle name="Normal 10 3 4 3 2" xfId="3662"/>
    <cellStyle name="Normal 10 3 4 3 2 2" xfId="12800"/>
    <cellStyle name="Normal 10 3 4 3 2 2 2" xfId="23019"/>
    <cellStyle name="Normal 10 3 4 3 2 3" xfId="9221"/>
    <cellStyle name="Normal 10 3 4 3 2 4" xfId="18012"/>
    <cellStyle name="Normal 10 3 4 3 3" xfId="4892"/>
    <cellStyle name="Normal 10 3 4 3 3 2" xfId="13731"/>
    <cellStyle name="Normal 10 3 4 3 3 2 2" xfId="23982"/>
    <cellStyle name="Normal 10 3 4 3 3 3" xfId="10152"/>
    <cellStyle name="Normal 10 3 4 3 3 4" xfId="18975"/>
    <cellStyle name="Normal 10 3 4 3 4" xfId="2056"/>
    <cellStyle name="Normal 10 3 4 3 4 2" xfId="11423"/>
    <cellStyle name="Normal 10 3 4 3 4 3" xfId="21427"/>
    <cellStyle name="Normal 10 3 4 3 5" xfId="6349"/>
    <cellStyle name="Normal 10 3 4 3 5 2" xfId="15176"/>
    <cellStyle name="Normal 10 3 4 3 5 3" xfId="25427"/>
    <cellStyle name="Normal 10 3 4 3 6" xfId="7795"/>
    <cellStyle name="Normal 10 3 4 3 6 2" xfId="20618"/>
    <cellStyle name="Normal 10 3 4 3 7" xfId="16420"/>
    <cellStyle name="Normal 10 3 4 4" xfId="2947"/>
    <cellStyle name="Normal 10 3 4 4 2" xfId="5325"/>
    <cellStyle name="Normal 10 3 4 4 2 2" xfId="14164"/>
    <cellStyle name="Normal 10 3 4 4 2 2 2" xfId="24415"/>
    <cellStyle name="Normal 10 3 4 4 2 3" xfId="10585"/>
    <cellStyle name="Normal 10 3 4 4 2 4" xfId="19408"/>
    <cellStyle name="Normal 10 3 4 4 3" xfId="6782"/>
    <cellStyle name="Normal 10 3 4 4 3 2" xfId="15609"/>
    <cellStyle name="Normal 10 3 4 4 3 3" xfId="25860"/>
    <cellStyle name="Normal 10 3 4 4 4" xfId="8228"/>
    <cellStyle name="Normal 10 3 4 4 4 2" xfId="22310"/>
    <cellStyle name="Normal 10 3 4 4 5" xfId="17303"/>
    <cellStyle name="Normal 10 3 4 5" xfId="4281"/>
    <cellStyle name="Normal 10 3 4 5 2" xfId="13121"/>
    <cellStyle name="Normal 10 3 4 5 2 2" xfId="23372"/>
    <cellStyle name="Normal 10 3 4 5 3" xfId="9542"/>
    <cellStyle name="Normal 10 3 4 5 4" xfId="18365"/>
    <cellStyle name="Normal 10 3 4 6" xfId="1553"/>
    <cellStyle name="Normal 10 3 4 6 2" xfId="10932"/>
    <cellStyle name="Normal 10 3 4 6 3" xfId="20936"/>
    <cellStyle name="Normal 10 3 4 7" xfId="5739"/>
    <cellStyle name="Normal 10 3 4 7 2" xfId="14566"/>
    <cellStyle name="Normal 10 3 4 7 3" xfId="24817"/>
    <cellStyle name="Normal 10 3 4 8" xfId="7183"/>
    <cellStyle name="Normal 10 3 4 8 2" xfId="19909"/>
    <cellStyle name="Normal 10 3 4 9" xfId="15929"/>
    <cellStyle name="Normal 10 3 4_Degree data" xfId="3922"/>
    <cellStyle name="Normal 10 3 5" xfId="1729"/>
    <cellStyle name="Normal 10 3 5 2" xfId="11105"/>
    <cellStyle name="Normal 10 3 5 2 2" xfId="21109"/>
    <cellStyle name="Normal 10 3 5 3" xfId="8650"/>
    <cellStyle name="Normal 10 3 5 4" xfId="16102"/>
    <cellStyle name="Normal 10 3 6" xfId="2627"/>
    <cellStyle name="Normal 10 3 6 2" xfId="11980"/>
    <cellStyle name="Normal 10 3 6 2 2" xfId="21992"/>
    <cellStyle name="Normal 10 3 6 3" xfId="8516"/>
    <cellStyle name="Normal 10 3 6 4" xfId="16985"/>
    <cellStyle name="Normal 10 3 7" xfId="10762"/>
    <cellStyle name="Normal 10 3 7 2" xfId="19592"/>
    <cellStyle name="Normal 10 4" xfId="146"/>
    <cellStyle name="Normal 10 4 10" xfId="1416"/>
    <cellStyle name="Normal 10 4 10 2" xfId="10795"/>
    <cellStyle name="Normal 10 4 10 3" xfId="20799"/>
    <cellStyle name="Normal 10 4 11" xfId="5527"/>
    <cellStyle name="Normal 10 4 11 2" xfId="14356"/>
    <cellStyle name="Normal 10 4 11 3" xfId="24607"/>
    <cellStyle name="Normal 10 4 12" xfId="6969"/>
    <cellStyle name="Normal 10 4 12 2" xfId="19614"/>
    <cellStyle name="Normal 10 4 13" xfId="15792"/>
    <cellStyle name="Normal 10 4 2" xfId="196"/>
    <cellStyle name="Normal 10 4 2 10" xfId="7148"/>
    <cellStyle name="Normal 10 4 2 10 2" xfId="19657"/>
    <cellStyle name="Normal 10 4 2 11" xfId="15894"/>
    <cellStyle name="Normal 10 4 2 2" xfId="524"/>
    <cellStyle name="Normal 10 4 2 2 2" xfId="729"/>
    <cellStyle name="Normal 10 4 2 2 2 2" xfId="3217"/>
    <cellStyle name="Normal 10 4 2 2 2 2 2" xfId="12362"/>
    <cellStyle name="Normal 10 4 2 2 2 2 2 2" xfId="22580"/>
    <cellStyle name="Normal 10 4 2 2 2 2 3" xfId="8784"/>
    <cellStyle name="Normal 10 4 2 2 2 2 4" xfId="17573"/>
    <cellStyle name="Normal 10 4 2 2 2 3" xfId="4546"/>
    <cellStyle name="Normal 10 4 2 2 2 3 2" xfId="13386"/>
    <cellStyle name="Normal 10 4 2 2 2 3 2 2" xfId="23637"/>
    <cellStyle name="Normal 10 4 2 2 2 3 3" xfId="9807"/>
    <cellStyle name="Normal 10 4 2 2 2 3 4" xfId="18630"/>
    <cellStyle name="Normal 10 4 2 2 2 4" xfId="2326"/>
    <cellStyle name="Normal 10 4 2 2 2 4 2" xfId="11693"/>
    <cellStyle name="Normal 10 4 2 2 2 4 3" xfId="21697"/>
    <cellStyle name="Normal 10 4 2 2 2 5" xfId="6004"/>
    <cellStyle name="Normal 10 4 2 2 2 5 2" xfId="14831"/>
    <cellStyle name="Normal 10 4 2 2 2 5 3" xfId="25082"/>
    <cellStyle name="Normal 10 4 2 2 2 6" xfId="7448"/>
    <cellStyle name="Normal 10 4 2 2 2 6 2" xfId="20179"/>
    <cellStyle name="Normal 10 4 2 2 2 7" xfId="16690"/>
    <cellStyle name="Normal 10 4 2 2 3" xfId="1296"/>
    <cellStyle name="Normal 10 4 2 2 3 2" xfId="3727"/>
    <cellStyle name="Normal 10 4 2 2 3 2 2" xfId="12865"/>
    <cellStyle name="Normal 10 4 2 2 3 2 2 2" xfId="23084"/>
    <cellStyle name="Normal 10 4 2 2 3 2 3" xfId="9286"/>
    <cellStyle name="Normal 10 4 2 2 3 2 4" xfId="18077"/>
    <cellStyle name="Normal 10 4 2 2 3 3" xfId="4895"/>
    <cellStyle name="Normal 10 4 2 2 3 3 2" xfId="13734"/>
    <cellStyle name="Normal 10 4 2 2 3 3 2 2" xfId="23985"/>
    <cellStyle name="Normal 10 4 2 2 3 3 3" xfId="10155"/>
    <cellStyle name="Normal 10 4 2 2 3 3 4" xfId="18978"/>
    <cellStyle name="Normal 10 4 2 2 3 4" xfId="2121"/>
    <cellStyle name="Normal 10 4 2 2 3 4 2" xfId="11488"/>
    <cellStyle name="Normal 10 4 2 2 3 4 3" xfId="21492"/>
    <cellStyle name="Normal 10 4 2 2 3 5" xfId="6352"/>
    <cellStyle name="Normal 10 4 2 2 3 5 2" xfId="15179"/>
    <cellStyle name="Normal 10 4 2 2 3 5 3" xfId="25430"/>
    <cellStyle name="Normal 10 4 2 2 3 6" xfId="7798"/>
    <cellStyle name="Normal 10 4 2 2 3 6 2" xfId="20683"/>
    <cellStyle name="Normal 10 4 2 2 3 7" xfId="16485"/>
    <cellStyle name="Normal 10 4 2 2 4" xfId="3012"/>
    <cellStyle name="Normal 10 4 2 2 4 2" xfId="5390"/>
    <cellStyle name="Normal 10 4 2 2 4 2 2" xfId="14229"/>
    <cellStyle name="Normal 10 4 2 2 4 2 2 2" xfId="24480"/>
    <cellStyle name="Normal 10 4 2 2 4 2 3" xfId="10650"/>
    <cellStyle name="Normal 10 4 2 2 4 2 4" xfId="19473"/>
    <cellStyle name="Normal 10 4 2 2 4 3" xfId="6847"/>
    <cellStyle name="Normal 10 4 2 2 4 3 2" xfId="15674"/>
    <cellStyle name="Normal 10 4 2 2 4 3 3" xfId="25925"/>
    <cellStyle name="Normal 10 4 2 2 4 4" xfId="8293"/>
    <cellStyle name="Normal 10 4 2 2 4 4 2" xfId="22375"/>
    <cellStyle name="Normal 10 4 2 2 4 5" xfId="17368"/>
    <cellStyle name="Normal 10 4 2 2 5" xfId="4346"/>
    <cellStyle name="Normal 10 4 2 2 5 2" xfId="13186"/>
    <cellStyle name="Normal 10 4 2 2 5 2 2" xfId="23437"/>
    <cellStyle name="Normal 10 4 2 2 5 3" xfId="9607"/>
    <cellStyle name="Normal 10 4 2 2 5 4" xfId="18430"/>
    <cellStyle name="Normal 10 4 2 2 6" xfId="1618"/>
    <cellStyle name="Normal 10 4 2 2 6 2" xfId="10997"/>
    <cellStyle name="Normal 10 4 2 2 6 3" xfId="21001"/>
    <cellStyle name="Normal 10 4 2 2 7" xfId="5804"/>
    <cellStyle name="Normal 10 4 2 2 7 2" xfId="14631"/>
    <cellStyle name="Normal 10 4 2 2 7 3" xfId="24882"/>
    <cellStyle name="Normal 10 4 2 2 8" xfId="7248"/>
    <cellStyle name="Normal 10 4 2 2 8 2" xfId="19974"/>
    <cellStyle name="Normal 10 4 2 2 9" xfId="15994"/>
    <cellStyle name="Normal 10 4 2 2_Degree data" xfId="3851"/>
    <cellStyle name="Normal 10 4 2 3" xfId="424"/>
    <cellStyle name="Normal 10 4 2 3 2" xfId="2912"/>
    <cellStyle name="Normal 10 4 2 3 2 2" xfId="12202"/>
    <cellStyle name="Normal 10 4 2 3 2 2 2" xfId="22275"/>
    <cellStyle name="Normal 10 4 2 3 2 3" xfId="8603"/>
    <cellStyle name="Normal 10 4 2 3 2 4" xfId="17268"/>
    <cellStyle name="Normal 10 4 2 3 3" xfId="4545"/>
    <cellStyle name="Normal 10 4 2 3 3 2" xfId="13385"/>
    <cellStyle name="Normal 10 4 2 3 3 2 2" xfId="23636"/>
    <cellStyle name="Normal 10 4 2 3 3 3" xfId="9806"/>
    <cellStyle name="Normal 10 4 2 3 3 4" xfId="18629"/>
    <cellStyle name="Normal 10 4 2 3 4" xfId="2021"/>
    <cellStyle name="Normal 10 4 2 3 4 2" xfId="11388"/>
    <cellStyle name="Normal 10 4 2 3 4 3" xfId="21392"/>
    <cellStyle name="Normal 10 4 2 3 5" xfId="6003"/>
    <cellStyle name="Normal 10 4 2 3 5 2" xfId="14830"/>
    <cellStyle name="Normal 10 4 2 3 5 3" xfId="25081"/>
    <cellStyle name="Normal 10 4 2 3 6" xfId="7447"/>
    <cellStyle name="Normal 10 4 2 3 6 2" xfId="19874"/>
    <cellStyle name="Normal 10 4 2 3 7" xfId="16385"/>
    <cellStyle name="Normal 10 4 2 4" xfId="728"/>
    <cellStyle name="Normal 10 4 2 4 2" xfId="3216"/>
    <cellStyle name="Normal 10 4 2 4 2 2" xfId="12361"/>
    <cellStyle name="Normal 10 4 2 4 2 2 2" xfId="22579"/>
    <cellStyle name="Normal 10 4 2 4 2 3" xfId="8783"/>
    <cellStyle name="Normal 10 4 2 4 2 4" xfId="17572"/>
    <cellStyle name="Normal 10 4 2 4 3" xfId="4894"/>
    <cellStyle name="Normal 10 4 2 4 3 2" xfId="13733"/>
    <cellStyle name="Normal 10 4 2 4 3 2 2" xfId="23984"/>
    <cellStyle name="Normal 10 4 2 4 3 3" xfId="10154"/>
    <cellStyle name="Normal 10 4 2 4 3 4" xfId="18977"/>
    <cellStyle name="Normal 10 4 2 4 4" xfId="2325"/>
    <cellStyle name="Normal 10 4 2 4 4 2" xfId="11692"/>
    <cellStyle name="Normal 10 4 2 4 4 3" xfId="21696"/>
    <cellStyle name="Normal 10 4 2 4 5" xfId="6351"/>
    <cellStyle name="Normal 10 4 2 4 5 2" xfId="15178"/>
    <cellStyle name="Normal 10 4 2 4 5 3" xfId="25429"/>
    <cellStyle name="Normal 10 4 2 4 6" xfId="7797"/>
    <cellStyle name="Normal 10 4 2 4 6 2" xfId="20178"/>
    <cellStyle name="Normal 10 4 2 4 7" xfId="16689"/>
    <cellStyle name="Normal 10 4 2 5" xfId="1196"/>
    <cellStyle name="Normal 10 4 2 5 2" xfId="3627"/>
    <cellStyle name="Normal 10 4 2 5 2 2" xfId="12765"/>
    <cellStyle name="Normal 10 4 2 5 2 2 2" xfId="22984"/>
    <cellStyle name="Normal 10 4 2 5 2 3" xfId="9186"/>
    <cellStyle name="Normal 10 4 2 5 2 4" xfId="17977"/>
    <cellStyle name="Normal 10 4 2 5 3" xfId="5290"/>
    <cellStyle name="Normal 10 4 2 5 3 2" xfId="14129"/>
    <cellStyle name="Normal 10 4 2 5 3 2 2" xfId="24380"/>
    <cellStyle name="Normal 10 4 2 5 3 3" xfId="10550"/>
    <cellStyle name="Normal 10 4 2 5 3 4" xfId="19373"/>
    <cellStyle name="Normal 10 4 2 5 4" xfId="1800"/>
    <cellStyle name="Normal 10 4 2 5 4 2" xfId="11171"/>
    <cellStyle name="Normal 10 4 2 5 4 3" xfId="21175"/>
    <cellStyle name="Normal 10 4 2 5 5" xfId="6747"/>
    <cellStyle name="Normal 10 4 2 5 5 2" xfId="15574"/>
    <cellStyle name="Normal 10 4 2 5 5 3" xfId="25825"/>
    <cellStyle name="Normal 10 4 2 5 6" xfId="8193"/>
    <cellStyle name="Normal 10 4 2 5 6 2" xfId="20583"/>
    <cellStyle name="Normal 10 4 2 5 7" xfId="16168"/>
    <cellStyle name="Normal 10 4 2 6" xfId="2695"/>
    <cellStyle name="Normal 10 4 2 6 2" xfId="12014"/>
    <cellStyle name="Normal 10 4 2 6 2 2" xfId="22058"/>
    <cellStyle name="Normal 10 4 2 6 3" xfId="8583"/>
    <cellStyle name="Normal 10 4 2 6 4" xfId="17051"/>
    <cellStyle name="Normal 10 4 2 7" xfId="4246"/>
    <cellStyle name="Normal 10 4 2 7 2" xfId="13086"/>
    <cellStyle name="Normal 10 4 2 7 2 2" xfId="23337"/>
    <cellStyle name="Normal 10 4 2 7 3" xfId="9507"/>
    <cellStyle name="Normal 10 4 2 7 4" xfId="18330"/>
    <cellStyle name="Normal 10 4 2 8" xfId="1518"/>
    <cellStyle name="Normal 10 4 2 8 2" xfId="10897"/>
    <cellStyle name="Normal 10 4 2 8 3" xfId="20901"/>
    <cellStyle name="Normal 10 4 2 9" xfId="5704"/>
    <cellStyle name="Normal 10 4 2 9 2" xfId="14531"/>
    <cellStyle name="Normal 10 4 2 9 3" xfId="24782"/>
    <cellStyle name="Normal 10 4 2_Degree data" xfId="2648"/>
    <cellStyle name="Normal 10 4 3" xfId="263"/>
    <cellStyle name="Normal 10 4 3 10" xfId="7105"/>
    <cellStyle name="Normal 10 4 3 10 2" xfId="19719"/>
    <cellStyle name="Normal 10 4 3 11" xfId="15851"/>
    <cellStyle name="Normal 10 4 3 2" xfId="586"/>
    <cellStyle name="Normal 10 4 3 2 2" xfId="731"/>
    <cellStyle name="Normal 10 4 3 2 2 2" xfId="3219"/>
    <cellStyle name="Normal 10 4 3 2 2 2 2" xfId="12364"/>
    <cellStyle name="Normal 10 4 3 2 2 2 2 2" xfId="22582"/>
    <cellStyle name="Normal 10 4 3 2 2 2 3" xfId="8786"/>
    <cellStyle name="Normal 10 4 3 2 2 2 4" xfId="17575"/>
    <cellStyle name="Normal 10 4 3 2 2 3" xfId="4548"/>
    <cellStyle name="Normal 10 4 3 2 2 3 2" xfId="13388"/>
    <cellStyle name="Normal 10 4 3 2 2 3 2 2" xfId="23639"/>
    <cellStyle name="Normal 10 4 3 2 2 3 3" xfId="9809"/>
    <cellStyle name="Normal 10 4 3 2 2 3 4" xfId="18632"/>
    <cellStyle name="Normal 10 4 3 2 2 4" xfId="2328"/>
    <cellStyle name="Normal 10 4 3 2 2 4 2" xfId="11695"/>
    <cellStyle name="Normal 10 4 3 2 2 4 3" xfId="21699"/>
    <cellStyle name="Normal 10 4 3 2 2 5" xfId="6006"/>
    <cellStyle name="Normal 10 4 3 2 2 5 2" xfId="14833"/>
    <cellStyle name="Normal 10 4 3 2 2 5 3" xfId="25084"/>
    <cellStyle name="Normal 10 4 3 2 2 6" xfId="7450"/>
    <cellStyle name="Normal 10 4 3 2 2 6 2" xfId="20181"/>
    <cellStyle name="Normal 10 4 3 2 2 7" xfId="16692"/>
    <cellStyle name="Normal 10 4 3 2 3" xfId="1358"/>
    <cellStyle name="Normal 10 4 3 2 3 2" xfId="3789"/>
    <cellStyle name="Normal 10 4 3 2 3 2 2" xfId="12927"/>
    <cellStyle name="Normal 10 4 3 2 3 2 2 2" xfId="23146"/>
    <cellStyle name="Normal 10 4 3 2 3 2 3" xfId="9348"/>
    <cellStyle name="Normal 10 4 3 2 3 2 4" xfId="18139"/>
    <cellStyle name="Normal 10 4 3 2 3 3" xfId="4897"/>
    <cellStyle name="Normal 10 4 3 2 3 3 2" xfId="13736"/>
    <cellStyle name="Normal 10 4 3 2 3 3 2 2" xfId="23987"/>
    <cellStyle name="Normal 10 4 3 2 3 3 3" xfId="10157"/>
    <cellStyle name="Normal 10 4 3 2 3 3 4" xfId="18980"/>
    <cellStyle name="Normal 10 4 3 2 3 4" xfId="2183"/>
    <cellStyle name="Normal 10 4 3 2 3 4 2" xfId="11550"/>
    <cellStyle name="Normal 10 4 3 2 3 4 3" xfId="21554"/>
    <cellStyle name="Normal 10 4 3 2 3 5" xfId="6354"/>
    <cellStyle name="Normal 10 4 3 2 3 5 2" xfId="15181"/>
    <cellStyle name="Normal 10 4 3 2 3 5 3" xfId="25432"/>
    <cellStyle name="Normal 10 4 3 2 3 6" xfId="7800"/>
    <cellStyle name="Normal 10 4 3 2 3 6 2" xfId="20745"/>
    <cellStyle name="Normal 10 4 3 2 3 7" xfId="16547"/>
    <cellStyle name="Normal 10 4 3 2 4" xfId="3074"/>
    <cellStyle name="Normal 10 4 3 2 4 2" xfId="5452"/>
    <cellStyle name="Normal 10 4 3 2 4 2 2" xfId="14291"/>
    <cellStyle name="Normal 10 4 3 2 4 2 2 2" xfId="24542"/>
    <cellStyle name="Normal 10 4 3 2 4 2 3" xfId="10712"/>
    <cellStyle name="Normal 10 4 3 2 4 2 4" xfId="19535"/>
    <cellStyle name="Normal 10 4 3 2 4 3" xfId="6909"/>
    <cellStyle name="Normal 10 4 3 2 4 3 2" xfId="15736"/>
    <cellStyle name="Normal 10 4 3 2 4 3 3" xfId="25987"/>
    <cellStyle name="Normal 10 4 3 2 4 4" xfId="8355"/>
    <cellStyle name="Normal 10 4 3 2 4 4 2" xfId="22437"/>
    <cellStyle name="Normal 10 4 3 2 4 5" xfId="17430"/>
    <cellStyle name="Normal 10 4 3 2 5" xfId="4408"/>
    <cellStyle name="Normal 10 4 3 2 5 2" xfId="13248"/>
    <cellStyle name="Normal 10 4 3 2 5 2 2" xfId="23499"/>
    <cellStyle name="Normal 10 4 3 2 5 3" xfId="9669"/>
    <cellStyle name="Normal 10 4 3 2 5 4" xfId="18492"/>
    <cellStyle name="Normal 10 4 3 2 6" xfId="1680"/>
    <cellStyle name="Normal 10 4 3 2 6 2" xfId="11059"/>
    <cellStyle name="Normal 10 4 3 2 6 3" xfId="21063"/>
    <cellStyle name="Normal 10 4 3 2 7" xfId="5866"/>
    <cellStyle name="Normal 10 4 3 2 7 2" xfId="14693"/>
    <cellStyle name="Normal 10 4 3 2 7 3" xfId="24944"/>
    <cellStyle name="Normal 10 4 3 2 8" xfId="7310"/>
    <cellStyle name="Normal 10 4 3 2 8 2" xfId="20036"/>
    <cellStyle name="Normal 10 4 3 2 9" xfId="16056"/>
    <cellStyle name="Normal 10 4 3 2_Degree data" xfId="2614"/>
    <cellStyle name="Normal 10 4 3 3" xfId="381"/>
    <cellStyle name="Normal 10 4 3 3 2" xfId="2869"/>
    <cellStyle name="Normal 10 4 3 3 2 2" xfId="12159"/>
    <cellStyle name="Normal 10 4 3 3 2 2 2" xfId="22232"/>
    <cellStyle name="Normal 10 4 3 3 2 3" xfId="8428"/>
    <cellStyle name="Normal 10 4 3 3 2 4" xfId="17225"/>
    <cellStyle name="Normal 10 4 3 3 3" xfId="4547"/>
    <cellStyle name="Normal 10 4 3 3 3 2" xfId="13387"/>
    <cellStyle name="Normal 10 4 3 3 3 2 2" xfId="23638"/>
    <cellStyle name="Normal 10 4 3 3 3 3" xfId="9808"/>
    <cellStyle name="Normal 10 4 3 3 3 4" xfId="18631"/>
    <cellStyle name="Normal 10 4 3 3 4" xfId="1978"/>
    <cellStyle name="Normal 10 4 3 3 4 2" xfId="11345"/>
    <cellStyle name="Normal 10 4 3 3 4 3" xfId="21349"/>
    <cellStyle name="Normal 10 4 3 3 5" xfId="6005"/>
    <cellStyle name="Normal 10 4 3 3 5 2" xfId="14832"/>
    <cellStyle name="Normal 10 4 3 3 5 3" xfId="25083"/>
    <cellStyle name="Normal 10 4 3 3 6" xfId="7449"/>
    <cellStyle name="Normal 10 4 3 3 6 2" xfId="19831"/>
    <cellStyle name="Normal 10 4 3 3 7" xfId="16342"/>
    <cellStyle name="Normal 10 4 3 4" xfId="730"/>
    <cellStyle name="Normal 10 4 3 4 2" xfId="3218"/>
    <cellStyle name="Normal 10 4 3 4 2 2" xfId="12363"/>
    <cellStyle name="Normal 10 4 3 4 2 2 2" xfId="22581"/>
    <cellStyle name="Normal 10 4 3 4 2 3" xfId="8785"/>
    <cellStyle name="Normal 10 4 3 4 2 4" xfId="17574"/>
    <cellStyle name="Normal 10 4 3 4 3" xfId="4896"/>
    <cellStyle name="Normal 10 4 3 4 3 2" xfId="13735"/>
    <cellStyle name="Normal 10 4 3 4 3 2 2" xfId="23986"/>
    <cellStyle name="Normal 10 4 3 4 3 3" xfId="10156"/>
    <cellStyle name="Normal 10 4 3 4 3 4" xfId="18979"/>
    <cellStyle name="Normal 10 4 3 4 4" xfId="2327"/>
    <cellStyle name="Normal 10 4 3 4 4 2" xfId="11694"/>
    <cellStyle name="Normal 10 4 3 4 4 3" xfId="21698"/>
    <cellStyle name="Normal 10 4 3 4 5" xfId="6353"/>
    <cellStyle name="Normal 10 4 3 4 5 2" xfId="15180"/>
    <cellStyle name="Normal 10 4 3 4 5 3" xfId="25431"/>
    <cellStyle name="Normal 10 4 3 4 6" xfId="7799"/>
    <cellStyle name="Normal 10 4 3 4 6 2" xfId="20180"/>
    <cellStyle name="Normal 10 4 3 4 7" xfId="16691"/>
    <cellStyle name="Normal 10 4 3 5" xfId="1153"/>
    <cellStyle name="Normal 10 4 3 5 2" xfId="3584"/>
    <cellStyle name="Normal 10 4 3 5 2 2" xfId="12722"/>
    <cellStyle name="Normal 10 4 3 5 2 2 2" xfId="22941"/>
    <cellStyle name="Normal 10 4 3 5 2 3" xfId="9143"/>
    <cellStyle name="Normal 10 4 3 5 2 4" xfId="17934"/>
    <cellStyle name="Normal 10 4 3 5 3" xfId="5247"/>
    <cellStyle name="Normal 10 4 3 5 3 2" xfId="14086"/>
    <cellStyle name="Normal 10 4 3 5 3 2 2" xfId="24337"/>
    <cellStyle name="Normal 10 4 3 5 3 3" xfId="10507"/>
    <cellStyle name="Normal 10 4 3 5 3 4" xfId="19330"/>
    <cellStyle name="Normal 10 4 3 5 4" xfId="1863"/>
    <cellStyle name="Normal 10 4 3 5 4 2" xfId="11233"/>
    <cellStyle name="Normal 10 4 3 5 4 3" xfId="21237"/>
    <cellStyle name="Normal 10 4 3 5 5" xfId="6704"/>
    <cellStyle name="Normal 10 4 3 5 5 2" xfId="15531"/>
    <cellStyle name="Normal 10 4 3 5 5 3" xfId="25782"/>
    <cellStyle name="Normal 10 4 3 5 6" xfId="8150"/>
    <cellStyle name="Normal 10 4 3 5 6 2" xfId="20540"/>
    <cellStyle name="Normal 10 4 3 5 7" xfId="16230"/>
    <cellStyle name="Normal 10 4 3 6" xfId="2757"/>
    <cellStyle name="Normal 10 4 3 6 2" xfId="12076"/>
    <cellStyle name="Normal 10 4 3 6 2 2" xfId="22120"/>
    <cellStyle name="Normal 10 4 3 6 3" xfId="8443"/>
    <cellStyle name="Normal 10 4 3 6 4" xfId="17113"/>
    <cellStyle name="Normal 10 4 3 7" xfId="4203"/>
    <cellStyle name="Normal 10 4 3 7 2" xfId="13043"/>
    <cellStyle name="Normal 10 4 3 7 2 2" xfId="23294"/>
    <cellStyle name="Normal 10 4 3 7 3" xfId="9464"/>
    <cellStyle name="Normal 10 4 3 7 4" xfId="18287"/>
    <cellStyle name="Normal 10 4 3 8" xfId="1475"/>
    <cellStyle name="Normal 10 4 3 8 2" xfId="10854"/>
    <cellStyle name="Normal 10 4 3 8 3" xfId="20858"/>
    <cellStyle name="Normal 10 4 3 9" xfId="5661"/>
    <cellStyle name="Normal 10 4 3 9 2" xfId="14488"/>
    <cellStyle name="Normal 10 4 3 9 3" xfId="24739"/>
    <cellStyle name="Normal 10 4 3_Degree data" xfId="2639"/>
    <cellStyle name="Normal 10 4 4" xfId="481"/>
    <cellStyle name="Normal 10 4 4 2" xfId="732"/>
    <cellStyle name="Normal 10 4 4 2 2" xfId="3220"/>
    <cellStyle name="Normal 10 4 4 2 2 2" xfId="12365"/>
    <cellStyle name="Normal 10 4 4 2 2 2 2" xfId="22583"/>
    <cellStyle name="Normal 10 4 4 2 2 3" xfId="8787"/>
    <cellStyle name="Normal 10 4 4 2 2 4" xfId="17576"/>
    <cellStyle name="Normal 10 4 4 2 3" xfId="4549"/>
    <cellStyle name="Normal 10 4 4 2 3 2" xfId="13389"/>
    <cellStyle name="Normal 10 4 4 2 3 2 2" xfId="23640"/>
    <cellStyle name="Normal 10 4 4 2 3 3" xfId="9810"/>
    <cellStyle name="Normal 10 4 4 2 3 4" xfId="18633"/>
    <cellStyle name="Normal 10 4 4 2 4" xfId="2329"/>
    <cellStyle name="Normal 10 4 4 2 4 2" xfId="11696"/>
    <cellStyle name="Normal 10 4 4 2 4 3" xfId="21700"/>
    <cellStyle name="Normal 10 4 4 2 5" xfId="6007"/>
    <cellStyle name="Normal 10 4 4 2 5 2" xfId="14834"/>
    <cellStyle name="Normal 10 4 4 2 5 3" xfId="25085"/>
    <cellStyle name="Normal 10 4 4 2 6" xfId="7451"/>
    <cellStyle name="Normal 10 4 4 2 6 2" xfId="20182"/>
    <cellStyle name="Normal 10 4 4 2 7" xfId="16693"/>
    <cellStyle name="Normal 10 4 4 3" xfId="1253"/>
    <cellStyle name="Normal 10 4 4 3 2" xfId="3684"/>
    <cellStyle name="Normal 10 4 4 3 2 2" xfId="12822"/>
    <cellStyle name="Normal 10 4 4 3 2 2 2" xfId="23041"/>
    <cellStyle name="Normal 10 4 4 3 2 3" xfId="9243"/>
    <cellStyle name="Normal 10 4 4 3 2 4" xfId="18034"/>
    <cellStyle name="Normal 10 4 4 3 3" xfId="4898"/>
    <cellStyle name="Normal 10 4 4 3 3 2" xfId="13737"/>
    <cellStyle name="Normal 10 4 4 3 3 2 2" xfId="23988"/>
    <cellStyle name="Normal 10 4 4 3 3 3" xfId="10158"/>
    <cellStyle name="Normal 10 4 4 3 3 4" xfId="18981"/>
    <cellStyle name="Normal 10 4 4 3 4" xfId="2078"/>
    <cellStyle name="Normal 10 4 4 3 4 2" xfId="11445"/>
    <cellStyle name="Normal 10 4 4 3 4 3" xfId="21449"/>
    <cellStyle name="Normal 10 4 4 3 5" xfId="6355"/>
    <cellStyle name="Normal 10 4 4 3 5 2" xfId="15182"/>
    <cellStyle name="Normal 10 4 4 3 5 3" xfId="25433"/>
    <cellStyle name="Normal 10 4 4 3 6" xfId="7801"/>
    <cellStyle name="Normal 10 4 4 3 6 2" xfId="20640"/>
    <cellStyle name="Normal 10 4 4 3 7" xfId="16442"/>
    <cellStyle name="Normal 10 4 4 4" xfId="2969"/>
    <cellStyle name="Normal 10 4 4 4 2" xfId="5347"/>
    <cellStyle name="Normal 10 4 4 4 2 2" xfId="14186"/>
    <cellStyle name="Normal 10 4 4 4 2 2 2" xfId="24437"/>
    <cellStyle name="Normal 10 4 4 4 2 3" xfId="10607"/>
    <cellStyle name="Normal 10 4 4 4 2 4" xfId="19430"/>
    <cellStyle name="Normal 10 4 4 4 3" xfId="6804"/>
    <cellStyle name="Normal 10 4 4 4 3 2" xfId="15631"/>
    <cellStyle name="Normal 10 4 4 4 3 3" xfId="25882"/>
    <cellStyle name="Normal 10 4 4 4 4" xfId="8250"/>
    <cellStyle name="Normal 10 4 4 4 4 2" xfId="22332"/>
    <cellStyle name="Normal 10 4 4 4 5" xfId="17325"/>
    <cellStyle name="Normal 10 4 4 5" xfId="4303"/>
    <cellStyle name="Normal 10 4 4 5 2" xfId="13143"/>
    <cellStyle name="Normal 10 4 4 5 2 2" xfId="23394"/>
    <cellStyle name="Normal 10 4 4 5 3" xfId="9564"/>
    <cellStyle name="Normal 10 4 4 5 4" xfId="18387"/>
    <cellStyle name="Normal 10 4 4 6" xfId="1575"/>
    <cellStyle name="Normal 10 4 4 6 2" xfId="10954"/>
    <cellStyle name="Normal 10 4 4 6 3" xfId="20958"/>
    <cellStyle name="Normal 10 4 4 7" xfId="5761"/>
    <cellStyle name="Normal 10 4 4 7 2" xfId="14588"/>
    <cellStyle name="Normal 10 4 4 7 3" xfId="24839"/>
    <cellStyle name="Normal 10 4 4 8" xfId="7205"/>
    <cellStyle name="Normal 10 4 4 8 2" xfId="19931"/>
    <cellStyle name="Normal 10 4 4 9" xfId="15951"/>
    <cellStyle name="Normal 10 4 4_Degree data" xfId="3477"/>
    <cellStyle name="Normal 10 4 5" xfId="322"/>
    <cellStyle name="Normal 10 4 5 2" xfId="2810"/>
    <cellStyle name="Normal 10 4 5 2 2" xfId="12116"/>
    <cellStyle name="Normal 10 4 5 2 2 2" xfId="22173"/>
    <cellStyle name="Normal 10 4 5 2 3" xfId="8547"/>
    <cellStyle name="Normal 10 4 5 2 4" xfId="17166"/>
    <cellStyle name="Normal 10 4 5 3" xfId="4544"/>
    <cellStyle name="Normal 10 4 5 3 2" xfId="13384"/>
    <cellStyle name="Normal 10 4 5 3 2 2" xfId="23635"/>
    <cellStyle name="Normal 10 4 5 3 3" xfId="9805"/>
    <cellStyle name="Normal 10 4 5 3 4" xfId="18628"/>
    <cellStyle name="Normal 10 4 5 4" xfId="1919"/>
    <cellStyle name="Normal 10 4 5 4 2" xfId="11286"/>
    <cellStyle name="Normal 10 4 5 4 3" xfId="21290"/>
    <cellStyle name="Normal 10 4 5 5" xfId="6002"/>
    <cellStyle name="Normal 10 4 5 5 2" xfId="14829"/>
    <cellStyle name="Normal 10 4 5 5 3" xfId="25080"/>
    <cellStyle name="Normal 10 4 5 6" xfId="7446"/>
    <cellStyle name="Normal 10 4 5 6 2" xfId="19772"/>
    <cellStyle name="Normal 10 4 5 7" xfId="16283"/>
    <cellStyle name="Normal 10 4 6" xfId="727"/>
    <cellStyle name="Normal 10 4 6 2" xfId="3215"/>
    <cellStyle name="Normal 10 4 6 2 2" xfId="12360"/>
    <cellStyle name="Normal 10 4 6 2 2 2" xfId="22578"/>
    <cellStyle name="Normal 10 4 6 2 3" xfId="8782"/>
    <cellStyle name="Normal 10 4 6 2 4" xfId="17571"/>
    <cellStyle name="Normal 10 4 6 3" xfId="4893"/>
    <cellStyle name="Normal 10 4 6 3 2" xfId="13732"/>
    <cellStyle name="Normal 10 4 6 3 2 2" xfId="23983"/>
    <cellStyle name="Normal 10 4 6 3 3" xfId="10153"/>
    <cellStyle name="Normal 10 4 6 3 4" xfId="18976"/>
    <cellStyle name="Normal 10 4 6 4" xfId="2324"/>
    <cellStyle name="Normal 10 4 6 4 2" xfId="11691"/>
    <cellStyle name="Normal 10 4 6 4 3" xfId="21695"/>
    <cellStyle name="Normal 10 4 6 5" xfId="6350"/>
    <cellStyle name="Normal 10 4 6 5 2" xfId="15177"/>
    <cellStyle name="Normal 10 4 6 5 3" xfId="25428"/>
    <cellStyle name="Normal 10 4 6 6" xfId="7796"/>
    <cellStyle name="Normal 10 4 6 6 2" xfId="20177"/>
    <cellStyle name="Normal 10 4 6 7" xfId="16688"/>
    <cellStyle name="Normal 10 4 7" xfId="1094"/>
    <cellStyle name="Normal 10 4 7 2" xfId="3525"/>
    <cellStyle name="Normal 10 4 7 2 2" xfId="12663"/>
    <cellStyle name="Normal 10 4 7 2 2 2" xfId="22882"/>
    <cellStyle name="Normal 10 4 7 2 3" xfId="9085"/>
    <cellStyle name="Normal 10 4 7 2 4" xfId="17875"/>
    <cellStyle name="Normal 10 4 7 3" xfId="5188"/>
    <cellStyle name="Normal 10 4 7 3 2" xfId="14027"/>
    <cellStyle name="Normal 10 4 7 3 2 2" xfId="24278"/>
    <cellStyle name="Normal 10 4 7 3 3" xfId="10448"/>
    <cellStyle name="Normal 10 4 7 3 4" xfId="19271"/>
    <cellStyle name="Normal 10 4 7 4" xfId="1754"/>
    <cellStyle name="Normal 10 4 7 4 2" xfId="11127"/>
    <cellStyle name="Normal 10 4 7 4 3" xfId="21131"/>
    <cellStyle name="Normal 10 4 7 5" xfId="6645"/>
    <cellStyle name="Normal 10 4 7 5 2" xfId="15472"/>
    <cellStyle name="Normal 10 4 7 5 3" xfId="25723"/>
    <cellStyle name="Normal 10 4 7 6" xfId="8091"/>
    <cellStyle name="Normal 10 4 7 6 2" xfId="20481"/>
    <cellStyle name="Normal 10 4 7 7" xfId="16124"/>
    <cellStyle name="Normal 10 4 8" xfId="2652"/>
    <cellStyle name="Normal 10 4 8 2" xfId="5602"/>
    <cellStyle name="Normal 10 4 8 2 2" xfId="14429"/>
    <cellStyle name="Normal 10 4 8 2 3" xfId="24680"/>
    <cellStyle name="Normal 10 4 8 3" xfId="7046"/>
    <cellStyle name="Normal 10 4 8 3 2" xfId="22015"/>
    <cellStyle name="Normal 10 4 8 4" xfId="17008"/>
    <cellStyle name="Normal 10 4 9" xfId="4142"/>
    <cellStyle name="Normal 10 4 9 2" xfId="12982"/>
    <cellStyle name="Normal 10 4 9 2 2" xfId="23233"/>
    <cellStyle name="Normal 10 4 9 3" xfId="9403"/>
    <cellStyle name="Normal 10 4 9 4" xfId="18226"/>
    <cellStyle name="Normal 10 4_Degree data" xfId="3920"/>
    <cellStyle name="Normal 10 5" xfId="187"/>
    <cellStyle name="Normal 10 5 10" xfId="7139"/>
    <cellStyle name="Normal 10 5 10 2" xfId="19648"/>
    <cellStyle name="Normal 10 5 11" xfId="15885"/>
    <cellStyle name="Normal 10 5 2" xfId="515"/>
    <cellStyle name="Normal 10 5 2 2" xfId="734"/>
    <cellStyle name="Normal 10 5 2 2 2" xfId="3222"/>
    <cellStyle name="Normal 10 5 2 2 2 2" xfId="12367"/>
    <cellStyle name="Normal 10 5 2 2 2 2 2" xfId="22585"/>
    <cellStyle name="Normal 10 5 2 2 2 3" xfId="8789"/>
    <cellStyle name="Normal 10 5 2 2 2 4" xfId="17578"/>
    <cellStyle name="Normal 10 5 2 2 3" xfId="4551"/>
    <cellStyle name="Normal 10 5 2 2 3 2" xfId="13391"/>
    <cellStyle name="Normal 10 5 2 2 3 2 2" xfId="23642"/>
    <cellStyle name="Normal 10 5 2 2 3 3" xfId="9812"/>
    <cellStyle name="Normal 10 5 2 2 3 4" xfId="18635"/>
    <cellStyle name="Normal 10 5 2 2 4" xfId="2331"/>
    <cellStyle name="Normal 10 5 2 2 4 2" xfId="11698"/>
    <cellStyle name="Normal 10 5 2 2 4 3" xfId="21702"/>
    <cellStyle name="Normal 10 5 2 2 5" xfId="6009"/>
    <cellStyle name="Normal 10 5 2 2 5 2" xfId="14836"/>
    <cellStyle name="Normal 10 5 2 2 5 3" xfId="25087"/>
    <cellStyle name="Normal 10 5 2 2 6" xfId="7453"/>
    <cellStyle name="Normal 10 5 2 2 6 2" xfId="20184"/>
    <cellStyle name="Normal 10 5 2 2 7" xfId="16695"/>
    <cellStyle name="Normal 10 5 2 3" xfId="1287"/>
    <cellStyle name="Normal 10 5 2 3 2" xfId="3718"/>
    <cellStyle name="Normal 10 5 2 3 2 2" xfId="12856"/>
    <cellStyle name="Normal 10 5 2 3 2 2 2" xfId="23075"/>
    <cellStyle name="Normal 10 5 2 3 2 3" xfId="9277"/>
    <cellStyle name="Normal 10 5 2 3 2 4" xfId="18068"/>
    <cellStyle name="Normal 10 5 2 3 3" xfId="4900"/>
    <cellStyle name="Normal 10 5 2 3 3 2" xfId="13739"/>
    <cellStyle name="Normal 10 5 2 3 3 2 2" xfId="23990"/>
    <cellStyle name="Normal 10 5 2 3 3 3" xfId="10160"/>
    <cellStyle name="Normal 10 5 2 3 3 4" xfId="18983"/>
    <cellStyle name="Normal 10 5 2 3 4" xfId="2112"/>
    <cellStyle name="Normal 10 5 2 3 4 2" xfId="11479"/>
    <cellStyle name="Normal 10 5 2 3 4 3" xfId="21483"/>
    <cellStyle name="Normal 10 5 2 3 5" xfId="6357"/>
    <cellStyle name="Normal 10 5 2 3 5 2" xfId="15184"/>
    <cellStyle name="Normal 10 5 2 3 5 3" xfId="25435"/>
    <cellStyle name="Normal 10 5 2 3 6" xfId="7803"/>
    <cellStyle name="Normal 10 5 2 3 6 2" xfId="20674"/>
    <cellStyle name="Normal 10 5 2 3 7" xfId="16476"/>
    <cellStyle name="Normal 10 5 2 4" xfId="3003"/>
    <cellStyle name="Normal 10 5 2 4 2" xfId="5381"/>
    <cellStyle name="Normal 10 5 2 4 2 2" xfId="14220"/>
    <cellStyle name="Normal 10 5 2 4 2 2 2" xfId="24471"/>
    <cellStyle name="Normal 10 5 2 4 2 3" xfId="10641"/>
    <cellStyle name="Normal 10 5 2 4 2 4" xfId="19464"/>
    <cellStyle name="Normal 10 5 2 4 3" xfId="6838"/>
    <cellStyle name="Normal 10 5 2 4 3 2" xfId="15665"/>
    <cellStyle name="Normal 10 5 2 4 3 3" xfId="25916"/>
    <cellStyle name="Normal 10 5 2 4 4" xfId="8284"/>
    <cellStyle name="Normal 10 5 2 4 4 2" xfId="22366"/>
    <cellStyle name="Normal 10 5 2 4 5" xfId="17359"/>
    <cellStyle name="Normal 10 5 2 5" xfId="4337"/>
    <cellStyle name="Normal 10 5 2 5 2" xfId="13177"/>
    <cellStyle name="Normal 10 5 2 5 2 2" xfId="23428"/>
    <cellStyle name="Normal 10 5 2 5 3" xfId="9598"/>
    <cellStyle name="Normal 10 5 2 5 4" xfId="18421"/>
    <cellStyle name="Normal 10 5 2 6" xfId="1609"/>
    <cellStyle name="Normal 10 5 2 6 2" xfId="10988"/>
    <cellStyle name="Normal 10 5 2 6 3" xfId="20992"/>
    <cellStyle name="Normal 10 5 2 7" xfId="5795"/>
    <cellStyle name="Normal 10 5 2 7 2" xfId="14622"/>
    <cellStyle name="Normal 10 5 2 7 3" xfId="24873"/>
    <cellStyle name="Normal 10 5 2 8" xfId="7239"/>
    <cellStyle name="Normal 10 5 2 8 2" xfId="19965"/>
    <cellStyle name="Normal 10 5 2 9" xfId="15985"/>
    <cellStyle name="Normal 10 5 2_Degree data" xfId="3842"/>
    <cellStyle name="Normal 10 5 3" xfId="415"/>
    <cellStyle name="Normal 10 5 3 2" xfId="2903"/>
    <cellStyle name="Normal 10 5 3 2 2" xfId="12193"/>
    <cellStyle name="Normal 10 5 3 2 2 2" xfId="22266"/>
    <cellStyle name="Normal 10 5 3 2 3" xfId="8399"/>
    <cellStyle name="Normal 10 5 3 2 4" xfId="17259"/>
    <cellStyle name="Normal 10 5 3 3" xfId="4550"/>
    <cellStyle name="Normal 10 5 3 3 2" xfId="13390"/>
    <cellStyle name="Normal 10 5 3 3 2 2" xfId="23641"/>
    <cellStyle name="Normal 10 5 3 3 3" xfId="9811"/>
    <cellStyle name="Normal 10 5 3 3 4" xfId="18634"/>
    <cellStyle name="Normal 10 5 3 4" xfId="2012"/>
    <cellStyle name="Normal 10 5 3 4 2" xfId="11379"/>
    <cellStyle name="Normal 10 5 3 4 3" xfId="21383"/>
    <cellStyle name="Normal 10 5 3 5" xfId="6008"/>
    <cellStyle name="Normal 10 5 3 5 2" xfId="14835"/>
    <cellStyle name="Normal 10 5 3 5 3" xfId="25086"/>
    <cellStyle name="Normal 10 5 3 6" xfId="7452"/>
    <cellStyle name="Normal 10 5 3 6 2" xfId="19865"/>
    <cellStyle name="Normal 10 5 3 7" xfId="16376"/>
    <cellStyle name="Normal 10 5 4" xfId="733"/>
    <cellStyle name="Normal 10 5 4 2" xfId="3221"/>
    <cellStyle name="Normal 10 5 4 2 2" xfId="12366"/>
    <cellStyle name="Normal 10 5 4 2 2 2" xfId="22584"/>
    <cellStyle name="Normal 10 5 4 2 3" xfId="8788"/>
    <cellStyle name="Normal 10 5 4 2 4" xfId="17577"/>
    <cellStyle name="Normal 10 5 4 3" xfId="4899"/>
    <cellStyle name="Normal 10 5 4 3 2" xfId="13738"/>
    <cellStyle name="Normal 10 5 4 3 2 2" xfId="23989"/>
    <cellStyle name="Normal 10 5 4 3 3" xfId="10159"/>
    <cellStyle name="Normal 10 5 4 3 4" xfId="18982"/>
    <cellStyle name="Normal 10 5 4 4" xfId="2330"/>
    <cellStyle name="Normal 10 5 4 4 2" xfId="11697"/>
    <cellStyle name="Normal 10 5 4 4 3" xfId="21701"/>
    <cellStyle name="Normal 10 5 4 5" xfId="6356"/>
    <cellStyle name="Normal 10 5 4 5 2" xfId="15183"/>
    <cellStyle name="Normal 10 5 4 5 3" xfId="25434"/>
    <cellStyle name="Normal 10 5 4 6" xfId="7802"/>
    <cellStyle name="Normal 10 5 4 6 2" xfId="20183"/>
    <cellStyle name="Normal 10 5 4 7" xfId="16694"/>
    <cellStyle name="Normal 10 5 5" xfId="1187"/>
    <cellStyle name="Normal 10 5 5 2" xfId="3618"/>
    <cellStyle name="Normal 10 5 5 2 2" xfId="12756"/>
    <cellStyle name="Normal 10 5 5 2 2 2" xfId="22975"/>
    <cellStyle name="Normal 10 5 5 2 3" xfId="9177"/>
    <cellStyle name="Normal 10 5 5 2 4" xfId="17968"/>
    <cellStyle name="Normal 10 5 5 3" xfId="5281"/>
    <cellStyle name="Normal 10 5 5 3 2" xfId="14120"/>
    <cellStyle name="Normal 10 5 5 3 2 2" xfId="24371"/>
    <cellStyle name="Normal 10 5 5 3 3" xfId="10541"/>
    <cellStyle name="Normal 10 5 5 3 4" xfId="19364"/>
    <cellStyle name="Normal 10 5 5 4" xfId="1791"/>
    <cellStyle name="Normal 10 5 5 4 2" xfId="11162"/>
    <cellStyle name="Normal 10 5 5 4 3" xfId="21166"/>
    <cellStyle name="Normal 10 5 5 5" xfId="6738"/>
    <cellStyle name="Normal 10 5 5 5 2" xfId="15565"/>
    <cellStyle name="Normal 10 5 5 5 3" xfId="25816"/>
    <cellStyle name="Normal 10 5 5 6" xfId="8184"/>
    <cellStyle name="Normal 10 5 5 6 2" xfId="20574"/>
    <cellStyle name="Normal 10 5 5 7" xfId="16159"/>
    <cellStyle name="Normal 10 5 6" xfId="2686"/>
    <cellStyle name="Normal 10 5 6 2" xfId="12005"/>
    <cellStyle name="Normal 10 5 6 2 2" xfId="22049"/>
    <cellStyle name="Normal 10 5 6 3" xfId="8405"/>
    <cellStyle name="Normal 10 5 6 4" xfId="17042"/>
    <cellStyle name="Normal 10 5 7" xfId="4237"/>
    <cellStyle name="Normal 10 5 7 2" xfId="13077"/>
    <cellStyle name="Normal 10 5 7 2 2" xfId="23328"/>
    <cellStyle name="Normal 10 5 7 3" xfId="9498"/>
    <cellStyle name="Normal 10 5 7 4" xfId="18321"/>
    <cellStyle name="Normal 10 5 8" xfId="1509"/>
    <cellStyle name="Normal 10 5 8 2" xfId="10888"/>
    <cellStyle name="Normal 10 5 8 3" xfId="20892"/>
    <cellStyle name="Normal 10 5 9" xfId="5695"/>
    <cellStyle name="Normal 10 5 9 2" xfId="14522"/>
    <cellStyle name="Normal 10 5 9 3" xfId="24773"/>
    <cellStyle name="Normal 10 5_Degree data" xfId="3840"/>
    <cellStyle name="Normal 10 6" xfId="708"/>
    <cellStyle name="Normal 10 6 2" xfId="3196"/>
    <cellStyle name="Normal 10 6 2 2" xfId="12341"/>
    <cellStyle name="Normal 10 6 2 2 2" xfId="22559"/>
    <cellStyle name="Normal 10 6 2 3" xfId="8763"/>
    <cellStyle name="Normal 10 6 2 4" xfId="17552"/>
    <cellStyle name="Normal 10 6 3" xfId="4525"/>
    <cellStyle name="Normal 10 6 3 2" xfId="13365"/>
    <cellStyle name="Normal 10 6 3 2 2" xfId="23616"/>
    <cellStyle name="Normal 10 6 3 3" xfId="9786"/>
    <cellStyle name="Normal 10 6 3 4" xfId="18609"/>
    <cellStyle name="Normal 10 6 4" xfId="2305"/>
    <cellStyle name="Normal 10 6 4 2" xfId="11672"/>
    <cellStyle name="Normal 10 6 4 3" xfId="21676"/>
    <cellStyle name="Normal 10 6 5" xfId="5983"/>
    <cellStyle name="Normal 10 6 5 2" xfId="14810"/>
    <cellStyle name="Normal 10 6 5 3" xfId="25061"/>
    <cellStyle name="Normal 10 6 6" xfId="7427"/>
    <cellStyle name="Normal 10 6 6 2" xfId="20158"/>
    <cellStyle name="Normal 10 6 7" xfId="16669"/>
    <cellStyle name="Normal 10 7" xfId="1051"/>
    <cellStyle name="Normal 10 7 2" xfId="3482"/>
    <cellStyle name="Normal 10 7 2 2" xfId="12620"/>
    <cellStyle name="Normal 10 7 2 2 2" xfId="22839"/>
    <cellStyle name="Normal 10 7 2 3" xfId="9042"/>
    <cellStyle name="Normal 10 7 2 4" xfId="17832"/>
    <cellStyle name="Normal 10 7 3" xfId="4874"/>
    <cellStyle name="Normal 10 7 3 2" xfId="13713"/>
    <cellStyle name="Normal 10 7 3 2 2" xfId="23964"/>
    <cellStyle name="Normal 10 7 3 3" xfId="10134"/>
    <cellStyle name="Normal 10 7 3 4" xfId="18957"/>
    <cellStyle name="Normal 10 7 4" xfId="2595"/>
    <cellStyle name="Normal 10 7 4 2" xfId="11961"/>
    <cellStyle name="Normal 10 7 4 3" xfId="21965"/>
    <cellStyle name="Normal 10 7 5" xfId="6331"/>
    <cellStyle name="Normal 10 7 5 2" xfId="15158"/>
    <cellStyle name="Normal 10 7 5 3" xfId="25409"/>
    <cellStyle name="Normal 10 7 6" xfId="7777"/>
    <cellStyle name="Normal 10 7 6 2" xfId="20438"/>
    <cellStyle name="Normal 10 7 7" xfId="16958"/>
    <cellStyle name="Normal 10 8" xfId="3913"/>
    <cellStyle name="Normal 10 8 2" xfId="5145"/>
    <cellStyle name="Normal 10 8 2 2" xfId="13984"/>
    <cellStyle name="Normal 10 8 2 2 2" xfId="24235"/>
    <cellStyle name="Normal 10 8 2 3" xfId="10405"/>
    <cellStyle name="Normal 10 8 2 4" xfId="19228"/>
    <cellStyle name="Normal 10 8 3" xfId="6602"/>
    <cellStyle name="Normal 10 8 3 2" xfId="15429"/>
    <cellStyle name="Normal 10 8 3 3" xfId="25680"/>
    <cellStyle name="Normal 10 8 4" xfId="8048"/>
    <cellStyle name="Normal 10 8 4 2" xfId="23185"/>
    <cellStyle name="Normal 10 8 5" xfId="18178"/>
    <cellStyle name="Normal 10 9" xfId="4098"/>
    <cellStyle name="Normal 10 9 2" xfId="5559"/>
    <cellStyle name="Normal 10 9 2 2" xfId="14386"/>
    <cellStyle name="Normal 10 9 2 3" xfId="24637"/>
    <cellStyle name="Normal 10 9 3" xfId="7003"/>
    <cellStyle name="Normal 10 9 3 2" xfId="23189"/>
    <cellStyle name="Normal 10 9 4" xfId="18182"/>
    <cellStyle name="Normal 10_Degree data" xfId="3829"/>
    <cellStyle name="Normal 100" xfId="5509"/>
    <cellStyle name="Normal 101" xfId="6947"/>
    <cellStyle name="Normal 101 2" xfId="10761"/>
    <cellStyle name="Normal 102" xfId="6949"/>
    <cellStyle name="Normal 102 2" xfId="10778"/>
    <cellStyle name="Normal 103" xfId="15774"/>
    <cellStyle name="Normal 104" xfId="6948"/>
    <cellStyle name="Normal 105" xfId="6984"/>
    <cellStyle name="Normal 106" xfId="15775"/>
    <cellStyle name="Normal 11" xfId="22"/>
    <cellStyle name="Normal 12" xfId="13"/>
    <cellStyle name="Normal 12 2" xfId="43"/>
    <cellStyle name="Normal 12 3" xfId="160"/>
    <cellStyle name="Normal 13" xfId="33"/>
    <cellStyle name="Normal 13 2" xfId="44"/>
    <cellStyle name="Normal 13 3" xfId="72"/>
    <cellStyle name="Normal 13 3 2" xfId="130"/>
    <cellStyle name="Normal 13 3 3" xfId="232"/>
    <cellStyle name="Normal 14" xfId="11"/>
    <cellStyle name="Normal 14 2" xfId="42"/>
    <cellStyle name="Normal 14 3" xfId="159"/>
    <cellStyle name="Normal 15" xfId="12"/>
    <cellStyle name="Normal 15 2" xfId="735"/>
    <cellStyle name="Normal 15 2 2" xfId="1395"/>
    <cellStyle name="Normal 15 2 2 2" xfId="3826"/>
    <cellStyle name="Normal 15 2 2 2 2" xfId="12964"/>
    <cellStyle name="Normal 15 2 2 2 2 2" xfId="23183"/>
    <cellStyle name="Normal 15 2 2 2 3" xfId="9385"/>
    <cellStyle name="Normal 15 2 2 2 4" xfId="18176"/>
    <cellStyle name="Normal 15 2 2 3" xfId="4901"/>
    <cellStyle name="Normal 15 2 2 3 2" xfId="13740"/>
    <cellStyle name="Normal 15 2 2 3 2 2" xfId="23991"/>
    <cellStyle name="Normal 15 2 2 3 3" xfId="10161"/>
    <cellStyle name="Normal 15 2 2 3 4" xfId="18984"/>
    <cellStyle name="Normal 15 2 2 4" xfId="2592"/>
    <cellStyle name="Normal 15 2 2 4 2" xfId="11958"/>
    <cellStyle name="Normal 15 2 2 4 3" xfId="21962"/>
    <cellStyle name="Normal 15 2 2 5" xfId="6358"/>
    <cellStyle name="Normal 15 2 2 5 2" xfId="15185"/>
    <cellStyle name="Normal 15 2 2 5 3" xfId="25436"/>
    <cellStyle name="Normal 15 2 2 6" xfId="7804"/>
    <cellStyle name="Normal 15 2 2 6 2" xfId="20782"/>
    <cellStyle name="Normal 15 2 2 7" xfId="16955"/>
    <cellStyle name="Normal 15 2 3" xfId="3223"/>
    <cellStyle name="Normal 15 2 3 2" xfId="5489"/>
    <cellStyle name="Normal 15 2 3 2 2" xfId="14328"/>
    <cellStyle name="Normal 15 2 3 2 2 2" xfId="24579"/>
    <cellStyle name="Normal 15 2 3 2 3" xfId="10749"/>
    <cellStyle name="Normal 15 2 3 2 4" xfId="19572"/>
    <cellStyle name="Normal 15 2 3 3" xfId="6946"/>
    <cellStyle name="Normal 15 2 3 3 2" xfId="15773"/>
    <cellStyle name="Normal 15 2 3 3 3" xfId="26024"/>
    <cellStyle name="Normal 15 2 3 4" xfId="8392"/>
    <cellStyle name="Normal 15 2 3 4 2" xfId="22586"/>
    <cellStyle name="Normal 15 2 3 5" xfId="17579"/>
    <cellStyle name="Normal 15 2 4" xfId="4552"/>
    <cellStyle name="Normal 15 2 4 2" xfId="13392"/>
    <cellStyle name="Normal 15 2 4 2 2" xfId="23643"/>
    <cellStyle name="Normal 15 2 4 3" xfId="9813"/>
    <cellStyle name="Normal 15 2 4 4" xfId="18636"/>
    <cellStyle name="Normal 15 2 5" xfId="2332"/>
    <cellStyle name="Normal 15 2 5 2" xfId="11699"/>
    <cellStyle name="Normal 15 2 5 3" xfId="21703"/>
    <cellStyle name="Normal 15 2 6" xfId="6010"/>
    <cellStyle name="Normal 15 2 6 2" xfId="14837"/>
    <cellStyle name="Normal 15 2 6 3" xfId="25088"/>
    <cellStyle name="Normal 15 2 7" xfId="7454"/>
    <cellStyle name="Normal 15 2 7 2" xfId="20185"/>
    <cellStyle name="Normal 15 2 8" xfId="16696"/>
    <cellStyle name="Normal 15 2_Degree data" xfId="3938"/>
    <cellStyle name="Normal 16" xfId="73"/>
    <cellStyle name="Normal 17" xfId="74"/>
    <cellStyle name="Normal 18" xfId="75"/>
    <cellStyle name="Normal 19" xfId="108"/>
    <cellStyle name="Normal 19 2" xfId="132"/>
    <cellStyle name="Normal 19 3" xfId="127"/>
    <cellStyle name="Normal 2" xfId="10"/>
    <cellStyle name="Normal 2 2" xfId="36"/>
    <cellStyle name="Normal 2 2 2" xfId="58"/>
    <cellStyle name="Normal 2 3" xfId="57"/>
    <cellStyle name="Normal 2 3 2" xfId="59"/>
    <cellStyle name="Normal 2 4" xfId="69"/>
    <cellStyle name="Normal 2 4 2" xfId="297"/>
    <cellStyle name="Normal 2 5" xfId="60"/>
    <cellStyle name="Normal 2 5 10" xfId="309"/>
    <cellStyle name="Normal 2 5 10 2" xfId="737"/>
    <cellStyle name="Normal 2 5 10 2 2" xfId="3225"/>
    <cellStyle name="Normal 2 5 10 2 2 2" xfId="12369"/>
    <cellStyle name="Normal 2 5 10 2 2 2 2" xfId="22588"/>
    <cellStyle name="Normal 2 5 10 2 2 3" xfId="8791"/>
    <cellStyle name="Normal 2 5 10 2 2 4" xfId="17581"/>
    <cellStyle name="Normal 2 5 10 2 3" xfId="4554"/>
    <cellStyle name="Normal 2 5 10 2 3 2" xfId="13394"/>
    <cellStyle name="Normal 2 5 10 2 3 2 2" xfId="23645"/>
    <cellStyle name="Normal 2 5 10 2 3 3" xfId="9815"/>
    <cellStyle name="Normal 2 5 10 2 3 4" xfId="18638"/>
    <cellStyle name="Normal 2 5 10 2 4" xfId="2334"/>
    <cellStyle name="Normal 2 5 10 2 4 2" xfId="11701"/>
    <cellStyle name="Normal 2 5 10 2 4 3" xfId="21705"/>
    <cellStyle name="Normal 2 5 10 2 5" xfId="6012"/>
    <cellStyle name="Normal 2 5 10 2 5 2" xfId="14839"/>
    <cellStyle name="Normal 2 5 10 2 5 3" xfId="25090"/>
    <cellStyle name="Normal 2 5 10 2 6" xfId="7456"/>
    <cellStyle name="Normal 2 5 10 2 6 2" xfId="20187"/>
    <cellStyle name="Normal 2 5 10 2 7" xfId="16698"/>
    <cellStyle name="Normal 2 5 10 3" xfId="1081"/>
    <cellStyle name="Normal 2 5 10 3 2" xfId="3512"/>
    <cellStyle name="Normal 2 5 10 3 2 2" xfId="12650"/>
    <cellStyle name="Normal 2 5 10 3 2 2 2" xfId="22869"/>
    <cellStyle name="Normal 2 5 10 3 2 3" xfId="9072"/>
    <cellStyle name="Normal 2 5 10 3 2 4" xfId="17862"/>
    <cellStyle name="Normal 2 5 10 3 3" xfId="4903"/>
    <cellStyle name="Normal 2 5 10 3 3 2" xfId="13742"/>
    <cellStyle name="Normal 2 5 10 3 3 2 2" xfId="23993"/>
    <cellStyle name="Normal 2 5 10 3 3 3" xfId="10163"/>
    <cellStyle name="Normal 2 5 10 3 3 4" xfId="18986"/>
    <cellStyle name="Normal 2 5 10 3 4" xfId="2586"/>
    <cellStyle name="Normal 2 5 10 3 4 2" xfId="11952"/>
    <cellStyle name="Normal 2 5 10 3 4 3" xfId="21956"/>
    <cellStyle name="Normal 2 5 10 3 5" xfId="6360"/>
    <cellStyle name="Normal 2 5 10 3 5 2" xfId="15187"/>
    <cellStyle name="Normal 2 5 10 3 5 3" xfId="25438"/>
    <cellStyle name="Normal 2 5 10 3 6" xfId="7806"/>
    <cellStyle name="Normal 2 5 10 3 6 2" xfId="20468"/>
    <cellStyle name="Normal 2 5 10 3 7" xfId="16949"/>
    <cellStyle name="Normal 2 5 10 4" xfId="2797"/>
    <cellStyle name="Normal 2 5 10 4 2" xfId="5175"/>
    <cellStyle name="Normal 2 5 10 4 2 2" xfId="14014"/>
    <cellStyle name="Normal 2 5 10 4 2 2 2" xfId="24265"/>
    <cellStyle name="Normal 2 5 10 4 2 3" xfId="10435"/>
    <cellStyle name="Normal 2 5 10 4 2 4" xfId="19258"/>
    <cellStyle name="Normal 2 5 10 4 3" xfId="6632"/>
    <cellStyle name="Normal 2 5 10 4 3 2" xfId="15459"/>
    <cellStyle name="Normal 2 5 10 4 3 3" xfId="25710"/>
    <cellStyle name="Normal 2 5 10 4 4" xfId="8078"/>
    <cellStyle name="Normal 2 5 10 4 4 2" xfId="22160"/>
    <cellStyle name="Normal 2 5 10 4 5" xfId="17153"/>
    <cellStyle name="Normal 2 5 10 5" xfId="4129"/>
    <cellStyle name="Normal 2 5 10 5 2" xfId="12969"/>
    <cellStyle name="Normal 2 5 10 5 2 2" xfId="23220"/>
    <cellStyle name="Normal 2 5 10 5 3" xfId="9390"/>
    <cellStyle name="Normal 2 5 10 5 4" xfId="18213"/>
    <cellStyle name="Normal 2 5 10 6" xfId="1906"/>
    <cellStyle name="Normal 2 5 10 6 2" xfId="11273"/>
    <cellStyle name="Normal 2 5 10 6 3" xfId="21277"/>
    <cellStyle name="Normal 2 5 10 7" xfId="5589"/>
    <cellStyle name="Normal 2 5 10 7 2" xfId="14416"/>
    <cellStyle name="Normal 2 5 10 7 3" xfId="24667"/>
    <cellStyle name="Normal 2 5 10 8" xfId="7033"/>
    <cellStyle name="Normal 2 5 10 8 2" xfId="19759"/>
    <cellStyle name="Normal 2 5 10 9" xfId="16270"/>
    <cellStyle name="Normal 2 5 10_Degree data" xfId="3935"/>
    <cellStyle name="Normal 2 5 11" xfId="736"/>
    <cellStyle name="Normal 2 5 11 2" xfId="3224"/>
    <cellStyle name="Normal 2 5 11 2 2" xfId="12368"/>
    <cellStyle name="Normal 2 5 11 2 2 2" xfId="22587"/>
    <cellStyle name="Normal 2 5 11 2 3" xfId="8790"/>
    <cellStyle name="Normal 2 5 11 2 4" xfId="17580"/>
    <cellStyle name="Normal 2 5 11 3" xfId="4553"/>
    <cellStyle name="Normal 2 5 11 3 2" xfId="13393"/>
    <cellStyle name="Normal 2 5 11 3 2 2" xfId="23644"/>
    <cellStyle name="Normal 2 5 11 3 3" xfId="9814"/>
    <cellStyle name="Normal 2 5 11 3 4" xfId="18637"/>
    <cellStyle name="Normal 2 5 11 4" xfId="2333"/>
    <cellStyle name="Normal 2 5 11 4 2" xfId="11700"/>
    <cellStyle name="Normal 2 5 11 4 3" xfId="21704"/>
    <cellStyle name="Normal 2 5 11 5" xfId="6011"/>
    <cellStyle name="Normal 2 5 11 5 2" xfId="14838"/>
    <cellStyle name="Normal 2 5 11 5 3" xfId="25089"/>
    <cellStyle name="Normal 2 5 11 6" xfId="7455"/>
    <cellStyle name="Normal 2 5 11 6 2" xfId="20186"/>
    <cellStyle name="Normal 2 5 11 7" xfId="16697"/>
    <cellStyle name="Normal 2 5 12" xfId="1049"/>
    <cellStyle name="Normal 2 5 12 2" xfId="3480"/>
    <cellStyle name="Normal 2 5 12 2 2" xfId="12618"/>
    <cellStyle name="Normal 2 5 12 2 2 2" xfId="22837"/>
    <cellStyle name="Normal 2 5 12 2 3" xfId="9040"/>
    <cellStyle name="Normal 2 5 12 2 4" xfId="17830"/>
    <cellStyle name="Normal 2 5 12 3" xfId="4902"/>
    <cellStyle name="Normal 2 5 12 3 2" xfId="13741"/>
    <cellStyle name="Normal 2 5 12 3 2 2" xfId="23992"/>
    <cellStyle name="Normal 2 5 12 3 3" xfId="10162"/>
    <cellStyle name="Normal 2 5 12 3 4" xfId="18985"/>
    <cellStyle name="Normal 2 5 12 4" xfId="1723"/>
    <cellStyle name="Normal 2 5 12 4 2" xfId="11102"/>
    <cellStyle name="Normal 2 5 12 4 3" xfId="21106"/>
    <cellStyle name="Normal 2 5 12 5" xfId="6359"/>
    <cellStyle name="Normal 2 5 12 5 2" xfId="15186"/>
    <cellStyle name="Normal 2 5 12 5 3" xfId="25437"/>
    <cellStyle name="Normal 2 5 12 6" xfId="7805"/>
    <cellStyle name="Normal 2 5 12 6 2" xfId="20436"/>
    <cellStyle name="Normal 2 5 12 7" xfId="16099"/>
    <cellStyle name="Normal 2 5 13" xfId="2623"/>
    <cellStyle name="Normal 2 5 13 2" xfId="5143"/>
    <cellStyle name="Normal 2 5 13 2 2" xfId="13982"/>
    <cellStyle name="Normal 2 5 13 2 2 2" xfId="24233"/>
    <cellStyle name="Normal 2 5 13 2 3" xfId="10403"/>
    <cellStyle name="Normal 2 5 13 2 4" xfId="19226"/>
    <cellStyle name="Normal 2 5 13 3" xfId="6600"/>
    <cellStyle name="Normal 2 5 13 3 2" xfId="15427"/>
    <cellStyle name="Normal 2 5 13 3 3" xfId="25678"/>
    <cellStyle name="Normal 2 5 13 4" xfId="8046"/>
    <cellStyle name="Normal 2 5 13 4 2" xfId="21989"/>
    <cellStyle name="Normal 2 5 13 5" xfId="16982"/>
    <cellStyle name="Normal 2 5 14" xfId="4096"/>
    <cellStyle name="Normal 2 5 14 2" xfId="5557"/>
    <cellStyle name="Normal 2 5 14 2 2" xfId="14384"/>
    <cellStyle name="Normal 2 5 14 2 3" xfId="24635"/>
    <cellStyle name="Normal 2 5 14 3" xfId="7001"/>
    <cellStyle name="Normal 2 5 14 3 2" xfId="23187"/>
    <cellStyle name="Normal 2 5 14 4" xfId="18180"/>
    <cellStyle name="Normal 2 5 15" xfId="1402"/>
    <cellStyle name="Normal 2 5 15 2" xfId="10782"/>
    <cellStyle name="Normal 2 5 15 3" xfId="20786"/>
    <cellStyle name="Normal 2 5 16" xfId="5515"/>
    <cellStyle name="Normal 2 5 16 2" xfId="14344"/>
    <cellStyle name="Normal 2 5 16 3" xfId="24595"/>
    <cellStyle name="Normal 2 5 17" xfId="6956"/>
    <cellStyle name="Normal 2 5 17 2" xfId="19589"/>
    <cellStyle name="Normal 2 5 18" xfId="15779"/>
    <cellStyle name="Normal 2 5 2" xfId="125"/>
    <cellStyle name="Normal 2 5 2 10" xfId="2637"/>
    <cellStyle name="Normal 2 5 2 10 2" xfId="5151"/>
    <cellStyle name="Normal 2 5 2 10 2 2" xfId="13990"/>
    <cellStyle name="Normal 2 5 2 10 2 2 2" xfId="24241"/>
    <cellStyle name="Normal 2 5 2 10 2 3" xfId="10411"/>
    <cellStyle name="Normal 2 5 2 10 2 4" xfId="19234"/>
    <cellStyle name="Normal 2 5 2 10 3" xfId="6608"/>
    <cellStyle name="Normal 2 5 2 10 3 2" xfId="15435"/>
    <cellStyle name="Normal 2 5 2 10 3 3" xfId="25686"/>
    <cellStyle name="Normal 2 5 2 10 4" xfId="8054"/>
    <cellStyle name="Normal 2 5 2 10 4 2" xfId="22002"/>
    <cellStyle name="Normal 2 5 2 10 5" xfId="16995"/>
    <cellStyle name="Normal 2 5 2 11" xfId="4105"/>
    <cellStyle name="Normal 2 5 2 11 2" xfId="5565"/>
    <cellStyle name="Normal 2 5 2 11 2 2" xfId="14392"/>
    <cellStyle name="Normal 2 5 2 11 2 3" xfId="24643"/>
    <cellStyle name="Normal 2 5 2 11 3" xfId="7009"/>
    <cellStyle name="Normal 2 5 2 11 3 2" xfId="23196"/>
    <cellStyle name="Normal 2 5 2 11 4" xfId="18189"/>
    <cellStyle name="Normal 2 5 2 12" xfId="1411"/>
    <cellStyle name="Normal 2 5 2 12 2" xfId="10790"/>
    <cellStyle name="Normal 2 5 2 12 3" xfId="20794"/>
    <cellStyle name="Normal 2 5 2 13" xfId="5523"/>
    <cellStyle name="Normal 2 5 2 13 2" xfId="14352"/>
    <cellStyle name="Normal 2 5 2 13 3" xfId="24603"/>
    <cellStyle name="Normal 2 5 2 14" xfId="6965"/>
    <cellStyle name="Normal 2 5 2 14 2" xfId="19602"/>
    <cellStyle name="Normal 2 5 2 15" xfId="15787"/>
    <cellStyle name="Normal 2 5 2 2" xfId="169"/>
    <cellStyle name="Normal 2 5 2 2 10" xfId="1436"/>
    <cellStyle name="Normal 2 5 2 2 10 2" xfId="10815"/>
    <cellStyle name="Normal 2 5 2 2 10 3" xfId="20819"/>
    <cellStyle name="Normal 2 5 2 2 11" xfId="5545"/>
    <cellStyle name="Normal 2 5 2 2 11 2" xfId="14374"/>
    <cellStyle name="Normal 2 5 2 2 11 3" xfId="24625"/>
    <cellStyle name="Normal 2 5 2 2 12" xfId="6991"/>
    <cellStyle name="Normal 2 5 2 2 12 2" xfId="19632"/>
    <cellStyle name="Normal 2 5 2 2 13" xfId="15812"/>
    <cellStyle name="Normal 2 5 2 2 2" xfId="216"/>
    <cellStyle name="Normal 2 5 2 2 2 10" xfId="7166"/>
    <cellStyle name="Normal 2 5 2 2 2 10 2" xfId="19675"/>
    <cellStyle name="Normal 2 5 2 2 2 11" xfId="15912"/>
    <cellStyle name="Normal 2 5 2 2 2 2" xfId="542"/>
    <cellStyle name="Normal 2 5 2 2 2 2 2" xfId="741"/>
    <cellStyle name="Normal 2 5 2 2 2 2 2 2" xfId="3229"/>
    <cellStyle name="Normal 2 5 2 2 2 2 2 2 2" xfId="12373"/>
    <cellStyle name="Normal 2 5 2 2 2 2 2 2 2 2" xfId="22592"/>
    <cellStyle name="Normal 2 5 2 2 2 2 2 2 3" xfId="8795"/>
    <cellStyle name="Normal 2 5 2 2 2 2 2 2 4" xfId="17585"/>
    <cellStyle name="Normal 2 5 2 2 2 2 2 3" xfId="4558"/>
    <cellStyle name="Normal 2 5 2 2 2 2 2 3 2" xfId="13398"/>
    <cellStyle name="Normal 2 5 2 2 2 2 2 3 2 2" xfId="23649"/>
    <cellStyle name="Normal 2 5 2 2 2 2 2 3 3" xfId="9819"/>
    <cellStyle name="Normal 2 5 2 2 2 2 2 3 4" xfId="18642"/>
    <cellStyle name="Normal 2 5 2 2 2 2 2 4" xfId="2338"/>
    <cellStyle name="Normal 2 5 2 2 2 2 2 4 2" xfId="11705"/>
    <cellStyle name="Normal 2 5 2 2 2 2 2 4 3" xfId="21709"/>
    <cellStyle name="Normal 2 5 2 2 2 2 2 5" xfId="6016"/>
    <cellStyle name="Normal 2 5 2 2 2 2 2 5 2" xfId="14843"/>
    <cellStyle name="Normal 2 5 2 2 2 2 2 5 3" xfId="25094"/>
    <cellStyle name="Normal 2 5 2 2 2 2 2 6" xfId="7460"/>
    <cellStyle name="Normal 2 5 2 2 2 2 2 6 2" xfId="20191"/>
    <cellStyle name="Normal 2 5 2 2 2 2 2 7" xfId="16702"/>
    <cellStyle name="Normal 2 5 2 2 2 2 3" xfId="1314"/>
    <cellStyle name="Normal 2 5 2 2 2 2 3 2" xfId="3745"/>
    <cellStyle name="Normal 2 5 2 2 2 2 3 2 2" xfId="12883"/>
    <cellStyle name="Normal 2 5 2 2 2 2 3 2 2 2" xfId="23102"/>
    <cellStyle name="Normal 2 5 2 2 2 2 3 2 3" xfId="9304"/>
    <cellStyle name="Normal 2 5 2 2 2 2 3 2 4" xfId="18095"/>
    <cellStyle name="Normal 2 5 2 2 2 2 3 3" xfId="4907"/>
    <cellStyle name="Normal 2 5 2 2 2 2 3 3 2" xfId="13746"/>
    <cellStyle name="Normal 2 5 2 2 2 2 3 3 2 2" xfId="23997"/>
    <cellStyle name="Normal 2 5 2 2 2 2 3 3 3" xfId="10167"/>
    <cellStyle name="Normal 2 5 2 2 2 2 3 3 4" xfId="18990"/>
    <cellStyle name="Normal 2 5 2 2 2 2 3 4" xfId="2139"/>
    <cellStyle name="Normal 2 5 2 2 2 2 3 4 2" xfId="11506"/>
    <cellStyle name="Normal 2 5 2 2 2 2 3 4 3" xfId="21510"/>
    <cellStyle name="Normal 2 5 2 2 2 2 3 5" xfId="6364"/>
    <cellStyle name="Normal 2 5 2 2 2 2 3 5 2" xfId="15191"/>
    <cellStyle name="Normal 2 5 2 2 2 2 3 5 3" xfId="25442"/>
    <cellStyle name="Normal 2 5 2 2 2 2 3 6" xfId="7810"/>
    <cellStyle name="Normal 2 5 2 2 2 2 3 6 2" xfId="20701"/>
    <cellStyle name="Normal 2 5 2 2 2 2 3 7" xfId="16503"/>
    <cellStyle name="Normal 2 5 2 2 2 2 4" xfId="3030"/>
    <cellStyle name="Normal 2 5 2 2 2 2 4 2" xfId="5408"/>
    <cellStyle name="Normal 2 5 2 2 2 2 4 2 2" xfId="14247"/>
    <cellStyle name="Normal 2 5 2 2 2 2 4 2 2 2" xfId="24498"/>
    <cellStyle name="Normal 2 5 2 2 2 2 4 2 3" xfId="10668"/>
    <cellStyle name="Normal 2 5 2 2 2 2 4 2 4" xfId="19491"/>
    <cellStyle name="Normal 2 5 2 2 2 2 4 3" xfId="6865"/>
    <cellStyle name="Normal 2 5 2 2 2 2 4 3 2" xfId="15692"/>
    <cellStyle name="Normal 2 5 2 2 2 2 4 3 3" xfId="25943"/>
    <cellStyle name="Normal 2 5 2 2 2 2 4 4" xfId="8311"/>
    <cellStyle name="Normal 2 5 2 2 2 2 4 4 2" xfId="22393"/>
    <cellStyle name="Normal 2 5 2 2 2 2 4 5" xfId="17386"/>
    <cellStyle name="Normal 2 5 2 2 2 2 5" xfId="4364"/>
    <cellStyle name="Normal 2 5 2 2 2 2 5 2" xfId="13204"/>
    <cellStyle name="Normal 2 5 2 2 2 2 5 2 2" xfId="23455"/>
    <cellStyle name="Normal 2 5 2 2 2 2 5 3" xfId="9625"/>
    <cellStyle name="Normal 2 5 2 2 2 2 5 4" xfId="18448"/>
    <cellStyle name="Normal 2 5 2 2 2 2 6" xfId="1636"/>
    <cellStyle name="Normal 2 5 2 2 2 2 6 2" xfId="11015"/>
    <cellStyle name="Normal 2 5 2 2 2 2 6 3" xfId="21019"/>
    <cellStyle name="Normal 2 5 2 2 2 2 7" xfId="5822"/>
    <cellStyle name="Normal 2 5 2 2 2 2 7 2" xfId="14649"/>
    <cellStyle name="Normal 2 5 2 2 2 2 7 3" xfId="24900"/>
    <cellStyle name="Normal 2 5 2 2 2 2 8" xfId="7266"/>
    <cellStyle name="Normal 2 5 2 2 2 2 8 2" xfId="19992"/>
    <cellStyle name="Normal 2 5 2 2 2 2 9" xfId="16012"/>
    <cellStyle name="Normal 2 5 2 2 2 2_Degree data" xfId="3870"/>
    <cellStyle name="Normal 2 5 2 2 2 3" xfId="442"/>
    <cellStyle name="Normal 2 5 2 2 2 3 2" xfId="2930"/>
    <cellStyle name="Normal 2 5 2 2 2 3 2 2" xfId="12220"/>
    <cellStyle name="Normal 2 5 2 2 2 3 2 2 2" xfId="22293"/>
    <cellStyle name="Normal 2 5 2 2 2 3 2 3" xfId="8521"/>
    <cellStyle name="Normal 2 5 2 2 2 3 2 4" xfId="17286"/>
    <cellStyle name="Normal 2 5 2 2 2 3 3" xfId="4557"/>
    <cellStyle name="Normal 2 5 2 2 2 3 3 2" xfId="13397"/>
    <cellStyle name="Normal 2 5 2 2 2 3 3 2 2" xfId="23648"/>
    <cellStyle name="Normal 2 5 2 2 2 3 3 3" xfId="9818"/>
    <cellStyle name="Normal 2 5 2 2 2 3 3 4" xfId="18641"/>
    <cellStyle name="Normal 2 5 2 2 2 3 4" xfId="2039"/>
    <cellStyle name="Normal 2 5 2 2 2 3 4 2" xfId="11406"/>
    <cellStyle name="Normal 2 5 2 2 2 3 4 3" xfId="21410"/>
    <cellStyle name="Normal 2 5 2 2 2 3 5" xfId="6015"/>
    <cellStyle name="Normal 2 5 2 2 2 3 5 2" xfId="14842"/>
    <cellStyle name="Normal 2 5 2 2 2 3 5 3" xfId="25093"/>
    <cellStyle name="Normal 2 5 2 2 2 3 6" xfId="7459"/>
    <cellStyle name="Normal 2 5 2 2 2 3 6 2" xfId="19892"/>
    <cellStyle name="Normal 2 5 2 2 2 3 7" xfId="16403"/>
    <cellStyle name="Normal 2 5 2 2 2 4" xfId="740"/>
    <cellStyle name="Normal 2 5 2 2 2 4 2" xfId="3228"/>
    <cellStyle name="Normal 2 5 2 2 2 4 2 2" xfId="12372"/>
    <cellStyle name="Normal 2 5 2 2 2 4 2 2 2" xfId="22591"/>
    <cellStyle name="Normal 2 5 2 2 2 4 2 3" xfId="8794"/>
    <cellStyle name="Normal 2 5 2 2 2 4 2 4" xfId="17584"/>
    <cellStyle name="Normal 2 5 2 2 2 4 3" xfId="4906"/>
    <cellStyle name="Normal 2 5 2 2 2 4 3 2" xfId="13745"/>
    <cellStyle name="Normal 2 5 2 2 2 4 3 2 2" xfId="23996"/>
    <cellStyle name="Normal 2 5 2 2 2 4 3 3" xfId="10166"/>
    <cellStyle name="Normal 2 5 2 2 2 4 3 4" xfId="18989"/>
    <cellStyle name="Normal 2 5 2 2 2 4 4" xfId="2337"/>
    <cellStyle name="Normal 2 5 2 2 2 4 4 2" xfId="11704"/>
    <cellStyle name="Normal 2 5 2 2 2 4 4 3" xfId="21708"/>
    <cellStyle name="Normal 2 5 2 2 2 4 5" xfId="6363"/>
    <cellStyle name="Normal 2 5 2 2 2 4 5 2" xfId="15190"/>
    <cellStyle name="Normal 2 5 2 2 2 4 5 3" xfId="25441"/>
    <cellStyle name="Normal 2 5 2 2 2 4 6" xfId="7809"/>
    <cellStyle name="Normal 2 5 2 2 2 4 6 2" xfId="20190"/>
    <cellStyle name="Normal 2 5 2 2 2 4 7" xfId="16701"/>
    <cellStyle name="Normal 2 5 2 2 2 5" xfId="1214"/>
    <cellStyle name="Normal 2 5 2 2 2 5 2" xfId="3645"/>
    <cellStyle name="Normal 2 5 2 2 2 5 2 2" xfId="12783"/>
    <cellStyle name="Normal 2 5 2 2 2 5 2 2 2" xfId="23002"/>
    <cellStyle name="Normal 2 5 2 2 2 5 2 3" xfId="9204"/>
    <cellStyle name="Normal 2 5 2 2 2 5 2 4" xfId="17995"/>
    <cellStyle name="Normal 2 5 2 2 2 5 3" xfId="5308"/>
    <cellStyle name="Normal 2 5 2 2 2 5 3 2" xfId="14147"/>
    <cellStyle name="Normal 2 5 2 2 2 5 3 2 2" xfId="24398"/>
    <cellStyle name="Normal 2 5 2 2 2 5 3 3" xfId="10568"/>
    <cellStyle name="Normal 2 5 2 2 2 5 3 4" xfId="19391"/>
    <cellStyle name="Normal 2 5 2 2 2 5 4" xfId="1819"/>
    <cellStyle name="Normal 2 5 2 2 2 5 4 2" xfId="11189"/>
    <cellStyle name="Normal 2 5 2 2 2 5 4 3" xfId="21193"/>
    <cellStyle name="Normal 2 5 2 2 2 5 5" xfId="6765"/>
    <cellStyle name="Normal 2 5 2 2 2 5 5 2" xfId="15592"/>
    <cellStyle name="Normal 2 5 2 2 2 5 5 3" xfId="25843"/>
    <cellStyle name="Normal 2 5 2 2 2 5 6" xfId="8211"/>
    <cellStyle name="Normal 2 5 2 2 2 5 6 2" xfId="20601"/>
    <cellStyle name="Normal 2 5 2 2 2 5 7" xfId="16186"/>
    <cellStyle name="Normal 2 5 2 2 2 6" xfId="2713"/>
    <cellStyle name="Normal 2 5 2 2 2 6 2" xfId="12032"/>
    <cellStyle name="Normal 2 5 2 2 2 6 2 2" xfId="22076"/>
    <cellStyle name="Normal 2 5 2 2 2 6 3" xfId="8441"/>
    <cellStyle name="Normal 2 5 2 2 2 6 4" xfId="17069"/>
    <cellStyle name="Normal 2 5 2 2 2 7" xfId="4264"/>
    <cellStyle name="Normal 2 5 2 2 2 7 2" xfId="13104"/>
    <cellStyle name="Normal 2 5 2 2 2 7 2 2" xfId="23355"/>
    <cellStyle name="Normal 2 5 2 2 2 7 3" xfId="9525"/>
    <cellStyle name="Normal 2 5 2 2 2 7 4" xfId="18348"/>
    <cellStyle name="Normal 2 5 2 2 2 8" xfId="1536"/>
    <cellStyle name="Normal 2 5 2 2 2 8 2" xfId="10915"/>
    <cellStyle name="Normal 2 5 2 2 2 8 3" xfId="20919"/>
    <cellStyle name="Normal 2 5 2 2 2 9" xfId="5722"/>
    <cellStyle name="Normal 2 5 2 2 2 9 2" xfId="14549"/>
    <cellStyle name="Normal 2 5 2 2 2 9 3" xfId="24800"/>
    <cellStyle name="Normal 2 5 2 2 2_Degree data" xfId="3931"/>
    <cellStyle name="Normal 2 5 2 2 3" xfId="281"/>
    <cellStyle name="Normal 2 5 2 2 3 10" xfId="7123"/>
    <cellStyle name="Normal 2 5 2 2 3 10 2" xfId="19736"/>
    <cellStyle name="Normal 2 5 2 2 3 11" xfId="15869"/>
    <cellStyle name="Normal 2 5 2 2 3 2" xfId="603"/>
    <cellStyle name="Normal 2 5 2 2 3 2 2" xfId="743"/>
    <cellStyle name="Normal 2 5 2 2 3 2 2 2" xfId="3231"/>
    <cellStyle name="Normal 2 5 2 2 3 2 2 2 2" xfId="12375"/>
    <cellStyle name="Normal 2 5 2 2 3 2 2 2 2 2" xfId="22594"/>
    <cellStyle name="Normal 2 5 2 2 3 2 2 2 3" xfId="8797"/>
    <cellStyle name="Normal 2 5 2 2 3 2 2 2 4" xfId="17587"/>
    <cellStyle name="Normal 2 5 2 2 3 2 2 3" xfId="4560"/>
    <cellStyle name="Normal 2 5 2 2 3 2 2 3 2" xfId="13400"/>
    <cellStyle name="Normal 2 5 2 2 3 2 2 3 2 2" xfId="23651"/>
    <cellStyle name="Normal 2 5 2 2 3 2 2 3 3" xfId="9821"/>
    <cellStyle name="Normal 2 5 2 2 3 2 2 3 4" xfId="18644"/>
    <cellStyle name="Normal 2 5 2 2 3 2 2 4" xfId="2340"/>
    <cellStyle name="Normal 2 5 2 2 3 2 2 4 2" xfId="11707"/>
    <cellStyle name="Normal 2 5 2 2 3 2 2 4 3" xfId="21711"/>
    <cellStyle name="Normal 2 5 2 2 3 2 2 5" xfId="6018"/>
    <cellStyle name="Normal 2 5 2 2 3 2 2 5 2" xfId="14845"/>
    <cellStyle name="Normal 2 5 2 2 3 2 2 5 3" xfId="25096"/>
    <cellStyle name="Normal 2 5 2 2 3 2 2 6" xfId="7462"/>
    <cellStyle name="Normal 2 5 2 2 3 2 2 6 2" xfId="20193"/>
    <cellStyle name="Normal 2 5 2 2 3 2 2 7" xfId="16704"/>
    <cellStyle name="Normal 2 5 2 2 3 2 3" xfId="1375"/>
    <cellStyle name="Normal 2 5 2 2 3 2 3 2" xfId="3806"/>
    <cellStyle name="Normal 2 5 2 2 3 2 3 2 2" xfId="12944"/>
    <cellStyle name="Normal 2 5 2 2 3 2 3 2 2 2" xfId="23163"/>
    <cellStyle name="Normal 2 5 2 2 3 2 3 2 3" xfId="9365"/>
    <cellStyle name="Normal 2 5 2 2 3 2 3 2 4" xfId="18156"/>
    <cellStyle name="Normal 2 5 2 2 3 2 3 3" xfId="4909"/>
    <cellStyle name="Normal 2 5 2 2 3 2 3 3 2" xfId="13748"/>
    <cellStyle name="Normal 2 5 2 2 3 2 3 3 2 2" xfId="23999"/>
    <cellStyle name="Normal 2 5 2 2 3 2 3 3 3" xfId="10169"/>
    <cellStyle name="Normal 2 5 2 2 3 2 3 3 4" xfId="18992"/>
    <cellStyle name="Normal 2 5 2 2 3 2 3 4" xfId="2200"/>
    <cellStyle name="Normal 2 5 2 2 3 2 3 4 2" xfId="11567"/>
    <cellStyle name="Normal 2 5 2 2 3 2 3 4 3" xfId="21571"/>
    <cellStyle name="Normal 2 5 2 2 3 2 3 5" xfId="6366"/>
    <cellStyle name="Normal 2 5 2 2 3 2 3 5 2" xfId="15193"/>
    <cellStyle name="Normal 2 5 2 2 3 2 3 5 3" xfId="25444"/>
    <cellStyle name="Normal 2 5 2 2 3 2 3 6" xfId="7812"/>
    <cellStyle name="Normal 2 5 2 2 3 2 3 6 2" xfId="20762"/>
    <cellStyle name="Normal 2 5 2 2 3 2 3 7" xfId="16564"/>
    <cellStyle name="Normal 2 5 2 2 3 2 4" xfId="3091"/>
    <cellStyle name="Normal 2 5 2 2 3 2 4 2" xfId="5469"/>
    <cellStyle name="Normal 2 5 2 2 3 2 4 2 2" xfId="14308"/>
    <cellStyle name="Normal 2 5 2 2 3 2 4 2 2 2" xfId="24559"/>
    <cellStyle name="Normal 2 5 2 2 3 2 4 2 3" xfId="10729"/>
    <cellStyle name="Normal 2 5 2 2 3 2 4 2 4" xfId="19552"/>
    <cellStyle name="Normal 2 5 2 2 3 2 4 3" xfId="6926"/>
    <cellStyle name="Normal 2 5 2 2 3 2 4 3 2" xfId="15753"/>
    <cellStyle name="Normal 2 5 2 2 3 2 4 3 3" xfId="26004"/>
    <cellStyle name="Normal 2 5 2 2 3 2 4 4" xfId="8372"/>
    <cellStyle name="Normal 2 5 2 2 3 2 4 4 2" xfId="22454"/>
    <cellStyle name="Normal 2 5 2 2 3 2 4 5" xfId="17447"/>
    <cellStyle name="Normal 2 5 2 2 3 2 5" xfId="4425"/>
    <cellStyle name="Normal 2 5 2 2 3 2 5 2" xfId="13265"/>
    <cellStyle name="Normal 2 5 2 2 3 2 5 2 2" xfId="23516"/>
    <cellStyle name="Normal 2 5 2 2 3 2 5 3" xfId="9686"/>
    <cellStyle name="Normal 2 5 2 2 3 2 5 4" xfId="18509"/>
    <cellStyle name="Normal 2 5 2 2 3 2 6" xfId="1697"/>
    <cellStyle name="Normal 2 5 2 2 3 2 6 2" xfId="11076"/>
    <cellStyle name="Normal 2 5 2 2 3 2 6 3" xfId="21080"/>
    <cellStyle name="Normal 2 5 2 2 3 2 7" xfId="5883"/>
    <cellStyle name="Normal 2 5 2 2 3 2 7 2" xfId="14710"/>
    <cellStyle name="Normal 2 5 2 2 3 2 7 3" xfId="24961"/>
    <cellStyle name="Normal 2 5 2 2 3 2 8" xfId="7327"/>
    <cellStyle name="Normal 2 5 2 2 3 2 8 2" xfId="20053"/>
    <cellStyle name="Normal 2 5 2 2 3 2 9" xfId="16073"/>
    <cellStyle name="Normal 2 5 2 2 3 2_Degree data" xfId="3877"/>
    <cellStyle name="Normal 2 5 2 2 3 3" xfId="399"/>
    <cellStyle name="Normal 2 5 2 2 3 3 2" xfId="2887"/>
    <cellStyle name="Normal 2 5 2 2 3 3 2 2" xfId="12177"/>
    <cellStyle name="Normal 2 5 2 2 3 3 2 2 2" xfId="22250"/>
    <cellStyle name="Normal 2 5 2 2 3 3 2 3" xfId="8532"/>
    <cellStyle name="Normal 2 5 2 2 3 3 2 4" xfId="17243"/>
    <cellStyle name="Normal 2 5 2 2 3 3 3" xfId="4559"/>
    <cellStyle name="Normal 2 5 2 2 3 3 3 2" xfId="13399"/>
    <cellStyle name="Normal 2 5 2 2 3 3 3 2 2" xfId="23650"/>
    <cellStyle name="Normal 2 5 2 2 3 3 3 3" xfId="9820"/>
    <cellStyle name="Normal 2 5 2 2 3 3 3 4" xfId="18643"/>
    <cellStyle name="Normal 2 5 2 2 3 3 4" xfId="1996"/>
    <cellStyle name="Normal 2 5 2 2 3 3 4 2" xfId="11363"/>
    <cellStyle name="Normal 2 5 2 2 3 3 4 3" xfId="21367"/>
    <cellStyle name="Normal 2 5 2 2 3 3 5" xfId="6017"/>
    <cellStyle name="Normal 2 5 2 2 3 3 5 2" xfId="14844"/>
    <cellStyle name="Normal 2 5 2 2 3 3 5 3" xfId="25095"/>
    <cellStyle name="Normal 2 5 2 2 3 3 6" xfId="7461"/>
    <cellStyle name="Normal 2 5 2 2 3 3 6 2" xfId="19849"/>
    <cellStyle name="Normal 2 5 2 2 3 3 7" xfId="16360"/>
    <cellStyle name="Normal 2 5 2 2 3 4" xfId="742"/>
    <cellStyle name="Normal 2 5 2 2 3 4 2" xfId="3230"/>
    <cellStyle name="Normal 2 5 2 2 3 4 2 2" xfId="12374"/>
    <cellStyle name="Normal 2 5 2 2 3 4 2 2 2" xfId="22593"/>
    <cellStyle name="Normal 2 5 2 2 3 4 2 3" xfId="8796"/>
    <cellStyle name="Normal 2 5 2 2 3 4 2 4" xfId="17586"/>
    <cellStyle name="Normal 2 5 2 2 3 4 3" xfId="4908"/>
    <cellStyle name="Normal 2 5 2 2 3 4 3 2" xfId="13747"/>
    <cellStyle name="Normal 2 5 2 2 3 4 3 2 2" xfId="23998"/>
    <cellStyle name="Normal 2 5 2 2 3 4 3 3" xfId="10168"/>
    <cellStyle name="Normal 2 5 2 2 3 4 3 4" xfId="18991"/>
    <cellStyle name="Normal 2 5 2 2 3 4 4" xfId="2339"/>
    <cellStyle name="Normal 2 5 2 2 3 4 4 2" xfId="11706"/>
    <cellStyle name="Normal 2 5 2 2 3 4 4 3" xfId="21710"/>
    <cellStyle name="Normal 2 5 2 2 3 4 5" xfId="6365"/>
    <cellStyle name="Normal 2 5 2 2 3 4 5 2" xfId="15192"/>
    <cellStyle name="Normal 2 5 2 2 3 4 5 3" xfId="25443"/>
    <cellStyle name="Normal 2 5 2 2 3 4 6" xfId="7811"/>
    <cellStyle name="Normal 2 5 2 2 3 4 6 2" xfId="20192"/>
    <cellStyle name="Normal 2 5 2 2 3 4 7" xfId="16703"/>
    <cellStyle name="Normal 2 5 2 2 3 5" xfId="1171"/>
    <cellStyle name="Normal 2 5 2 2 3 5 2" xfId="3602"/>
    <cellStyle name="Normal 2 5 2 2 3 5 2 2" xfId="12740"/>
    <cellStyle name="Normal 2 5 2 2 3 5 2 2 2" xfId="22959"/>
    <cellStyle name="Normal 2 5 2 2 3 5 2 3" xfId="9161"/>
    <cellStyle name="Normal 2 5 2 2 3 5 2 4" xfId="17952"/>
    <cellStyle name="Normal 2 5 2 2 3 5 3" xfId="5265"/>
    <cellStyle name="Normal 2 5 2 2 3 5 3 2" xfId="14104"/>
    <cellStyle name="Normal 2 5 2 2 3 5 3 2 2" xfId="24355"/>
    <cellStyle name="Normal 2 5 2 2 3 5 3 3" xfId="10525"/>
    <cellStyle name="Normal 2 5 2 2 3 5 3 4" xfId="19348"/>
    <cellStyle name="Normal 2 5 2 2 3 5 4" xfId="1880"/>
    <cellStyle name="Normal 2 5 2 2 3 5 4 2" xfId="11250"/>
    <cellStyle name="Normal 2 5 2 2 3 5 4 3" xfId="21254"/>
    <cellStyle name="Normal 2 5 2 2 3 5 5" xfId="6722"/>
    <cellStyle name="Normal 2 5 2 2 3 5 5 2" xfId="15549"/>
    <cellStyle name="Normal 2 5 2 2 3 5 5 3" xfId="25800"/>
    <cellStyle name="Normal 2 5 2 2 3 5 6" xfId="8168"/>
    <cellStyle name="Normal 2 5 2 2 3 5 6 2" xfId="20558"/>
    <cellStyle name="Normal 2 5 2 2 3 5 7" xfId="16247"/>
    <cellStyle name="Normal 2 5 2 2 3 6" xfId="2774"/>
    <cellStyle name="Normal 2 5 2 2 3 6 2" xfId="12093"/>
    <cellStyle name="Normal 2 5 2 2 3 6 2 2" xfId="22137"/>
    <cellStyle name="Normal 2 5 2 2 3 6 3" xfId="8553"/>
    <cellStyle name="Normal 2 5 2 2 3 6 4" xfId="17130"/>
    <cellStyle name="Normal 2 5 2 2 3 7" xfId="4221"/>
    <cellStyle name="Normal 2 5 2 2 3 7 2" xfId="13061"/>
    <cellStyle name="Normal 2 5 2 2 3 7 2 2" xfId="23312"/>
    <cellStyle name="Normal 2 5 2 2 3 7 3" xfId="9482"/>
    <cellStyle name="Normal 2 5 2 2 3 7 4" xfId="18305"/>
    <cellStyle name="Normal 2 5 2 2 3 8" xfId="1493"/>
    <cellStyle name="Normal 2 5 2 2 3 8 2" xfId="10872"/>
    <cellStyle name="Normal 2 5 2 2 3 8 3" xfId="20876"/>
    <cellStyle name="Normal 2 5 2 2 3 9" xfId="5679"/>
    <cellStyle name="Normal 2 5 2 2 3 9 2" xfId="14506"/>
    <cellStyle name="Normal 2 5 2 2 3 9 3" xfId="24757"/>
    <cellStyle name="Normal 2 5 2 2 3_Degree data" xfId="3832"/>
    <cellStyle name="Normal 2 5 2 2 4" xfId="499"/>
    <cellStyle name="Normal 2 5 2 2 4 2" xfId="744"/>
    <cellStyle name="Normal 2 5 2 2 4 2 2" xfId="3232"/>
    <cellStyle name="Normal 2 5 2 2 4 2 2 2" xfId="12376"/>
    <cellStyle name="Normal 2 5 2 2 4 2 2 2 2" xfId="22595"/>
    <cellStyle name="Normal 2 5 2 2 4 2 2 3" xfId="8798"/>
    <cellStyle name="Normal 2 5 2 2 4 2 2 4" xfId="17588"/>
    <cellStyle name="Normal 2 5 2 2 4 2 3" xfId="4561"/>
    <cellStyle name="Normal 2 5 2 2 4 2 3 2" xfId="13401"/>
    <cellStyle name="Normal 2 5 2 2 4 2 3 2 2" xfId="23652"/>
    <cellStyle name="Normal 2 5 2 2 4 2 3 3" xfId="9822"/>
    <cellStyle name="Normal 2 5 2 2 4 2 3 4" xfId="18645"/>
    <cellStyle name="Normal 2 5 2 2 4 2 4" xfId="2341"/>
    <cellStyle name="Normal 2 5 2 2 4 2 4 2" xfId="11708"/>
    <cellStyle name="Normal 2 5 2 2 4 2 4 3" xfId="21712"/>
    <cellStyle name="Normal 2 5 2 2 4 2 5" xfId="6019"/>
    <cellStyle name="Normal 2 5 2 2 4 2 5 2" xfId="14846"/>
    <cellStyle name="Normal 2 5 2 2 4 2 5 3" xfId="25097"/>
    <cellStyle name="Normal 2 5 2 2 4 2 6" xfId="7463"/>
    <cellStyle name="Normal 2 5 2 2 4 2 6 2" xfId="20194"/>
    <cellStyle name="Normal 2 5 2 2 4 2 7" xfId="16705"/>
    <cellStyle name="Normal 2 5 2 2 4 3" xfId="1271"/>
    <cellStyle name="Normal 2 5 2 2 4 3 2" xfId="3702"/>
    <cellStyle name="Normal 2 5 2 2 4 3 2 2" xfId="12840"/>
    <cellStyle name="Normal 2 5 2 2 4 3 2 2 2" xfId="23059"/>
    <cellStyle name="Normal 2 5 2 2 4 3 2 3" xfId="9261"/>
    <cellStyle name="Normal 2 5 2 2 4 3 2 4" xfId="18052"/>
    <cellStyle name="Normal 2 5 2 2 4 3 3" xfId="4910"/>
    <cellStyle name="Normal 2 5 2 2 4 3 3 2" xfId="13749"/>
    <cellStyle name="Normal 2 5 2 2 4 3 3 2 2" xfId="24000"/>
    <cellStyle name="Normal 2 5 2 2 4 3 3 3" xfId="10170"/>
    <cellStyle name="Normal 2 5 2 2 4 3 3 4" xfId="18993"/>
    <cellStyle name="Normal 2 5 2 2 4 3 4" xfId="2096"/>
    <cellStyle name="Normal 2 5 2 2 4 3 4 2" xfId="11463"/>
    <cellStyle name="Normal 2 5 2 2 4 3 4 3" xfId="21467"/>
    <cellStyle name="Normal 2 5 2 2 4 3 5" xfId="6367"/>
    <cellStyle name="Normal 2 5 2 2 4 3 5 2" xfId="15194"/>
    <cellStyle name="Normal 2 5 2 2 4 3 5 3" xfId="25445"/>
    <cellStyle name="Normal 2 5 2 2 4 3 6" xfId="7813"/>
    <cellStyle name="Normal 2 5 2 2 4 3 6 2" xfId="20658"/>
    <cellStyle name="Normal 2 5 2 2 4 3 7" xfId="16460"/>
    <cellStyle name="Normal 2 5 2 2 4 4" xfId="2987"/>
    <cellStyle name="Normal 2 5 2 2 4 4 2" xfId="5365"/>
    <cellStyle name="Normal 2 5 2 2 4 4 2 2" xfId="14204"/>
    <cellStyle name="Normal 2 5 2 2 4 4 2 2 2" xfId="24455"/>
    <cellStyle name="Normal 2 5 2 2 4 4 2 3" xfId="10625"/>
    <cellStyle name="Normal 2 5 2 2 4 4 2 4" xfId="19448"/>
    <cellStyle name="Normal 2 5 2 2 4 4 3" xfId="6822"/>
    <cellStyle name="Normal 2 5 2 2 4 4 3 2" xfId="15649"/>
    <cellStyle name="Normal 2 5 2 2 4 4 3 3" xfId="25900"/>
    <cellStyle name="Normal 2 5 2 2 4 4 4" xfId="8268"/>
    <cellStyle name="Normal 2 5 2 2 4 4 4 2" xfId="22350"/>
    <cellStyle name="Normal 2 5 2 2 4 4 5" xfId="17343"/>
    <cellStyle name="Normal 2 5 2 2 4 5" xfId="4321"/>
    <cellStyle name="Normal 2 5 2 2 4 5 2" xfId="13161"/>
    <cellStyle name="Normal 2 5 2 2 4 5 2 2" xfId="23412"/>
    <cellStyle name="Normal 2 5 2 2 4 5 3" xfId="9582"/>
    <cellStyle name="Normal 2 5 2 2 4 5 4" xfId="18405"/>
    <cellStyle name="Normal 2 5 2 2 4 6" xfId="1593"/>
    <cellStyle name="Normal 2 5 2 2 4 6 2" xfId="10972"/>
    <cellStyle name="Normal 2 5 2 2 4 6 3" xfId="20976"/>
    <cellStyle name="Normal 2 5 2 2 4 7" xfId="5779"/>
    <cellStyle name="Normal 2 5 2 2 4 7 2" xfId="14606"/>
    <cellStyle name="Normal 2 5 2 2 4 7 3" xfId="24857"/>
    <cellStyle name="Normal 2 5 2 2 4 8" xfId="7223"/>
    <cellStyle name="Normal 2 5 2 2 4 8 2" xfId="19949"/>
    <cellStyle name="Normal 2 5 2 2 4 9" xfId="15969"/>
    <cellStyle name="Normal 2 5 2 2 4_Degree data" xfId="3858"/>
    <cellStyle name="Normal 2 5 2 2 5" xfId="342"/>
    <cellStyle name="Normal 2 5 2 2 5 2" xfId="745"/>
    <cellStyle name="Normal 2 5 2 2 5 2 2" xfId="3233"/>
    <cellStyle name="Normal 2 5 2 2 5 2 2 2" xfId="12377"/>
    <cellStyle name="Normal 2 5 2 2 5 2 2 2 2" xfId="22596"/>
    <cellStyle name="Normal 2 5 2 2 5 2 2 3" xfId="8799"/>
    <cellStyle name="Normal 2 5 2 2 5 2 2 4" xfId="17589"/>
    <cellStyle name="Normal 2 5 2 2 5 2 3" xfId="4562"/>
    <cellStyle name="Normal 2 5 2 2 5 2 3 2" xfId="13402"/>
    <cellStyle name="Normal 2 5 2 2 5 2 3 2 2" xfId="23653"/>
    <cellStyle name="Normal 2 5 2 2 5 2 3 3" xfId="9823"/>
    <cellStyle name="Normal 2 5 2 2 5 2 3 4" xfId="18646"/>
    <cellStyle name="Normal 2 5 2 2 5 2 4" xfId="2342"/>
    <cellStyle name="Normal 2 5 2 2 5 2 4 2" xfId="11709"/>
    <cellStyle name="Normal 2 5 2 2 5 2 4 3" xfId="21713"/>
    <cellStyle name="Normal 2 5 2 2 5 2 5" xfId="6020"/>
    <cellStyle name="Normal 2 5 2 2 5 2 5 2" xfId="14847"/>
    <cellStyle name="Normal 2 5 2 2 5 2 5 3" xfId="25098"/>
    <cellStyle name="Normal 2 5 2 2 5 2 6" xfId="7464"/>
    <cellStyle name="Normal 2 5 2 2 5 2 6 2" xfId="20195"/>
    <cellStyle name="Normal 2 5 2 2 5 2 7" xfId="16706"/>
    <cellStyle name="Normal 2 5 2 2 5 3" xfId="1114"/>
    <cellStyle name="Normal 2 5 2 2 5 3 2" xfId="3545"/>
    <cellStyle name="Normal 2 5 2 2 5 3 2 2" xfId="12683"/>
    <cellStyle name="Normal 2 5 2 2 5 3 2 2 2" xfId="22902"/>
    <cellStyle name="Normal 2 5 2 2 5 3 2 3" xfId="9104"/>
    <cellStyle name="Normal 2 5 2 2 5 3 2 4" xfId="17895"/>
    <cellStyle name="Normal 2 5 2 2 5 3 3" xfId="4911"/>
    <cellStyle name="Normal 2 5 2 2 5 3 3 2" xfId="13750"/>
    <cellStyle name="Normal 2 5 2 2 5 3 3 2 2" xfId="24001"/>
    <cellStyle name="Normal 2 5 2 2 5 3 3 3" xfId="10171"/>
    <cellStyle name="Normal 2 5 2 2 5 3 3 4" xfId="18994"/>
    <cellStyle name="Normal 2 5 2 2 5 3 4" xfId="2597"/>
    <cellStyle name="Normal 2 5 2 2 5 3 4 2" xfId="11963"/>
    <cellStyle name="Normal 2 5 2 2 5 3 4 3" xfId="21967"/>
    <cellStyle name="Normal 2 5 2 2 5 3 5" xfId="6368"/>
    <cellStyle name="Normal 2 5 2 2 5 3 5 2" xfId="15195"/>
    <cellStyle name="Normal 2 5 2 2 5 3 5 3" xfId="25446"/>
    <cellStyle name="Normal 2 5 2 2 5 3 6" xfId="7814"/>
    <cellStyle name="Normal 2 5 2 2 5 3 6 2" xfId="20501"/>
    <cellStyle name="Normal 2 5 2 2 5 3 7" xfId="16960"/>
    <cellStyle name="Normal 2 5 2 2 5 4" xfId="2830"/>
    <cellStyle name="Normal 2 5 2 2 5 4 2" xfId="5208"/>
    <cellStyle name="Normal 2 5 2 2 5 4 2 2" xfId="14047"/>
    <cellStyle name="Normal 2 5 2 2 5 4 2 2 2" xfId="24298"/>
    <cellStyle name="Normal 2 5 2 2 5 4 2 3" xfId="10468"/>
    <cellStyle name="Normal 2 5 2 2 5 4 2 4" xfId="19291"/>
    <cellStyle name="Normal 2 5 2 2 5 4 3" xfId="6665"/>
    <cellStyle name="Normal 2 5 2 2 5 4 3 2" xfId="15492"/>
    <cellStyle name="Normal 2 5 2 2 5 4 3 3" xfId="25743"/>
    <cellStyle name="Normal 2 5 2 2 5 4 4" xfId="8111"/>
    <cellStyle name="Normal 2 5 2 2 5 4 4 2" xfId="22193"/>
    <cellStyle name="Normal 2 5 2 2 5 4 5" xfId="17186"/>
    <cellStyle name="Normal 2 5 2 2 5 5" xfId="4162"/>
    <cellStyle name="Normal 2 5 2 2 5 5 2" xfId="13002"/>
    <cellStyle name="Normal 2 5 2 2 5 5 2 2" xfId="23253"/>
    <cellStyle name="Normal 2 5 2 2 5 5 3" xfId="9423"/>
    <cellStyle name="Normal 2 5 2 2 5 5 4" xfId="18246"/>
    <cellStyle name="Normal 2 5 2 2 5 6" xfId="1939"/>
    <cellStyle name="Normal 2 5 2 2 5 6 2" xfId="11306"/>
    <cellStyle name="Normal 2 5 2 2 5 6 3" xfId="21310"/>
    <cellStyle name="Normal 2 5 2 2 5 7" xfId="5622"/>
    <cellStyle name="Normal 2 5 2 2 5 7 2" xfId="14449"/>
    <cellStyle name="Normal 2 5 2 2 5 7 3" xfId="24700"/>
    <cellStyle name="Normal 2 5 2 2 5 8" xfId="7066"/>
    <cellStyle name="Normal 2 5 2 2 5 8 2" xfId="19792"/>
    <cellStyle name="Normal 2 5 2 2 5 9" xfId="16303"/>
    <cellStyle name="Normal 2 5 2 2 5_Degree data" xfId="3828"/>
    <cellStyle name="Normal 2 5 2 2 6" xfId="739"/>
    <cellStyle name="Normal 2 5 2 2 6 2" xfId="3227"/>
    <cellStyle name="Normal 2 5 2 2 6 2 2" xfId="12371"/>
    <cellStyle name="Normal 2 5 2 2 6 2 2 2" xfId="22590"/>
    <cellStyle name="Normal 2 5 2 2 6 2 3" xfId="8793"/>
    <cellStyle name="Normal 2 5 2 2 6 2 4" xfId="17583"/>
    <cellStyle name="Normal 2 5 2 2 6 3" xfId="4556"/>
    <cellStyle name="Normal 2 5 2 2 6 3 2" xfId="13396"/>
    <cellStyle name="Normal 2 5 2 2 6 3 2 2" xfId="23647"/>
    <cellStyle name="Normal 2 5 2 2 6 3 3" xfId="9817"/>
    <cellStyle name="Normal 2 5 2 2 6 3 4" xfId="18640"/>
    <cellStyle name="Normal 2 5 2 2 6 4" xfId="2336"/>
    <cellStyle name="Normal 2 5 2 2 6 4 2" xfId="11703"/>
    <cellStyle name="Normal 2 5 2 2 6 4 3" xfId="21707"/>
    <cellStyle name="Normal 2 5 2 2 6 5" xfId="6014"/>
    <cellStyle name="Normal 2 5 2 2 6 5 2" xfId="14841"/>
    <cellStyle name="Normal 2 5 2 2 6 5 3" xfId="25092"/>
    <cellStyle name="Normal 2 5 2 2 6 6" xfId="7458"/>
    <cellStyle name="Normal 2 5 2 2 6 6 2" xfId="20189"/>
    <cellStyle name="Normal 2 5 2 2 6 7" xfId="16700"/>
    <cellStyle name="Normal 2 5 2 2 7" xfId="1069"/>
    <cellStyle name="Normal 2 5 2 2 7 2" xfId="3500"/>
    <cellStyle name="Normal 2 5 2 2 7 2 2" xfId="12638"/>
    <cellStyle name="Normal 2 5 2 2 7 2 2 2" xfId="22857"/>
    <cellStyle name="Normal 2 5 2 2 7 2 3" xfId="9060"/>
    <cellStyle name="Normal 2 5 2 2 7 2 4" xfId="17850"/>
    <cellStyle name="Normal 2 5 2 2 7 3" xfId="4905"/>
    <cellStyle name="Normal 2 5 2 2 7 3 2" xfId="13744"/>
    <cellStyle name="Normal 2 5 2 2 7 3 2 2" xfId="23995"/>
    <cellStyle name="Normal 2 5 2 2 7 3 3" xfId="10165"/>
    <cellStyle name="Normal 2 5 2 2 7 3 4" xfId="18988"/>
    <cellStyle name="Normal 2 5 2 2 7 4" xfId="1773"/>
    <cellStyle name="Normal 2 5 2 2 7 4 2" xfId="11146"/>
    <cellStyle name="Normal 2 5 2 2 7 4 3" xfId="21150"/>
    <cellStyle name="Normal 2 5 2 2 7 5" xfId="6362"/>
    <cellStyle name="Normal 2 5 2 2 7 5 2" xfId="15189"/>
    <cellStyle name="Normal 2 5 2 2 7 5 3" xfId="25440"/>
    <cellStyle name="Normal 2 5 2 2 7 6" xfId="7808"/>
    <cellStyle name="Normal 2 5 2 2 7 6 2" xfId="20456"/>
    <cellStyle name="Normal 2 5 2 2 7 7" xfId="16143"/>
    <cellStyle name="Normal 2 5 2 2 8" xfId="2670"/>
    <cellStyle name="Normal 2 5 2 2 8 2" xfId="5163"/>
    <cellStyle name="Normal 2 5 2 2 8 2 2" xfId="14002"/>
    <cellStyle name="Normal 2 5 2 2 8 2 2 2" xfId="24253"/>
    <cellStyle name="Normal 2 5 2 2 8 2 3" xfId="10423"/>
    <cellStyle name="Normal 2 5 2 2 8 2 4" xfId="19246"/>
    <cellStyle name="Normal 2 5 2 2 8 3" xfId="6620"/>
    <cellStyle name="Normal 2 5 2 2 8 3 2" xfId="15447"/>
    <cellStyle name="Normal 2 5 2 2 8 3 3" xfId="25698"/>
    <cellStyle name="Normal 2 5 2 2 8 4" xfId="8066"/>
    <cellStyle name="Normal 2 5 2 2 8 4 2" xfId="22033"/>
    <cellStyle name="Normal 2 5 2 2 8 5" xfId="17026"/>
    <cellStyle name="Normal 2 5 2 2 9" xfId="4117"/>
    <cellStyle name="Normal 2 5 2 2 9 2" xfId="5577"/>
    <cellStyle name="Normal 2 5 2 2 9 2 2" xfId="14404"/>
    <cellStyle name="Normal 2 5 2 2 9 2 3" xfId="24655"/>
    <cellStyle name="Normal 2 5 2 2 9 3" xfId="7021"/>
    <cellStyle name="Normal 2 5 2 2 9 3 2" xfId="23208"/>
    <cellStyle name="Normal 2 5 2 2 9 4" xfId="18201"/>
    <cellStyle name="Normal 2 5 2 2_Degree data" xfId="3933"/>
    <cellStyle name="Normal 2 5 2 3" xfId="152"/>
    <cellStyle name="Normal 2 5 2 3 10" xfId="1422"/>
    <cellStyle name="Normal 2 5 2 3 10 2" xfId="10801"/>
    <cellStyle name="Normal 2 5 2 3 10 3" xfId="20805"/>
    <cellStyle name="Normal 2 5 2 3 11" xfId="5533"/>
    <cellStyle name="Normal 2 5 2 3 11 2" xfId="14362"/>
    <cellStyle name="Normal 2 5 2 3 11 3" xfId="24613"/>
    <cellStyle name="Normal 2 5 2 3 12" xfId="6975"/>
    <cellStyle name="Normal 2 5 2 3 12 2" xfId="19620"/>
    <cellStyle name="Normal 2 5 2 3 13" xfId="15798"/>
    <cellStyle name="Normal 2 5 2 3 2" xfId="202"/>
    <cellStyle name="Normal 2 5 2 3 2 10" xfId="7154"/>
    <cellStyle name="Normal 2 5 2 3 2 10 2" xfId="19663"/>
    <cellStyle name="Normal 2 5 2 3 2 11" xfId="15900"/>
    <cellStyle name="Normal 2 5 2 3 2 2" xfId="530"/>
    <cellStyle name="Normal 2 5 2 3 2 2 2" xfId="748"/>
    <cellStyle name="Normal 2 5 2 3 2 2 2 2" xfId="3236"/>
    <cellStyle name="Normal 2 5 2 3 2 2 2 2 2" xfId="12380"/>
    <cellStyle name="Normal 2 5 2 3 2 2 2 2 2 2" xfId="22599"/>
    <cellStyle name="Normal 2 5 2 3 2 2 2 2 3" xfId="8802"/>
    <cellStyle name="Normal 2 5 2 3 2 2 2 2 4" xfId="17592"/>
    <cellStyle name="Normal 2 5 2 3 2 2 2 3" xfId="4565"/>
    <cellStyle name="Normal 2 5 2 3 2 2 2 3 2" xfId="13405"/>
    <cellStyle name="Normal 2 5 2 3 2 2 2 3 2 2" xfId="23656"/>
    <cellStyle name="Normal 2 5 2 3 2 2 2 3 3" xfId="9826"/>
    <cellStyle name="Normal 2 5 2 3 2 2 2 3 4" xfId="18649"/>
    <cellStyle name="Normal 2 5 2 3 2 2 2 4" xfId="2345"/>
    <cellStyle name="Normal 2 5 2 3 2 2 2 4 2" xfId="11712"/>
    <cellStyle name="Normal 2 5 2 3 2 2 2 4 3" xfId="21716"/>
    <cellStyle name="Normal 2 5 2 3 2 2 2 5" xfId="6023"/>
    <cellStyle name="Normal 2 5 2 3 2 2 2 5 2" xfId="14850"/>
    <cellStyle name="Normal 2 5 2 3 2 2 2 5 3" xfId="25101"/>
    <cellStyle name="Normal 2 5 2 3 2 2 2 6" xfId="7467"/>
    <cellStyle name="Normal 2 5 2 3 2 2 2 6 2" xfId="20198"/>
    <cellStyle name="Normal 2 5 2 3 2 2 2 7" xfId="16709"/>
    <cellStyle name="Normal 2 5 2 3 2 2 3" xfId="1302"/>
    <cellStyle name="Normal 2 5 2 3 2 2 3 2" xfId="3733"/>
    <cellStyle name="Normal 2 5 2 3 2 2 3 2 2" xfId="12871"/>
    <cellStyle name="Normal 2 5 2 3 2 2 3 2 2 2" xfId="23090"/>
    <cellStyle name="Normal 2 5 2 3 2 2 3 2 3" xfId="9292"/>
    <cellStyle name="Normal 2 5 2 3 2 2 3 2 4" xfId="18083"/>
    <cellStyle name="Normal 2 5 2 3 2 2 3 3" xfId="4914"/>
    <cellStyle name="Normal 2 5 2 3 2 2 3 3 2" xfId="13753"/>
    <cellStyle name="Normal 2 5 2 3 2 2 3 3 2 2" xfId="24004"/>
    <cellStyle name="Normal 2 5 2 3 2 2 3 3 3" xfId="10174"/>
    <cellStyle name="Normal 2 5 2 3 2 2 3 3 4" xfId="18997"/>
    <cellStyle name="Normal 2 5 2 3 2 2 3 4" xfId="2127"/>
    <cellStyle name="Normal 2 5 2 3 2 2 3 4 2" xfId="11494"/>
    <cellStyle name="Normal 2 5 2 3 2 2 3 4 3" xfId="21498"/>
    <cellStyle name="Normal 2 5 2 3 2 2 3 5" xfId="6371"/>
    <cellStyle name="Normal 2 5 2 3 2 2 3 5 2" xfId="15198"/>
    <cellStyle name="Normal 2 5 2 3 2 2 3 5 3" xfId="25449"/>
    <cellStyle name="Normal 2 5 2 3 2 2 3 6" xfId="7817"/>
    <cellStyle name="Normal 2 5 2 3 2 2 3 6 2" xfId="20689"/>
    <cellStyle name="Normal 2 5 2 3 2 2 3 7" xfId="16491"/>
    <cellStyle name="Normal 2 5 2 3 2 2 4" xfId="3018"/>
    <cellStyle name="Normal 2 5 2 3 2 2 4 2" xfId="5396"/>
    <cellStyle name="Normal 2 5 2 3 2 2 4 2 2" xfId="14235"/>
    <cellStyle name="Normal 2 5 2 3 2 2 4 2 2 2" xfId="24486"/>
    <cellStyle name="Normal 2 5 2 3 2 2 4 2 3" xfId="10656"/>
    <cellStyle name="Normal 2 5 2 3 2 2 4 2 4" xfId="19479"/>
    <cellStyle name="Normal 2 5 2 3 2 2 4 3" xfId="6853"/>
    <cellStyle name="Normal 2 5 2 3 2 2 4 3 2" xfId="15680"/>
    <cellStyle name="Normal 2 5 2 3 2 2 4 3 3" xfId="25931"/>
    <cellStyle name="Normal 2 5 2 3 2 2 4 4" xfId="8299"/>
    <cellStyle name="Normal 2 5 2 3 2 2 4 4 2" xfId="22381"/>
    <cellStyle name="Normal 2 5 2 3 2 2 4 5" xfId="17374"/>
    <cellStyle name="Normal 2 5 2 3 2 2 5" xfId="4352"/>
    <cellStyle name="Normal 2 5 2 3 2 2 5 2" xfId="13192"/>
    <cellStyle name="Normal 2 5 2 3 2 2 5 2 2" xfId="23443"/>
    <cellStyle name="Normal 2 5 2 3 2 2 5 3" xfId="9613"/>
    <cellStyle name="Normal 2 5 2 3 2 2 5 4" xfId="18436"/>
    <cellStyle name="Normal 2 5 2 3 2 2 6" xfId="1624"/>
    <cellStyle name="Normal 2 5 2 3 2 2 6 2" xfId="11003"/>
    <cellStyle name="Normal 2 5 2 3 2 2 6 3" xfId="21007"/>
    <cellStyle name="Normal 2 5 2 3 2 2 7" xfId="5810"/>
    <cellStyle name="Normal 2 5 2 3 2 2 7 2" xfId="14637"/>
    <cellStyle name="Normal 2 5 2 3 2 2 7 3" xfId="24888"/>
    <cellStyle name="Normal 2 5 2 3 2 2 8" xfId="7254"/>
    <cellStyle name="Normal 2 5 2 3 2 2 8 2" xfId="19980"/>
    <cellStyle name="Normal 2 5 2 3 2 2 9" xfId="16000"/>
    <cellStyle name="Normal 2 5 2 3 2 2_Degree data" xfId="3862"/>
    <cellStyle name="Normal 2 5 2 3 2 3" xfId="430"/>
    <cellStyle name="Normal 2 5 2 3 2 3 2" xfId="2918"/>
    <cellStyle name="Normal 2 5 2 3 2 3 2 2" xfId="12208"/>
    <cellStyle name="Normal 2 5 2 3 2 3 2 2 2" xfId="22281"/>
    <cellStyle name="Normal 2 5 2 3 2 3 2 3" xfId="8445"/>
    <cellStyle name="Normal 2 5 2 3 2 3 2 4" xfId="17274"/>
    <cellStyle name="Normal 2 5 2 3 2 3 3" xfId="4564"/>
    <cellStyle name="Normal 2 5 2 3 2 3 3 2" xfId="13404"/>
    <cellStyle name="Normal 2 5 2 3 2 3 3 2 2" xfId="23655"/>
    <cellStyle name="Normal 2 5 2 3 2 3 3 3" xfId="9825"/>
    <cellStyle name="Normal 2 5 2 3 2 3 3 4" xfId="18648"/>
    <cellStyle name="Normal 2 5 2 3 2 3 4" xfId="2027"/>
    <cellStyle name="Normal 2 5 2 3 2 3 4 2" xfId="11394"/>
    <cellStyle name="Normal 2 5 2 3 2 3 4 3" xfId="21398"/>
    <cellStyle name="Normal 2 5 2 3 2 3 5" xfId="6022"/>
    <cellStyle name="Normal 2 5 2 3 2 3 5 2" xfId="14849"/>
    <cellStyle name="Normal 2 5 2 3 2 3 5 3" xfId="25100"/>
    <cellStyle name="Normal 2 5 2 3 2 3 6" xfId="7466"/>
    <cellStyle name="Normal 2 5 2 3 2 3 6 2" xfId="19880"/>
    <cellStyle name="Normal 2 5 2 3 2 3 7" xfId="16391"/>
    <cellStyle name="Normal 2 5 2 3 2 4" xfId="747"/>
    <cellStyle name="Normal 2 5 2 3 2 4 2" xfId="3235"/>
    <cellStyle name="Normal 2 5 2 3 2 4 2 2" xfId="12379"/>
    <cellStyle name="Normal 2 5 2 3 2 4 2 2 2" xfId="22598"/>
    <cellStyle name="Normal 2 5 2 3 2 4 2 3" xfId="8801"/>
    <cellStyle name="Normal 2 5 2 3 2 4 2 4" xfId="17591"/>
    <cellStyle name="Normal 2 5 2 3 2 4 3" xfId="4913"/>
    <cellStyle name="Normal 2 5 2 3 2 4 3 2" xfId="13752"/>
    <cellStyle name="Normal 2 5 2 3 2 4 3 2 2" xfId="24003"/>
    <cellStyle name="Normal 2 5 2 3 2 4 3 3" xfId="10173"/>
    <cellStyle name="Normal 2 5 2 3 2 4 3 4" xfId="18996"/>
    <cellStyle name="Normal 2 5 2 3 2 4 4" xfId="2344"/>
    <cellStyle name="Normal 2 5 2 3 2 4 4 2" xfId="11711"/>
    <cellStyle name="Normal 2 5 2 3 2 4 4 3" xfId="21715"/>
    <cellStyle name="Normal 2 5 2 3 2 4 5" xfId="6370"/>
    <cellStyle name="Normal 2 5 2 3 2 4 5 2" xfId="15197"/>
    <cellStyle name="Normal 2 5 2 3 2 4 5 3" xfId="25448"/>
    <cellStyle name="Normal 2 5 2 3 2 4 6" xfId="7816"/>
    <cellStyle name="Normal 2 5 2 3 2 4 6 2" xfId="20197"/>
    <cellStyle name="Normal 2 5 2 3 2 4 7" xfId="16708"/>
    <cellStyle name="Normal 2 5 2 3 2 5" xfId="1202"/>
    <cellStyle name="Normal 2 5 2 3 2 5 2" xfId="3633"/>
    <cellStyle name="Normal 2 5 2 3 2 5 2 2" xfId="12771"/>
    <cellStyle name="Normal 2 5 2 3 2 5 2 2 2" xfId="22990"/>
    <cellStyle name="Normal 2 5 2 3 2 5 2 3" xfId="9192"/>
    <cellStyle name="Normal 2 5 2 3 2 5 2 4" xfId="17983"/>
    <cellStyle name="Normal 2 5 2 3 2 5 3" xfId="5296"/>
    <cellStyle name="Normal 2 5 2 3 2 5 3 2" xfId="14135"/>
    <cellStyle name="Normal 2 5 2 3 2 5 3 2 2" xfId="24386"/>
    <cellStyle name="Normal 2 5 2 3 2 5 3 3" xfId="10556"/>
    <cellStyle name="Normal 2 5 2 3 2 5 3 4" xfId="19379"/>
    <cellStyle name="Normal 2 5 2 3 2 5 4" xfId="1806"/>
    <cellStyle name="Normal 2 5 2 3 2 5 4 2" xfId="11177"/>
    <cellStyle name="Normal 2 5 2 3 2 5 4 3" xfId="21181"/>
    <cellStyle name="Normal 2 5 2 3 2 5 5" xfId="6753"/>
    <cellStyle name="Normal 2 5 2 3 2 5 5 2" xfId="15580"/>
    <cellStyle name="Normal 2 5 2 3 2 5 5 3" xfId="25831"/>
    <cellStyle name="Normal 2 5 2 3 2 5 6" xfId="8199"/>
    <cellStyle name="Normal 2 5 2 3 2 5 6 2" xfId="20589"/>
    <cellStyle name="Normal 2 5 2 3 2 5 7" xfId="16174"/>
    <cellStyle name="Normal 2 5 2 3 2 6" xfId="2701"/>
    <cellStyle name="Normal 2 5 2 3 2 6 2" xfId="12020"/>
    <cellStyle name="Normal 2 5 2 3 2 6 2 2" xfId="22064"/>
    <cellStyle name="Normal 2 5 2 3 2 6 3" xfId="8571"/>
    <cellStyle name="Normal 2 5 2 3 2 6 4" xfId="17057"/>
    <cellStyle name="Normal 2 5 2 3 2 7" xfId="4252"/>
    <cellStyle name="Normal 2 5 2 3 2 7 2" xfId="13092"/>
    <cellStyle name="Normal 2 5 2 3 2 7 2 2" xfId="23343"/>
    <cellStyle name="Normal 2 5 2 3 2 7 3" xfId="9513"/>
    <cellStyle name="Normal 2 5 2 3 2 7 4" xfId="18336"/>
    <cellStyle name="Normal 2 5 2 3 2 8" xfId="1524"/>
    <cellStyle name="Normal 2 5 2 3 2 8 2" xfId="10903"/>
    <cellStyle name="Normal 2 5 2 3 2 8 3" xfId="20907"/>
    <cellStyle name="Normal 2 5 2 3 2 9" xfId="5710"/>
    <cellStyle name="Normal 2 5 2 3 2 9 2" xfId="14537"/>
    <cellStyle name="Normal 2 5 2 3 2 9 3" xfId="24788"/>
    <cellStyle name="Normal 2 5 2 3 2_Degree data" xfId="3926"/>
    <cellStyle name="Normal 2 5 2 3 3" xfId="269"/>
    <cellStyle name="Normal 2 5 2 3 3 10" xfId="7111"/>
    <cellStyle name="Normal 2 5 2 3 3 10 2" xfId="19725"/>
    <cellStyle name="Normal 2 5 2 3 3 11" xfId="15857"/>
    <cellStyle name="Normal 2 5 2 3 3 2" xfId="592"/>
    <cellStyle name="Normal 2 5 2 3 3 2 2" xfId="750"/>
    <cellStyle name="Normal 2 5 2 3 3 2 2 2" xfId="3238"/>
    <cellStyle name="Normal 2 5 2 3 3 2 2 2 2" xfId="12382"/>
    <cellStyle name="Normal 2 5 2 3 3 2 2 2 2 2" xfId="22601"/>
    <cellStyle name="Normal 2 5 2 3 3 2 2 2 3" xfId="8804"/>
    <cellStyle name="Normal 2 5 2 3 3 2 2 2 4" xfId="17594"/>
    <cellStyle name="Normal 2 5 2 3 3 2 2 3" xfId="4567"/>
    <cellStyle name="Normal 2 5 2 3 3 2 2 3 2" xfId="13407"/>
    <cellStyle name="Normal 2 5 2 3 3 2 2 3 2 2" xfId="23658"/>
    <cellStyle name="Normal 2 5 2 3 3 2 2 3 3" xfId="9828"/>
    <cellStyle name="Normal 2 5 2 3 3 2 2 3 4" xfId="18651"/>
    <cellStyle name="Normal 2 5 2 3 3 2 2 4" xfId="2347"/>
    <cellStyle name="Normal 2 5 2 3 3 2 2 4 2" xfId="11714"/>
    <cellStyle name="Normal 2 5 2 3 3 2 2 4 3" xfId="21718"/>
    <cellStyle name="Normal 2 5 2 3 3 2 2 5" xfId="6025"/>
    <cellStyle name="Normal 2 5 2 3 3 2 2 5 2" xfId="14852"/>
    <cellStyle name="Normal 2 5 2 3 3 2 2 5 3" xfId="25103"/>
    <cellStyle name="Normal 2 5 2 3 3 2 2 6" xfId="7469"/>
    <cellStyle name="Normal 2 5 2 3 3 2 2 6 2" xfId="20200"/>
    <cellStyle name="Normal 2 5 2 3 3 2 2 7" xfId="16711"/>
    <cellStyle name="Normal 2 5 2 3 3 2 3" xfId="1364"/>
    <cellStyle name="Normal 2 5 2 3 3 2 3 2" xfId="3795"/>
    <cellStyle name="Normal 2 5 2 3 3 2 3 2 2" xfId="12933"/>
    <cellStyle name="Normal 2 5 2 3 3 2 3 2 2 2" xfId="23152"/>
    <cellStyle name="Normal 2 5 2 3 3 2 3 2 3" xfId="9354"/>
    <cellStyle name="Normal 2 5 2 3 3 2 3 2 4" xfId="18145"/>
    <cellStyle name="Normal 2 5 2 3 3 2 3 3" xfId="4916"/>
    <cellStyle name="Normal 2 5 2 3 3 2 3 3 2" xfId="13755"/>
    <cellStyle name="Normal 2 5 2 3 3 2 3 3 2 2" xfId="24006"/>
    <cellStyle name="Normal 2 5 2 3 3 2 3 3 3" xfId="10176"/>
    <cellStyle name="Normal 2 5 2 3 3 2 3 3 4" xfId="18999"/>
    <cellStyle name="Normal 2 5 2 3 3 2 3 4" xfId="2189"/>
    <cellStyle name="Normal 2 5 2 3 3 2 3 4 2" xfId="11556"/>
    <cellStyle name="Normal 2 5 2 3 3 2 3 4 3" xfId="21560"/>
    <cellStyle name="Normal 2 5 2 3 3 2 3 5" xfId="6373"/>
    <cellStyle name="Normal 2 5 2 3 3 2 3 5 2" xfId="15200"/>
    <cellStyle name="Normal 2 5 2 3 3 2 3 5 3" xfId="25451"/>
    <cellStyle name="Normal 2 5 2 3 3 2 3 6" xfId="7819"/>
    <cellStyle name="Normal 2 5 2 3 3 2 3 6 2" xfId="20751"/>
    <cellStyle name="Normal 2 5 2 3 3 2 3 7" xfId="16553"/>
    <cellStyle name="Normal 2 5 2 3 3 2 4" xfId="3080"/>
    <cellStyle name="Normal 2 5 2 3 3 2 4 2" xfId="5458"/>
    <cellStyle name="Normal 2 5 2 3 3 2 4 2 2" xfId="14297"/>
    <cellStyle name="Normal 2 5 2 3 3 2 4 2 2 2" xfId="24548"/>
    <cellStyle name="Normal 2 5 2 3 3 2 4 2 3" xfId="10718"/>
    <cellStyle name="Normal 2 5 2 3 3 2 4 2 4" xfId="19541"/>
    <cellStyle name="Normal 2 5 2 3 3 2 4 3" xfId="6915"/>
    <cellStyle name="Normal 2 5 2 3 3 2 4 3 2" xfId="15742"/>
    <cellStyle name="Normal 2 5 2 3 3 2 4 3 3" xfId="25993"/>
    <cellStyle name="Normal 2 5 2 3 3 2 4 4" xfId="8361"/>
    <cellStyle name="Normal 2 5 2 3 3 2 4 4 2" xfId="22443"/>
    <cellStyle name="Normal 2 5 2 3 3 2 4 5" xfId="17436"/>
    <cellStyle name="Normal 2 5 2 3 3 2 5" xfId="4414"/>
    <cellStyle name="Normal 2 5 2 3 3 2 5 2" xfId="13254"/>
    <cellStyle name="Normal 2 5 2 3 3 2 5 2 2" xfId="23505"/>
    <cellStyle name="Normal 2 5 2 3 3 2 5 3" xfId="9675"/>
    <cellStyle name="Normal 2 5 2 3 3 2 5 4" xfId="18498"/>
    <cellStyle name="Normal 2 5 2 3 3 2 6" xfId="1686"/>
    <cellStyle name="Normal 2 5 2 3 3 2 6 2" xfId="11065"/>
    <cellStyle name="Normal 2 5 2 3 3 2 6 3" xfId="21069"/>
    <cellStyle name="Normal 2 5 2 3 3 2 7" xfId="5872"/>
    <cellStyle name="Normal 2 5 2 3 3 2 7 2" xfId="14699"/>
    <cellStyle name="Normal 2 5 2 3 3 2 7 3" xfId="24950"/>
    <cellStyle name="Normal 2 5 2 3 3 2 8" xfId="7316"/>
    <cellStyle name="Normal 2 5 2 3 3 2 8 2" xfId="20042"/>
    <cellStyle name="Normal 2 5 2 3 3 2 9" xfId="16062"/>
    <cellStyle name="Normal 2 5 2 3 3 2_Degree data" xfId="3927"/>
    <cellStyle name="Normal 2 5 2 3 3 3" xfId="387"/>
    <cellStyle name="Normal 2 5 2 3 3 3 2" xfId="2875"/>
    <cellStyle name="Normal 2 5 2 3 3 3 2 2" xfId="12165"/>
    <cellStyle name="Normal 2 5 2 3 3 3 2 2 2" xfId="22238"/>
    <cellStyle name="Normal 2 5 2 3 3 3 2 3" xfId="8476"/>
    <cellStyle name="Normal 2 5 2 3 3 3 2 4" xfId="17231"/>
    <cellStyle name="Normal 2 5 2 3 3 3 3" xfId="4566"/>
    <cellStyle name="Normal 2 5 2 3 3 3 3 2" xfId="13406"/>
    <cellStyle name="Normal 2 5 2 3 3 3 3 2 2" xfId="23657"/>
    <cellStyle name="Normal 2 5 2 3 3 3 3 3" xfId="9827"/>
    <cellStyle name="Normal 2 5 2 3 3 3 3 4" xfId="18650"/>
    <cellStyle name="Normal 2 5 2 3 3 3 4" xfId="1984"/>
    <cellStyle name="Normal 2 5 2 3 3 3 4 2" xfId="11351"/>
    <cellStyle name="Normal 2 5 2 3 3 3 4 3" xfId="21355"/>
    <cellStyle name="Normal 2 5 2 3 3 3 5" xfId="6024"/>
    <cellStyle name="Normal 2 5 2 3 3 3 5 2" xfId="14851"/>
    <cellStyle name="Normal 2 5 2 3 3 3 5 3" xfId="25102"/>
    <cellStyle name="Normal 2 5 2 3 3 3 6" xfId="7468"/>
    <cellStyle name="Normal 2 5 2 3 3 3 6 2" xfId="19837"/>
    <cellStyle name="Normal 2 5 2 3 3 3 7" xfId="16348"/>
    <cellStyle name="Normal 2 5 2 3 3 4" xfId="749"/>
    <cellStyle name="Normal 2 5 2 3 3 4 2" xfId="3237"/>
    <cellStyle name="Normal 2 5 2 3 3 4 2 2" xfId="12381"/>
    <cellStyle name="Normal 2 5 2 3 3 4 2 2 2" xfId="22600"/>
    <cellStyle name="Normal 2 5 2 3 3 4 2 3" xfId="8803"/>
    <cellStyle name="Normal 2 5 2 3 3 4 2 4" xfId="17593"/>
    <cellStyle name="Normal 2 5 2 3 3 4 3" xfId="4915"/>
    <cellStyle name="Normal 2 5 2 3 3 4 3 2" xfId="13754"/>
    <cellStyle name="Normal 2 5 2 3 3 4 3 2 2" xfId="24005"/>
    <cellStyle name="Normal 2 5 2 3 3 4 3 3" xfId="10175"/>
    <cellStyle name="Normal 2 5 2 3 3 4 3 4" xfId="18998"/>
    <cellStyle name="Normal 2 5 2 3 3 4 4" xfId="2346"/>
    <cellStyle name="Normal 2 5 2 3 3 4 4 2" xfId="11713"/>
    <cellStyle name="Normal 2 5 2 3 3 4 4 3" xfId="21717"/>
    <cellStyle name="Normal 2 5 2 3 3 4 5" xfId="6372"/>
    <cellStyle name="Normal 2 5 2 3 3 4 5 2" xfId="15199"/>
    <cellStyle name="Normal 2 5 2 3 3 4 5 3" xfId="25450"/>
    <cellStyle name="Normal 2 5 2 3 3 4 6" xfId="7818"/>
    <cellStyle name="Normal 2 5 2 3 3 4 6 2" xfId="20199"/>
    <cellStyle name="Normal 2 5 2 3 3 4 7" xfId="16710"/>
    <cellStyle name="Normal 2 5 2 3 3 5" xfId="1159"/>
    <cellStyle name="Normal 2 5 2 3 3 5 2" xfId="3590"/>
    <cellStyle name="Normal 2 5 2 3 3 5 2 2" xfId="12728"/>
    <cellStyle name="Normal 2 5 2 3 3 5 2 2 2" xfId="22947"/>
    <cellStyle name="Normal 2 5 2 3 3 5 2 3" xfId="9149"/>
    <cellStyle name="Normal 2 5 2 3 3 5 2 4" xfId="17940"/>
    <cellStyle name="Normal 2 5 2 3 3 5 3" xfId="5253"/>
    <cellStyle name="Normal 2 5 2 3 3 5 3 2" xfId="14092"/>
    <cellStyle name="Normal 2 5 2 3 3 5 3 2 2" xfId="24343"/>
    <cellStyle name="Normal 2 5 2 3 3 5 3 3" xfId="10513"/>
    <cellStyle name="Normal 2 5 2 3 3 5 3 4" xfId="19336"/>
    <cellStyle name="Normal 2 5 2 3 3 5 4" xfId="1869"/>
    <cellStyle name="Normal 2 5 2 3 3 5 4 2" xfId="11239"/>
    <cellStyle name="Normal 2 5 2 3 3 5 4 3" xfId="21243"/>
    <cellStyle name="Normal 2 5 2 3 3 5 5" xfId="6710"/>
    <cellStyle name="Normal 2 5 2 3 3 5 5 2" xfId="15537"/>
    <cellStyle name="Normal 2 5 2 3 3 5 5 3" xfId="25788"/>
    <cellStyle name="Normal 2 5 2 3 3 5 6" xfId="8156"/>
    <cellStyle name="Normal 2 5 2 3 3 5 6 2" xfId="20546"/>
    <cellStyle name="Normal 2 5 2 3 3 5 7" xfId="16236"/>
    <cellStyle name="Normal 2 5 2 3 3 6" xfId="2763"/>
    <cellStyle name="Normal 2 5 2 3 3 6 2" xfId="12082"/>
    <cellStyle name="Normal 2 5 2 3 3 6 2 2" xfId="22126"/>
    <cellStyle name="Normal 2 5 2 3 3 6 3" xfId="8497"/>
    <cellStyle name="Normal 2 5 2 3 3 6 4" xfId="17119"/>
    <cellStyle name="Normal 2 5 2 3 3 7" xfId="4209"/>
    <cellStyle name="Normal 2 5 2 3 3 7 2" xfId="13049"/>
    <cellStyle name="Normal 2 5 2 3 3 7 2 2" xfId="23300"/>
    <cellStyle name="Normal 2 5 2 3 3 7 3" xfId="9470"/>
    <cellStyle name="Normal 2 5 2 3 3 7 4" xfId="18293"/>
    <cellStyle name="Normal 2 5 2 3 3 8" xfId="1481"/>
    <cellStyle name="Normal 2 5 2 3 3 8 2" xfId="10860"/>
    <cellStyle name="Normal 2 5 2 3 3 8 3" xfId="20864"/>
    <cellStyle name="Normal 2 5 2 3 3 9" xfId="5667"/>
    <cellStyle name="Normal 2 5 2 3 3 9 2" xfId="14494"/>
    <cellStyle name="Normal 2 5 2 3 3 9 3" xfId="24745"/>
    <cellStyle name="Normal 2 5 2 3 3_Degree data" xfId="3474"/>
    <cellStyle name="Normal 2 5 2 3 4" xfId="487"/>
    <cellStyle name="Normal 2 5 2 3 4 2" xfId="751"/>
    <cellStyle name="Normal 2 5 2 3 4 2 2" xfId="3239"/>
    <cellStyle name="Normal 2 5 2 3 4 2 2 2" xfId="12383"/>
    <cellStyle name="Normal 2 5 2 3 4 2 2 2 2" xfId="22602"/>
    <cellStyle name="Normal 2 5 2 3 4 2 2 3" xfId="8805"/>
    <cellStyle name="Normal 2 5 2 3 4 2 2 4" xfId="17595"/>
    <cellStyle name="Normal 2 5 2 3 4 2 3" xfId="4568"/>
    <cellStyle name="Normal 2 5 2 3 4 2 3 2" xfId="13408"/>
    <cellStyle name="Normal 2 5 2 3 4 2 3 2 2" xfId="23659"/>
    <cellStyle name="Normal 2 5 2 3 4 2 3 3" xfId="9829"/>
    <cellStyle name="Normal 2 5 2 3 4 2 3 4" xfId="18652"/>
    <cellStyle name="Normal 2 5 2 3 4 2 4" xfId="2348"/>
    <cellStyle name="Normal 2 5 2 3 4 2 4 2" xfId="11715"/>
    <cellStyle name="Normal 2 5 2 3 4 2 4 3" xfId="21719"/>
    <cellStyle name="Normal 2 5 2 3 4 2 5" xfId="6026"/>
    <cellStyle name="Normal 2 5 2 3 4 2 5 2" xfId="14853"/>
    <cellStyle name="Normal 2 5 2 3 4 2 5 3" xfId="25104"/>
    <cellStyle name="Normal 2 5 2 3 4 2 6" xfId="7470"/>
    <cellStyle name="Normal 2 5 2 3 4 2 6 2" xfId="20201"/>
    <cellStyle name="Normal 2 5 2 3 4 2 7" xfId="16712"/>
    <cellStyle name="Normal 2 5 2 3 4 3" xfId="1259"/>
    <cellStyle name="Normal 2 5 2 3 4 3 2" xfId="3690"/>
    <cellStyle name="Normal 2 5 2 3 4 3 2 2" xfId="12828"/>
    <cellStyle name="Normal 2 5 2 3 4 3 2 2 2" xfId="23047"/>
    <cellStyle name="Normal 2 5 2 3 4 3 2 3" xfId="9249"/>
    <cellStyle name="Normal 2 5 2 3 4 3 2 4" xfId="18040"/>
    <cellStyle name="Normal 2 5 2 3 4 3 3" xfId="4917"/>
    <cellStyle name="Normal 2 5 2 3 4 3 3 2" xfId="13756"/>
    <cellStyle name="Normal 2 5 2 3 4 3 3 2 2" xfId="24007"/>
    <cellStyle name="Normal 2 5 2 3 4 3 3 3" xfId="10177"/>
    <cellStyle name="Normal 2 5 2 3 4 3 3 4" xfId="19000"/>
    <cellStyle name="Normal 2 5 2 3 4 3 4" xfId="2084"/>
    <cellStyle name="Normal 2 5 2 3 4 3 4 2" xfId="11451"/>
    <cellStyle name="Normal 2 5 2 3 4 3 4 3" xfId="21455"/>
    <cellStyle name="Normal 2 5 2 3 4 3 5" xfId="6374"/>
    <cellStyle name="Normal 2 5 2 3 4 3 5 2" xfId="15201"/>
    <cellStyle name="Normal 2 5 2 3 4 3 5 3" xfId="25452"/>
    <cellStyle name="Normal 2 5 2 3 4 3 6" xfId="7820"/>
    <cellStyle name="Normal 2 5 2 3 4 3 6 2" xfId="20646"/>
    <cellStyle name="Normal 2 5 2 3 4 3 7" xfId="16448"/>
    <cellStyle name="Normal 2 5 2 3 4 4" xfId="2975"/>
    <cellStyle name="Normal 2 5 2 3 4 4 2" xfId="5353"/>
    <cellStyle name="Normal 2 5 2 3 4 4 2 2" xfId="14192"/>
    <cellStyle name="Normal 2 5 2 3 4 4 2 2 2" xfId="24443"/>
    <cellStyle name="Normal 2 5 2 3 4 4 2 3" xfId="10613"/>
    <cellStyle name="Normal 2 5 2 3 4 4 2 4" xfId="19436"/>
    <cellStyle name="Normal 2 5 2 3 4 4 3" xfId="6810"/>
    <cellStyle name="Normal 2 5 2 3 4 4 3 2" xfId="15637"/>
    <cellStyle name="Normal 2 5 2 3 4 4 3 3" xfId="25888"/>
    <cellStyle name="Normal 2 5 2 3 4 4 4" xfId="8256"/>
    <cellStyle name="Normal 2 5 2 3 4 4 4 2" xfId="22338"/>
    <cellStyle name="Normal 2 5 2 3 4 4 5" xfId="17331"/>
    <cellStyle name="Normal 2 5 2 3 4 5" xfId="4309"/>
    <cellStyle name="Normal 2 5 2 3 4 5 2" xfId="13149"/>
    <cellStyle name="Normal 2 5 2 3 4 5 2 2" xfId="23400"/>
    <cellStyle name="Normal 2 5 2 3 4 5 3" xfId="9570"/>
    <cellStyle name="Normal 2 5 2 3 4 5 4" xfId="18393"/>
    <cellStyle name="Normal 2 5 2 3 4 6" xfId="1581"/>
    <cellStyle name="Normal 2 5 2 3 4 6 2" xfId="10960"/>
    <cellStyle name="Normal 2 5 2 3 4 6 3" xfId="20964"/>
    <cellStyle name="Normal 2 5 2 3 4 7" xfId="5767"/>
    <cellStyle name="Normal 2 5 2 3 4 7 2" xfId="14594"/>
    <cellStyle name="Normal 2 5 2 3 4 7 3" xfId="24845"/>
    <cellStyle name="Normal 2 5 2 3 4 8" xfId="7211"/>
    <cellStyle name="Normal 2 5 2 3 4 8 2" xfId="19937"/>
    <cellStyle name="Normal 2 5 2 3 4 9" xfId="15957"/>
    <cellStyle name="Normal 2 5 2 3 4_Degree data" xfId="3921"/>
    <cellStyle name="Normal 2 5 2 3 5" xfId="328"/>
    <cellStyle name="Normal 2 5 2 3 5 2" xfId="2816"/>
    <cellStyle name="Normal 2 5 2 3 5 2 2" xfId="12122"/>
    <cellStyle name="Normal 2 5 2 3 5 2 2 2" xfId="22179"/>
    <cellStyle name="Normal 2 5 2 3 5 2 3" xfId="8420"/>
    <cellStyle name="Normal 2 5 2 3 5 2 4" xfId="17172"/>
    <cellStyle name="Normal 2 5 2 3 5 3" xfId="4563"/>
    <cellStyle name="Normal 2 5 2 3 5 3 2" xfId="13403"/>
    <cellStyle name="Normal 2 5 2 3 5 3 2 2" xfId="23654"/>
    <cellStyle name="Normal 2 5 2 3 5 3 3" xfId="9824"/>
    <cellStyle name="Normal 2 5 2 3 5 3 4" xfId="18647"/>
    <cellStyle name="Normal 2 5 2 3 5 4" xfId="1925"/>
    <cellStyle name="Normal 2 5 2 3 5 4 2" xfId="11292"/>
    <cellStyle name="Normal 2 5 2 3 5 4 3" xfId="21296"/>
    <cellStyle name="Normal 2 5 2 3 5 5" xfId="6021"/>
    <cellStyle name="Normal 2 5 2 3 5 5 2" xfId="14848"/>
    <cellStyle name="Normal 2 5 2 3 5 5 3" xfId="25099"/>
    <cellStyle name="Normal 2 5 2 3 5 6" xfId="7465"/>
    <cellStyle name="Normal 2 5 2 3 5 6 2" xfId="19778"/>
    <cellStyle name="Normal 2 5 2 3 5 7" xfId="16289"/>
    <cellStyle name="Normal 2 5 2 3 6" xfId="746"/>
    <cellStyle name="Normal 2 5 2 3 6 2" xfId="3234"/>
    <cellStyle name="Normal 2 5 2 3 6 2 2" xfId="12378"/>
    <cellStyle name="Normal 2 5 2 3 6 2 2 2" xfId="22597"/>
    <cellStyle name="Normal 2 5 2 3 6 2 3" xfId="8800"/>
    <cellStyle name="Normal 2 5 2 3 6 2 4" xfId="17590"/>
    <cellStyle name="Normal 2 5 2 3 6 3" xfId="4912"/>
    <cellStyle name="Normal 2 5 2 3 6 3 2" xfId="13751"/>
    <cellStyle name="Normal 2 5 2 3 6 3 2 2" xfId="24002"/>
    <cellStyle name="Normal 2 5 2 3 6 3 3" xfId="10172"/>
    <cellStyle name="Normal 2 5 2 3 6 3 4" xfId="18995"/>
    <cellStyle name="Normal 2 5 2 3 6 4" xfId="2343"/>
    <cellStyle name="Normal 2 5 2 3 6 4 2" xfId="11710"/>
    <cellStyle name="Normal 2 5 2 3 6 4 3" xfId="21714"/>
    <cellStyle name="Normal 2 5 2 3 6 5" xfId="6369"/>
    <cellStyle name="Normal 2 5 2 3 6 5 2" xfId="15196"/>
    <cellStyle name="Normal 2 5 2 3 6 5 3" xfId="25447"/>
    <cellStyle name="Normal 2 5 2 3 6 6" xfId="7815"/>
    <cellStyle name="Normal 2 5 2 3 6 6 2" xfId="20196"/>
    <cellStyle name="Normal 2 5 2 3 6 7" xfId="16707"/>
    <cellStyle name="Normal 2 5 2 3 7" xfId="1100"/>
    <cellStyle name="Normal 2 5 2 3 7 2" xfId="3531"/>
    <cellStyle name="Normal 2 5 2 3 7 2 2" xfId="12669"/>
    <cellStyle name="Normal 2 5 2 3 7 2 2 2" xfId="22888"/>
    <cellStyle name="Normal 2 5 2 3 7 2 3" xfId="9091"/>
    <cellStyle name="Normal 2 5 2 3 7 2 4" xfId="17881"/>
    <cellStyle name="Normal 2 5 2 3 7 3" xfId="5194"/>
    <cellStyle name="Normal 2 5 2 3 7 3 2" xfId="14033"/>
    <cellStyle name="Normal 2 5 2 3 7 3 2 2" xfId="24284"/>
    <cellStyle name="Normal 2 5 2 3 7 3 3" xfId="10454"/>
    <cellStyle name="Normal 2 5 2 3 7 3 4" xfId="19277"/>
    <cellStyle name="Normal 2 5 2 3 7 4" xfId="1760"/>
    <cellStyle name="Normal 2 5 2 3 7 4 2" xfId="11133"/>
    <cellStyle name="Normal 2 5 2 3 7 4 3" xfId="21137"/>
    <cellStyle name="Normal 2 5 2 3 7 5" xfId="6651"/>
    <cellStyle name="Normal 2 5 2 3 7 5 2" xfId="15478"/>
    <cellStyle name="Normal 2 5 2 3 7 5 3" xfId="25729"/>
    <cellStyle name="Normal 2 5 2 3 7 6" xfId="8097"/>
    <cellStyle name="Normal 2 5 2 3 7 6 2" xfId="20487"/>
    <cellStyle name="Normal 2 5 2 3 7 7" xfId="16130"/>
    <cellStyle name="Normal 2 5 2 3 8" xfId="2658"/>
    <cellStyle name="Normal 2 5 2 3 8 2" xfId="5608"/>
    <cellStyle name="Normal 2 5 2 3 8 2 2" xfId="14435"/>
    <cellStyle name="Normal 2 5 2 3 8 2 3" xfId="24686"/>
    <cellStyle name="Normal 2 5 2 3 8 3" xfId="7052"/>
    <cellStyle name="Normal 2 5 2 3 8 3 2" xfId="22021"/>
    <cellStyle name="Normal 2 5 2 3 8 4" xfId="17014"/>
    <cellStyle name="Normal 2 5 2 3 9" xfId="4148"/>
    <cellStyle name="Normal 2 5 2 3 9 2" xfId="12988"/>
    <cellStyle name="Normal 2 5 2 3 9 2 2" xfId="23239"/>
    <cellStyle name="Normal 2 5 2 3 9 3" xfId="9409"/>
    <cellStyle name="Normal 2 5 2 3 9 4" xfId="18232"/>
    <cellStyle name="Normal 2 5 2 3_Degree data" xfId="3831"/>
    <cellStyle name="Normal 2 5 2 4" xfId="192"/>
    <cellStyle name="Normal 2 5 2 4 10" xfId="7144"/>
    <cellStyle name="Normal 2 5 2 4 10 2" xfId="19653"/>
    <cellStyle name="Normal 2 5 2 4 11" xfId="15890"/>
    <cellStyle name="Normal 2 5 2 4 2" xfId="520"/>
    <cellStyle name="Normal 2 5 2 4 2 2" xfId="753"/>
    <cellStyle name="Normal 2 5 2 4 2 2 2" xfId="3241"/>
    <cellStyle name="Normal 2 5 2 4 2 2 2 2" xfId="12385"/>
    <cellStyle name="Normal 2 5 2 4 2 2 2 2 2" xfId="22604"/>
    <cellStyle name="Normal 2 5 2 4 2 2 2 3" xfId="8807"/>
    <cellStyle name="Normal 2 5 2 4 2 2 2 4" xfId="17597"/>
    <cellStyle name="Normal 2 5 2 4 2 2 3" xfId="4570"/>
    <cellStyle name="Normal 2 5 2 4 2 2 3 2" xfId="13410"/>
    <cellStyle name="Normal 2 5 2 4 2 2 3 2 2" xfId="23661"/>
    <cellStyle name="Normal 2 5 2 4 2 2 3 3" xfId="9831"/>
    <cellStyle name="Normal 2 5 2 4 2 2 3 4" xfId="18654"/>
    <cellStyle name="Normal 2 5 2 4 2 2 4" xfId="2350"/>
    <cellStyle name="Normal 2 5 2 4 2 2 4 2" xfId="11717"/>
    <cellStyle name="Normal 2 5 2 4 2 2 4 3" xfId="21721"/>
    <cellStyle name="Normal 2 5 2 4 2 2 5" xfId="6028"/>
    <cellStyle name="Normal 2 5 2 4 2 2 5 2" xfId="14855"/>
    <cellStyle name="Normal 2 5 2 4 2 2 5 3" xfId="25106"/>
    <cellStyle name="Normal 2 5 2 4 2 2 6" xfId="7472"/>
    <cellStyle name="Normal 2 5 2 4 2 2 6 2" xfId="20203"/>
    <cellStyle name="Normal 2 5 2 4 2 2 7" xfId="16714"/>
    <cellStyle name="Normal 2 5 2 4 2 3" xfId="1292"/>
    <cellStyle name="Normal 2 5 2 4 2 3 2" xfId="3723"/>
    <cellStyle name="Normal 2 5 2 4 2 3 2 2" xfId="12861"/>
    <cellStyle name="Normal 2 5 2 4 2 3 2 2 2" xfId="23080"/>
    <cellStyle name="Normal 2 5 2 4 2 3 2 3" xfId="9282"/>
    <cellStyle name="Normal 2 5 2 4 2 3 2 4" xfId="18073"/>
    <cellStyle name="Normal 2 5 2 4 2 3 3" xfId="4919"/>
    <cellStyle name="Normal 2 5 2 4 2 3 3 2" xfId="13758"/>
    <cellStyle name="Normal 2 5 2 4 2 3 3 2 2" xfId="24009"/>
    <cellStyle name="Normal 2 5 2 4 2 3 3 3" xfId="10179"/>
    <cellStyle name="Normal 2 5 2 4 2 3 3 4" xfId="19002"/>
    <cellStyle name="Normal 2 5 2 4 2 3 4" xfId="2117"/>
    <cellStyle name="Normal 2 5 2 4 2 3 4 2" xfId="11484"/>
    <cellStyle name="Normal 2 5 2 4 2 3 4 3" xfId="21488"/>
    <cellStyle name="Normal 2 5 2 4 2 3 5" xfId="6376"/>
    <cellStyle name="Normal 2 5 2 4 2 3 5 2" xfId="15203"/>
    <cellStyle name="Normal 2 5 2 4 2 3 5 3" xfId="25454"/>
    <cellStyle name="Normal 2 5 2 4 2 3 6" xfId="7822"/>
    <cellStyle name="Normal 2 5 2 4 2 3 6 2" xfId="20679"/>
    <cellStyle name="Normal 2 5 2 4 2 3 7" xfId="16481"/>
    <cellStyle name="Normal 2 5 2 4 2 4" xfId="3008"/>
    <cellStyle name="Normal 2 5 2 4 2 4 2" xfId="5386"/>
    <cellStyle name="Normal 2 5 2 4 2 4 2 2" xfId="14225"/>
    <cellStyle name="Normal 2 5 2 4 2 4 2 2 2" xfId="24476"/>
    <cellStyle name="Normal 2 5 2 4 2 4 2 3" xfId="10646"/>
    <cellStyle name="Normal 2 5 2 4 2 4 2 4" xfId="19469"/>
    <cellStyle name="Normal 2 5 2 4 2 4 3" xfId="6843"/>
    <cellStyle name="Normal 2 5 2 4 2 4 3 2" xfId="15670"/>
    <cellStyle name="Normal 2 5 2 4 2 4 3 3" xfId="25921"/>
    <cellStyle name="Normal 2 5 2 4 2 4 4" xfId="8289"/>
    <cellStyle name="Normal 2 5 2 4 2 4 4 2" xfId="22371"/>
    <cellStyle name="Normal 2 5 2 4 2 4 5" xfId="17364"/>
    <cellStyle name="Normal 2 5 2 4 2 5" xfId="4342"/>
    <cellStyle name="Normal 2 5 2 4 2 5 2" xfId="13182"/>
    <cellStyle name="Normal 2 5 2 4 2 5 2 2" xfId="23433"/>
    <cellStyle name="Normal 2 5 2 4 2 5 3" xfId="9603"/>
    <cellStyle name="Normal 2 5 2 4 2 5 4" xfId="18426"/>
    <cellStyle name="Normal 2 5 2 4 2 6" xfId="1614"/>
    <cellStyle name="Normal 2 5 2 4 2 6 2" xfId="10993"/>
    <cellStyle name="Normal 2 5 2 4 2 6 3" xfId="20997"/>
    <cellStyle name="Normal 2 5 2 4 2 7" xfId="5800"/>
    <cellStyle name="Normal 2 5 2 4 2 7 2" xfId="14627"/>
    <cellStyle name="Normal 2 5 2 4 2 7 3" xfId="24878"/>
    <cellStyle name="Normal 2 5 2 4 2 8" xfId="7244"/>
    <cellStyle name="Normal 2 5 2 4 2 8 2" xfId="19970"/>
    <cellStyle name="Normal 2 5 2 4 2 9" xfId="15990"/>
    <cellStyle name="Normal 2 5 2 4 2_Degree data" xfId="3886"/>
    <cellStyle name="Normal 2 5 2 4 3" xfId="420"/>
    <cellStyle name="Normal 2 5 2 4 3 2" xfId="2908"/>
    <cellStyle name="Normal 2 5 2 4 3 2 2" xfId="12198"/>
    <cellStyle name="Normal 2 5 2 4 3 2 2 2" xfId="22271"/>
    <cellStyle name="Normal 2 5 2 4 3 2 3" xfId="8655"/>
    <cellStyle name="Normal 2 5 2 4 3 2 4" xfId="17264"/>
    <cellStyle name="Normal 2 5 2 4 3 3" xfId="4569"/>
    <cellStyle name="Normal 2 5 2 4 3 3 2" xfId="13409"/>
    <cellStyle name="Normal 2 5 2 4 3 3 2 2" xfId="23660"/>
    <cellStyle name="Normal 2 5 2 4 3 3 3" xfId="9830"/>
    <cellStyle name="Normal 2 5 2 4 3 3 4" xfId="18653"/>
    <cellStyle name="Normal 2 5 2 4 3 4" xfId="2017"/>
    <cellStyle name="Normal 2 5 2 4 3 4 2" xfId="11384"/>
    <cellStyle name="Normal 2 5 2 4 3 4 3" xfId="21388"/>
    <cellStyle name="Normal 2 5 2 4 3 5" xfId="6027"/>
    <cellStyle name="Normal 2 5 2 4 3 5 2" xfId="14854"/>
    <cellStyle name="Normal 2 5 2 4 3 5 3" xfId="25105"/>
    <cellStyle name="Normal 2 5 2 4 3 6" xfId="7471"/>
    <cellStyle name="Normal 2 5 2 4 3 6 2" xfId="19870"/>
    <cellStyle name="Normal 2 5 2 4 3 7" xfId="16381"/>
    <cellStyle name="Normal 2 5 2 4 4" xfId="752"/>
    <cellStyle name="Normal 2 5 2 4 4 2" xfId="3240"/>
    <cellStyle name="Normal 2 5 2 4 4 2 2" xfId="12384"/>
    <cellStyle name="Normal 2 5 2 4 4 2 2 2" xfId="22603"/>
    <cellStyle name="Normal 2 5 2 4 4 2 3" xfId="8806"/>
    <cellStyle name="Normal 2 5 2 4 4 2 4" xfId="17596"/>
    <cellStyle name="Normal 2 5 2 4 4 3" xfId="4918"/>
    <cellStyle name="Normal 2 5 2 4 4 3 2" xfId="13757"/>
    <cellStyle name="Normal 2 5 2 4 4 3 2 2" xfId="24008"/>
    <cellStyle name="Normal 2 5 2 4 4 3 3" xfId="10178"/>
    <cellStyle name="Normal 2 5 2 4 4 3 4" xfId="19001"/>
    <cellStyle name="Normal 2 5 2 4 4 4" xfId="2349"/>
    <cellStyle name="Normal 2 5 2 4 4 4 2" xfId="11716"/>
    <cellStyle name="Normal 2 5 2 4 4 4 3" xfId="21720"/>
    <cellStyle name="Normal 2 5 2 4 4 5" xfId="6375"/>
    <cellStyle name="Normal 2 5 2 4 4 5 2" xfId="15202"/>
    <cellStyle name="Normal 2 5 2 4 4 5 3" xfId="25453"/>
    <cellStyle name="Normal 2 5 2 4 4 6" xfId="7821"/>
    <cellStyle name="Normal 2 5 2 4 4 6 2" xfId="20202"/>
    <cellStyle name="Normal 2 5 2 4 4 7" xfId="16713"/>
    <cellStyle name="Normal 2 5 2 4 5" xfId="1192"/>
    <cellStyle name="Normal 2 5 2 4 5 2" xfId="3623"/>
    <cellStyle name="Normal 2 5 2 4 5 2 2" xfId="12761"/>
    <cellStyle name="Normal 2 5 2 4 5 2 2 2" xfId="22980"/>
    <cellStyle name="Normal 2 5 2 4 5 2 3" xfId="9182"/>
    <cellStyle name="Normal 2 5 2 4 5 2 4" xfId="17973"/>
    <cellStyle name="Normal 2 5 2 4 5 3" xfId="5286"/>
    <cellStyle name="Normal 2 5 2 4 5 3 2" xfId="14125"/>
    <cellStyle name="Normal 2 5 2 4 5 3 2 2" xfId="24376"/>
    <cellStyle name="Normal 2 5 2 4 5 3 3" xfId="10546"/>
    <cellStyle name="Normal 2 5 2 4 5 3 4" xfId="19369"/>
    <cellStyle name="Normal 2 5 2 4 5 4" xfId="1796"/>
    <cellStyle name="Normal 2 5 2 4 5 4 2" xfId="11167"/>
    <cellStyle name="Normal 2 5 2 4 5 4 3" xfId="21171"/>
    <cellStyle name="Normal 2 5 2 4 5 5" xfId="6743"/>
    <cellStyle name="Normal 2 5 2 4 5 5 2" xfId="15570"/>
    <cellStyle name="Normal 2 5 2 4 5 5 3" xfId="25821"/>
    <cellStyle name="Normal 2 5 2 4 5 6" xfId="8189"/>
    <cellStyle name="Normal 2 5 2 4 5 6 2" xfId="20579"/>
    <cellStyle name="Normal 2 5 2 4 5 7" xfId="16164"/>
    <cellStyle name="Normal 2 5 2 4 6" xfId="2691"/>
    <cellStyle name="Normal 2 5 2 4 6 2" xfId="12010"/>
    <cellStyle name="Normal 2 5 2 4 6 2 2" xfId="22054"/>
    <cellStyle name="Normal 2 5 2 4 6 3" xfId="8632"/>
    <cellStyle name="Normal 2 5 2 4 6 4" xfId="17047"/>
    <cellStyle name="Normal 2 5 2 4 7" xfId="4242"/>
    <cellStyle name="Normal 2 5 2 4 7 2" xfId="13082"/>
    <cellStyle name="Normal 2 5 2 4 7 2 2" xfId="23333"/>
    <cellStyle name="Normal 2 5 2 4 7 3" xfId="9503"/>
    <cellStyle name="Normal 2 5 2 4 7 4" xfId="18326"/>
    <cellStyle name="Normal 2 5 2 4 8" xfId="1514"/>
    <cellStyle name="Normal 2 5 2 4 8 2" xfId="10893"/>
    <cellStyle name="Normal 2 5 2 4 8 3" xfId="20897"/>
    <cellStyle name="Normal 2 5 2 4 9" xfId="5700"/>
    <cellStyle name="Normal 2 5 2 4 9 2" xfId="14527"/>
    <cellStyle name="Normal 2 5 2 4 9 3" xfId="24778"/>
    <cellStyle name="Normal 2 5 2 4_Degree data" xfId="3852"/>
    <cellStyle name="Normal 2 5 2 5" xfId="251"/>
    <cellStyle name="Normal 2 5 2 5 10" xfId="7093"/>
    <cellStyle name="Normal 2 5 2 5 10 2" xfId="19707"/>
    <cellStyle name="Normal 2 5 2 5 11" xfId="15839"/>
    <cellStyle name="Normal 2 5 2 5 2" xfId="574"/>
    <cellStyle name="Normal 2 5 2 5 2 2" xfId="755"/>
    <cellStyle name="Normal 2 5 2 5 2 2 2" xfId="3243"/>
    <cellStyle name="Normal 2 5 2 5 2 2 2 2" xfId="12387"/>
    <cellStyle name="Normal 2 5 2 5 2 2 2 2 2" xfId="22606"/>
    <cellStyle name="Normal 2 5 2 5 2 2 2 3" xfId="8809"/>
    <cellStyle name="Normal 2 5 2 5 2 2 2 4" xfId="17599"/>
    <cellStyle name="Normal 2 5 2 5 2 2 3" xfId="4572"/>
    <cellStyle name="Normal 2 5 2 5 2 2 3 2" xfId="13412"/>
    <cellStyle name="Normal 2 5 2 5 2 2 3 2 2" xfId="23663"/>
    <cellStyle name="Normal 2 5 2 5 2 2 3 3" xfId="9833"/>
    <cellStyle name="Normal 2 5 2 5 2 2 3 4" xfId="18656"/>
    <cellStyle name="Normal 2 5 2 5 2 2 4" xfId="2352"/>
    <cellStyle name="Normal 2 5 2 5 2 2 4 2" xfId="11719"/>
    <cellStyle name="Normal 2 5 2 5 2 2 4 3" xfId="21723"/>
    <cellStyle name="Normal 2 5 2 5 2 2 5" xfId="6030"/>
    <cellStyle name="Normal 2 5 2 5 2 2 5 2" xfId="14857"/>
    <cellStyle name="Normal 2 5 2 5 2 2 5 3" xfId="25108"/>
    <cellStyle name="Normal 2 5 2 5 2 2 6" xfId="7474"/>
    <cellStyle name="Normal 2 5 2 5 2 2 6 2" xfId="20205"/>
    <cellStyle name="Normal 2 5 2 5 2 2 7" xfId="16716"/>
    <cellStyle name="Normal 2 5 2 5 2 3" xfId="1346"/>
    <cellStyle name="Normal 2 5 2 5 2 3 2" xfId="3777"/>
    <cellStyle name="Normal 2 5 2 5 2 3 2 2" xfId="12915"/>
    <cellStyle name="Normal 2 5 2 5 2 3 2 2 2" xfId="23134"/>
    <cellStyle name="Normal 2 5 2 5 2 3 2 3" xfId="9336"/>
    <cellStyle name="Normal 2 5 2 5 2 3 2 4" xfId="18127"/>
    <cellStyle name="Normal 2 5 2 5 2 3 3" xfId="4921"/>
    <cellStyle name="Normal 2 5 2 5 2 3 3 2" xfId="13760"/>
    <cellStyle name="Normal 2 5 2 5 2 3 3 2 2" xfId="24011"/>
    <cellStyle name="Normal 2 5 2 5 2 3 3 3" xfId="10181"/>
    <cellStyle name="Normal 2 5 2 5 2 3 3 4" xfId="19004"/>
    <cellStyle name="Normal 2 5 2 5 2 3 4" xfId="2171"/>
    <cellStyle name="Normal 2 5 2 5 2 3 4 2" xfId="11538"/>
    <cellStyle name="Normal 2 5 2 5 2 3 4 3" xfId="21542"/>
    <cellStyle name="Normal 2 5 2 5 2 3 5" xfId="6378"/>
    <cellStyle name="Normal 2 5 2 5 2 3 5 2" xfId="15205"/>
    <cellStyle name="Normal 2 5 2 5 2 3 5 3" xfId="25456"/>
    <cellStyle name="Normal 2 5 2 5 2 3 6" xfId="7824"/>
    <cellStyle name="Normal 2 5 2 5 2 3 6 2" xfId="20733"/>
    <cellStyle name="Normal 2 5 2 5 2 3 7" xfId="16535"/>
    <cellStyle name="Normal 2 5 2 5 2 4" xfId="3062"/>
    <cellStyle name="Normal 2 5 2 5 2 4 2" xfId="5440"/>
    <cellStyle name="Normal 2 5 2 5 2 4 2 2" xfId="14279"/>
    <cellStyle name="Normal 2 5 2 5 2 4 2 2 2" xfId="24530"/>
    <cellStyle name="Normal 2 5 2 5 2 4 2 3" xfId="10700"/>
    <cellStyle name="Normal 2 5 2 5 2 4 2 4" xfId="19523"/>
    <cellStyle name="Normal 2 5 2 5 2 4 3" xfId="6897"/>
    <cellStyle name="Normal 2 5 2 5 2 4 3 2" xfId="15724"/>
    <cellStyle name="Normal 2 5 2 5 2 4 3 3" xfId="25975"/>
    <cellStyle name="Normal 2 5 2 5 2 4 4" xfId="8343"/>
    <cellStyle name="Normal 2 5 2 5 2 4 4 2" xfId="22425"/>
    <cellStyle name="Normal 2 5 2 5 2 4 5" xfId="17418"/>
    <cellStyle name="Normal 2 5 2 5 2 5" xfId="4396"/>
    <cellStyle name="Normal 2 5 2 5 2 5 2" xfId="13236"/>
    <cellStyle name="Normal 2 5 2 5 2 5 2 2" xfId="23487"/>
    <cellStyle name="Normal 2 5 2 5 2 5 3" xfId="9657"/>
    <cellStyle name="Normal 2 5 2 5 2 5 4" xfId="18480"/>
    <cellStyle name="Normal 2 5 2 5 2 6" xfId="1668"/>
    <cellStyle name="Normal 2 5 2 5 2 6 2" xfId="11047"/>
    <cellStyle name="Normal 2 5 2 5 2 6 3" xfId="21051"/>
    <cellStyle name="Normal 2 5 2 5 2 7" xfId="5854"/>
    <cellStyle name="Normal 2 5 2 5 2 7 2" xfId="14681"/>
    <cellStyle name="Normal 2 5 2 5 2 7 3" xfId="24932"/>
    <cellStyle name="Normal 2 5 2 5 2 8" xfId="7298"/>
    <cellStyle name="Normal 2 5 2 5 2 8 2" xfId="20024"/>
    <cellStyle name="Normal 2 5 2 5 2 9" xfId="16044"/>
    <cellStyle name="Normal 2 5 2 5 2_Degree data" xfId="3827"/>
    <cellStyle name="Normal 2 5 2 5 3" xfId="369"/>
    <cellStyle name="Normal 2 5 2 5 3 2" xfId="2857"/>
    <cellStyle name="Normal 2 5 2 5 3 2 2" xfId="12147"/>
    <cellStyle name="Normal 2 5 2 5 3 2 2 2" xfId="22220"/>
    <cellStyle name="Normal 2 5 2 5 3 2 3" xfId="8397"/>
    <cellStyle name="Normal 2 5 2 5 3 2 4" xfId="17213"/>
    <cellStyle name="Normal 2 5 2 5 3 3" xfId="4571"/>
    <cellStyle name="Normal 2 5 2 5 3 3 2" xfId="13411"/>
    <cellStyle name="Normal 2 5 2 5 3 3 2 2" xfId="23662"/>
    <cellStyle name="Normal 2 5 2 5 3 3 3" xfId="9832"/>
    <cellStyle name="Normal 2 5 2 5 3 3 4" xfId="18655"/>
    <cellStyle name="Normal 2 5 2 5 3 4" xfId="1966"/>
    <cellStyle name="Normal 2 5 2 5 3 4 2" xfId="11333"/>
    <cellStyle name="Normal 2 5 2 5 3 4 3" xfId="21337"/>
    <cellStyle name="Normal 2 5 2 5 3 5" xfId="6029"/>
    <cellStyle name="Normal 2 5 2 5 3 5 2" xfId="14856"/>
    <cellStyle name="Normal 2 5 2 5 3 5 3" xfId="25107"/>
    <cellStyle name="Normal 2 5 2 5 3 6" xfId="7473"/>
    <cellStyle name="Normal 2 5 2 5 3 6 2" xfId="19819"/>
    <cellStyle name="Normal 2 5 2 5 3 7" xfId="16330"/>
    <cellStyle name="Normal 2 5 2 5 4" xfId="754"/>
    <cellStyle name="Normal 2 5 2 5 4 2" xfId="3242"/>
    <cellStyle name="Normal 2 5 2 5 4 2 2" xfId="12386"/>
    <cellStyle name="Normal 2 5 2 5 4 2 2 2" xfId="22605"/>
    <cellStyle name="Normal 2 5 2 5 4 2 3" xfId="8808"/>
    <cellStyle name="Normal 2 5 2 5 4 2 4" xfId="17598"/>
    <cellStyle name="Normal 2 5 2 5 4 3" xfId="4920"/>
    <cellStyle name="Normal 2 5 2 5 4 3 2" xfId="13759"/>
    <cellStyle name="Normal 2 5 2 5 4 3 2 2" xfId="24010"/>
    <cellStyle name="Normal 2 5 2 5 4 3 3" xfId="10180"/>
    <cellStyle name="Normal 2 5 2 5 4 3 4" xfId="19003"/>
    <cellStyle name="Normal 2 5 2 5 4 4" xfId="2351"/>
    <cellStyle name="Normal 2 5 2 5 4 4 2" xfId="11718"/>
    <cellStyle name="Normal 2 5 2 5 4 4 3" xfId="21722"/>
    <cellStyle name="Normal 2 5 2 5 4 5" xfId="6377"/>
    <cellStyle name="Normal 2 5 2 5 4 5 2" xfId="15204"/>
    <cellStyle name="Normal 2 5 2 5 4 5 3" xfId="25455"/>
    <cellStyle name="Normal 2 5 2 5 4 6" xfId="7823"/>
    <cellStyle name="Normal 2 5 2 5 4 6 2" xfId="20204"/>
    <cellStyle name="Normal 2 5 2 5 4 7" xfId="16715"/>
    <cellStyle name="Normal 2 5 2 5 5" xfId="1141"/>
    <cellStyle name="Normal 2 5 2 5 5 2" xfId="3572"/>
    <cellStyle name="Normal 2 5 2 5 5 2 2" xfId="12710"/>
    <cellStyle name="Normal 2 5 2 5 5 2 2 2" xfId="22929"/>
    <cellStyle name="Normal 2 5 2 5 5 2 3" xfId="9131"/>
    <cellStyle name="Normal 2 5 2 5 5 2 4" xfId="17922"/>
    <cellStyle name="Normal 2 5 2 5 5 3" xfId="5235"/>
    <cellStyle name="Normal 2 5 2 5 5 3 2" xfId="14074"/>
    <cellStyle name="Normal 2 5 2 5 5 3 2 2" xfId="24325"/>
    <cellStyle name="Normal 2 5 2 5 5 3 3" xfId="10495"/>
    <cellStyle name="Normal 2 5 2 5 5 3 4" xfId="19318"/>
    <cellStyle name="Normal 2 5 2 5 5 4" xfId="1851"/>
    <cellStyle name="Normal 2 5 2 5 5 4 2" xfId="11221"/>
    <cellStyle name="Normal 2 5 2 5 5 4 3" xfId="21225"/>
    <cellStyle name="Normal 2 5 2 5 5 5" xfId="6692"/>
    <cellStyle name="Normal 2 5 2 5 5 5 2" xfId="15519"/>
    <cellStyle name="Normal 2 5 2 5 5 5 3" xfId="25770"/>
    <cellStyle name="Normal 2 5 2 5 5 6" xfId="8138"/>
    <cellStyle name="Normal 2 5 2 5 5 6 2" xfId="20528"/>
    <cellStyle name="Normal 2 5 2 5 5 7" xfId="16218"/>
    <cellStyle name="Normal 2 5 2 5 6" xfId="2745"/>
    <cellStyle name="Normal 2 5 2 5 6 2" xfId="12064"/>
    <cellStyle name="Normal 2 5 2 5 6 2 2" xfId="22108"/>
    <cellStyle name="Normal 2 5 2 5 6 3" xfId="8439"/>
    <cellStyle name="Normal 2 5 2 5 6 4" xfId="17101"/>
    <cellStyle name="Normal 2 5 2 5 7" xfId="4191"/>
    <cellStyle name="Normal 2 5 2 5 7 2" xfId="13031"/>
    <cellStyle name="Normal 2 5 2 5 7 2 2" xfId="23282"/>
    <cellStyle name="Normal 2 5 2 5 7 3" xfId="9452"/>
    <cellStyle name="Normal 2 5 2 5 7 4" xfId="18275"/>
    <cellStyle name="Normal 2 5 2 5 8" xfId="1463"/>
    <cellStyle name="Normal 2 5 2 5 8 2" xfId="10842"/>
    <cellStyle name="Normal 2 5 2 5 8 3" xfId="20846"/>
    <cellStyle name="Normal 2 5 2 5 9" xfId="5649"/>
    <cellStyle name="Normal 2 5 2 5 9 2" xfId="14476"/>
    <cellStyle name="Normal 2 5 2 5 9 3" xfId="24727"/>
    <cellStyle name="Normal 2 5 2 5_Degree data" xfId="3918"/>
    <cellStyle name="Normal 2 5 2 6" xfId="469"/>
    <cellStyle name="Normal 2 5 2 6 2" xfId="756"/>
    <cellStyle name="Normal 2 5 2 6 2 2" xfId="3244"/>
    <cellStyle name="Normal 2 5 2 6 2 2 2" xfId="12388"/>
    <cellStyle name="Normal 2 5 2 6 2 2 2 2" xfId="22607"/>
    <cellStyle name="Normal 2 5 2 6 2 2 3" xfId="8810"/>
    <cellStyle name="Normal 2 5 2 6 2 2 4" xfId="17600"/>
    <cellStyle name="Normal 2 5 2 6 2 3" xfId="4573"/>
    <cellStyle name="Normal 2 5 2 6 2 3 2" xfId="13413"/>
    <cellStyle name="Normal 2 5 2 6 2 3 2 2" xfId="23664"/>
    <cellStyle name="Normal 2 5 2 6 2 3 3" xfId="9834"/>
    <cellStyle name="Normal 2 5 2 6 2 3 4" xfId="18657"/>
    <cellStyle name="Normal 2 5 2 6 2 4" xfId="2353"/>
    <cellStyle name="Normal 2 5 2 6 2 4 2" xfId="11720"/>
    <cellStyle name="Normal 2 5 2 6 2 4 3" xfId="21724"/>
    <cellStyle name="Normal 2 5 2 6 2 5" xfId="6031"/>
    <cellStyle name="Normal 2 5 2 6 2 5 2" xfId="14858"/>
    <cellStyle name="Normal 2 5 2 6 2 5 3" xfId="25109"/>
    <cellStyle name="Normal 2 5 2 6 2 6" xfId="7475"/>
    <cellStyle name="Normal 2 5 2 6 2 6 2" xfId="20206"/>
    <cellStyle name="Normal 2 5 2 6 2 7" xfId="16717"/>
    <cellStyle name="Normal 2 5 2 6 3" xfId="1241"/>
    <cellStyle name="Normal 2 5 2 6 3 2" xfId="3672"/>
    <cellStyle name="Normal 2 5 2 6 3 2 2" xfId="12810"/>
    <cellStyle name="Normal 2 5 2 6 3 2 2 2" xfId="23029"/>
    <cellStyle name="Normal 2 5 2 6 3 2 3" xfId="9231"/>
    <cellStyle name="Normal 2 5 2 6 3 2 4" xfId="18022"/>
    <cellStyle name="Normal 2 5 2 6 3 3" xfId="4922"/>
    <cellStyle name="Normal 2 5 2 6 3 3 2" xfId="13761"/>
    <cellStyle name="Normal 2 5 2 6 3 3 2 2" xfId="24012"/>
    <cellStyle name="Normal 2 5 2 6 3 3 3" xfId="10182"/>
    <cellStyle name="Normal 2 5 2 6 3 3 4" xfId="19005"/>
    <cellStyle name="Normal 2 5 2 6 3 4" xfId="2066"/>
    <cellStyle name="Normal 2 5 2 6 3 4 2" xfId="11433"/>
    <cellStyle name="Normal 2 5 2 6 3 4 3" xfId="21437"/>
    <cellStyle name="Normal 2 5 2 6 3 5" xfId="6379"/>
    <cellStyle name="Normal 2 5 2 6 3 5 2" xfId="15206"/>
    <cellStyle name="Normal 2 5 2 6 3 5 3" xfId="25457"/>
    <cellStyle name="Normal 2 5 2 6 3 6" xfId="7825"/>
    <cellStyle name="Normal 2 5 2 6 3 6 2" xfId="20628"/>
    <cellStyle name="Normal 2 5 2 6 3 7" xfId="16430"/>
    <cellStyle name="Normal 2 5 2 6 4" xfId="2957"/>
    <cellStyle name="Normal 2 5 2 6 4 2" xfId="5335"/>
    <cellStyle name="Normal 2 5 2 6 4 2 2" xfId="14174"/>
    <cellStyle name="Normal 2 5 2 6 4 2 2 2" xfId="24425"/>
    <cellStyle name="Normal 2 5 2 6 4 2 3" xfId="10595"/>
    <cellStyle name="Normal 2 5 2 6 4 2 4" xfId="19418"/>
    <cellStyle name="Normal 2 5 2 6 4 3" xfId="6792"/>
    <cellStyle name="Normal 2 5 2 6 4 3 2" xfId="15619"/>
    <cellStyle name="Normal 2 5 2 6 4 3 3" xfId="25870"/>
    <cellStyle name="Normal 2 5 2 6 4 4" xfId="8238"/>
    <cellStyle name="Normal 2 5 2 6 4 4 2" xfId="22320"/>
    <cellStyle name="Normal 2 5 2 6 4 5" xfId="17313"/>
    <cellStyle name="Normal 2 5 2 6 5" xfId="4291"/>
    <cellStyle name="Normal 2 5 2 6 5 2" xfId="13131"/>
    <cellStyle name="Normal 2 5 2 6 5 2 2" xfId="23382"/>
    <cellStyle name="Normal 2 5 2 6 5 3" xfId="9552"/>
    <cellStyle name="Normal 2 5 2 6 5 4" xfId="18375"/>
    <cellStyle name="Normal 2 5 2 6 6" xfId="1563"/>
    <cellStyle name="Normal 2 5 2 6 6 2" xfId="10942"/>
    <cellStyle name="Normal 2 5 2 6 6 3" xfId="20946"/>
    <cellStyle name="Normal 2 5 2 6 7" xfId="5749"/>
    <cellStyle name="Normal 2 5 2 6 7 2" xfId="14576"/>
    <cellStyle name="Normal 2 5 2 6 7 3" xfId="24827"/>
    <cellStyle name="Normal 2 5 2 6 8" xfId="7193"/>
    <cellStyle name="Normal 2 5 2 6 8 2" xfId="19919"/>
    <cellStyle name="Normal 2 5 2 6 9" xfId="15939"/>
    <cellStyle name="Normal 2 5 2 6_Degree data" xfId="3896"/>
    <cellStyle name="Normal 2 5 2 7" xfId="317"/>
    <cellStyle name="Normal 2 5 2 7 2" xfId="757"/>
    <cellStyle name="Normal 2 5 2 7 2 2" xfId="3245"/>
    <cellStyle name="Normal 2 5 2 7 2 2 2" xfId="12389"/>
    <cellStyle name="Normal 2 5 2 7 2 2 2 2" xfId="22608"/>
    <cellStyle name="Normal 2 5 2 7 2 2 3" xfId="8811"/>
    <cellStyle name="Normal 2 5 2 7 2 2 4" xfId="17601"/>
    <cellStyle name="Normal 2 5 2 7 2 3" xfId="4574"/>
    <cellStyle name="Normal 2 5 2 7 2 3 2" xfId="13414"/>
    <cellStyle name="Normal 2 5 2 7 2 3 2 2" xfId="23665"/>
    <cellStyle name="Normal 2 5 2 7 2 3 3" xfId="9835"/>
    <cellStyle name="Normal 2 5 2 7 2 3 4" xfId="18658"/>
    <cellStyle name="Normal 2 5 2 7 2 4" xfId="2354"/>
    <cellStyle name="Normal 2 5 2 7 2 4 2" xfId="11721"/>
    <cellStyle name="Normal 2 5 2 7 2 4 3" xfId="21725"/>
    <cellStyle name="Normal 2 5 2 7 2 5" xfId="6032"/>
    <cellStyle name="Normal 2 5 2 7 2 5 2" xfId="14859"/>
    <cellStyle name="Normal 2 5 2 7 2 5 3" xfId="25110"/>
    <cellStyle name="Normal 2 5 2 7 2 6" xfId="7476"/>
    <cellStyle name="Normal 2 5 2 7 2 6 2" xfId="20207"/>
    <cellStyle name="Normal 2 5 2 7 2 7" xfId="16718"/>
    <cellStyle name="Normal 2 5 2 7 3" xfId="1089"/>
    <cellStyle name="Normal 2 5 2 7 3 2" xfId="3520"/>
    <cellStyle name="Normal 2 5 2 7 3 2 2" xfId="12658"/>
    <cellStyle name="Normal 2 5 2 7 3 2 2 2" xfId="22877"/>
    <cellStyle name="Normal 2 5 2 7 3 2 3" xfId="9080"/>
    <cellStyle name="Normal 2 5 2 7 3 2 4" xfId="17870"/>
    <cellStyle name="Normal 2 5 2 7 3 3" xfId="4923"/>
    <cellStyle name="Normal 2 5 2 7 3 3 2" xfId="13762"/>
    <cellStyle name="Normal 2 5 2 7 3 3 2 2" xfId="24013"/>
    <cellStyle name="Normal 2 5 2 7 3 3 3" xfId="10183"/>
    <cellStyle name="Normal 2 5 2 7 3 3 4" xfId="19006"/>
    <cellStyle name="Normal 2 5 2 7 3 4" xfId="1766"/>
    <cellStyle name="Normal 2 5 2 7 3 4 2" xfId="11139"/>
    <cellStyle name="Normal 2 5 2 7 3 4 3" xfId="21143"/>
    <cellStyle name="Normal 2 5 2 7 3 5" xfId="6380"/>
    <cellStyle name="Normal 2 5 2 7 3 5 2" xfId="15207"/>
    <cellStyle name="Normal 2 5 2 7 3 5 3" xfId="25458"/>
    <cellStyle name="Normal 2 5 2 7 3 6" xfId="7826"/>
    <cellStyle name="Normal 2 5 2 7 3 6 2" xfId="20476"/>
    <cellStyle name="Normal 2 5 2 7 3 7" xfId="16136"/>
    <cellStyle name="Normal 2 5 2 7 4" xfId="2805"/>
    <cellStyle name="Normal 2 5 2 7 4 2" xfId="5183"/>
    <cellStyle name="Normal 2 5 2 7 4 2 2" xfId="14022"/>
    <cellStyle name="Normal 2 5 2 7 4 2 2 2" xfId="24273"/>
    <cellStyle name="Normal 2 5 2 7 4 2 3" xfId="10443"/>
    <cellStyle name="Normal 2 5 2 7 4 2 4" xfId="19266"/>
    <cellStyle name="Normal 2 5 2 7 4 3" xfId="6640"/>
    <cellStyle name="Normal 2 5 2 7 4 3 2" xfId="15467"/>
    <cellStyle name="Normal 2 5 2 7 4 3 3" xfId="25718"/>
    <cellStyle name="Normal 2 5 2 7 4 4" xfId="8086"/>
    <cellStyle name="Normal 2 5 2 7 4 4 2" xfId="22168"/>
    <cellStyle name="Normal 2 5 2 7 4 5" xfId="17161"/>
    <cellStyle name="Normal 2 5 2 7 5" xfId="4137"/>
    <cellStyle name="Normal 2 5 2 7 5 2" xfId="12977"/>
    <cellStyle name="Normal 2 5 2 7 5 2 2" xfId="23228"/>
    <cellStyle name="Normal 2 5 2 7 5 3" xfId="9398"/>
    <cellStyle name="Normal 2 5 2 7 5 4" xfId="18221"/>
    <cellStyle name="Normal 2 5 2 7 6" xfId="1914"/>
    <cellStyle name="Normal 2 5 2 7 6 2" xfId="11281"/>
    <cellStyle name="Normal 2 5 2 7 6 3" xfId="21285"/>
    <cellStyle name="Normal 2 5 2 7 7" xfId="5597"/>
    <cellStyle name="Normal 2 5 2 7 7 2" xfId="14424"/>
    <cellStyle name="Normal 2 5 2 7 7 3" xfId="24675"/>
    <cellStyle name="Normal 2 5 2 7 8" xfId="7041"/>
    <cellStyle name="Normal 2 5 2 7 8 2" xfId="19767"/>
    <cellStyle name="Normal 2 5 2 7 9" xfId="16278"/>
    <cellStyle name="Normal 2 5 2 7_Degree data" xfId="3936"/>
    <cellStyle name="Normal 2 5 2 8" xfId="738"/>
    <cellStyle name="Normal 2 5 2 8 2" xfId="3226"/>
    <cellStyle name="Normal 2 5 2 8 2 2" xfId="12370"/>
    <cellStyle name="Normal 2 5 2 8 2 2 2" xfId="22589"/>
    <cellStyle name="Normal 2 5 2 8 2 3" xfId="8792"/>
    <cellStyle name="Normal 2 5 2 8 2 4" xfId="17582"/>
    <cellStyle name="Normal 2 5 2 8 3" xfId="4555"/>
    <cellStyle name="Normal 2 5 2 8 3 2" xfId="13395"/>
    <cellStyle name="Normal 2 5 2 8 3 2 2" xfId="23646"/>
    <cellStyle name="Normal 2 5 2 8 3 3" xfId="9816"/>
    <cellStyle name="Normal 2 5 2 8 3 4" xfId="18639"/>
    <cellStyle name="Normal 2 5 2 8 4" xfId="2335"/>
    <cellStyle name="Normal 2 5 2 8 4 2" xfId="11702"/>
    <cellStyle name="Normal 2 5 2 8 4 3" xfId="21706"/>
    <cellStyle name="Normal 2 5 2 8 5" xfId="6013"/>
    <cellStyle name="Normal 2 5 2 8 5 2" xfId="14840"/>
    <cellStyle name="Normal 2 5 2 8 5 3" xfId="25091"/>
    <cellStyle name="Normal 2 5 2 8 6" xfId="7457"/>
    <cellStyle name="Normal 2 5 2 8 6 2" xfId="20188"/>
    <cellStyle name="Normal 2 5 2 8 7" xfId="16699"/>
    <cellStyle name="Normal 2 5 2 9" xfId="1057"/>
    <cellStyle name="Normal 2 5 2 9 2" xfId="3488"/>
    <cellStyle name="Normal 2 5 2 9 2 2" xfId="12626"/>
    <cellStyle name="Normal 2 5 2 9 2 2 2" xfId="22845"/>
    <cellStyle name="Normal 2 5 2 9 2 3" xfId="9048"/>
    <cellStyle name="Normal 2 5 2 9 2 4" xfId="17838"/>
    <cellStyle name="Normal 2 5 2 9 3" xfId="4904"/>
    <cellStyle name="Normal 2 5 2 9 3 2" xfId="13743"/>
    <cellStyle name="Normal 2 5 2 9 3 2 2" xfId="23994"/>
    <cellStyle name="Normal 2 5 2 9 3 3" xfId="10164"/>
    <cellStyle name="Normal 2 5 2 9 3 4" xfId="18987"/>
    <cellStyle name="Normal 2 5 2 9 4" xfId="1739"/>
    <cellStyle name="Normal 2 5 2 9 4 2" xfId="11115"/>
    <cellStyle name="Normal 2 5 2 9 4 3" xfId="21119"/>
    <cellStyle name="Normal 2 5 2 9 5" xfId="6361"/>
    <cellStyle name="Normal 2 5 2 9 5 2" xfId="15188"/>
    <cellStyle name="Normal 2 5 2 9 5 3" xfId="25439"/>
    <cellStyle name="Normal 2 5 2 9 6" xfId="7807"/>
    <cellStyle name="Normal 2 5 2 9 6 2" xfId="20444"/>
    <cellStyle name="Normal 2 5 2 9 7" xfId="16112"/>
    <cellStyle name="Normal 2 5 2_Degree data" xfId="3932"/>
    <cellStyle name="Normal 2 5 3" xfId="115"/>
    <cellStyle name="Normal 2 5 3 10" xfId="4109"/>
    <cellStyle name="Normal 2 5 3 10 2" xfId="5569"/>
    <cellStyle name="Normal 2 5 3 10 2 2" xfId="14396"/>
    <cellStyle name="Normal 2 5 3 10 2 3" xfId="24647"/>
    <cellStyle name="Normal 2 5 3 10 3" xfId="7013"/>
    <cellStyle name="Normal 2 5 3 10 3 2" xfId="23200"/>
    <cellStyle name="Normal 2 5 3 10 4" xfId="18193"/>
    <cellStyle name="Normal 2 5 3 11" xfId="1426"/>
    <cellStyle name="Normal 2 5 3 11 2" xfId="10805"/>
    <cellStyle name="Normal 2 5 3 11 3" xfId="20809"/>
    <cellStyle name="Normal 2 5 3 12" xfId="5537"/>
    <cellStyle name="Normal 2 5 3 12 2" xfId="14366"/>
    <cellStyle name="Normal 2 5 3 12 3" xfId="24617"/>
    <cellStyle name="Normal 2 5 3 13" xfId="6980"/>
    <cellStyle name="Normal 2 5 3 13 2" xfId="19594"/>
    <cellStyle name="Normal 2 5 3 14" xfId="15802"/>
    <cellStyle name="Normal 2 5 3 2" xfId="156"/>
    <cellStyle name="Normal 2 5 3 2 10" xfId="5671"/>
    <cellStyle name="Normal 2 5 3 2 10 2" xfId="14498"/>
    <cellStyle name="Normal 2 5 3 2 10 3" xfId="24749"/>
    <cellStyle name="Normal 2 5 3 2 11" xfId="7115"/>
    <cellStyle name="Normal 2 5 3 2 11 2" xfId="19624"/>
    <cellStyle name="Normal 2 5 3 2 12" xfId="15861"/>
    <cellStyle name="Normal 2 5 3 2 2" xfId="272"/>
    <cellStyle name="Normal 2 5 3 2 2 10" xfId="16065"/>
    <cellStyle name="Normal 2 5 3 2 2 2" xfId="595"/>
    <cellStyle name="Normal 2 5 3 2 2 2 2" xfId="3083"/>
    <cellStyle name="Normal 2 5 3 2 2 2 2 2" xfId="12236"/>
    <cellStyle name="Normal 2 5 3 2 2 2 2 2 2" xfId="22446"/>
    <cellStyle name="Normal 2 5 3 2 2 2 2 3" xfId="8658"/>
    <cellStyle name="Normal 2 5 3 2 2 2 2 4" xfId="17439"/>
    <cellStyle name="Normal 2 5 3 2 2 2 3" xfId="4577"/>
    <cellStyle name="Normal 2 5 3 2 2 2 3 2" xfId="13417"/>
    <cellStyle name="Normal 2 5 3 2 2 2 3 2 2" xfId="23668"/>
    <cellStyle name="Normal 2 5 3 2 2 2 3 3" xfId="9838"/>
    <cellStyle name="Normal 2 5 3 2 2 2 3 4" xfId="18661"/>
    <cellStyle name="Normal 2 5 3 2 2 2 4" xfId="2192"/>
    <cellStyle name="Normal 2 5 3 2 2 2 4 2" xfId="11559"/>
    <cellStyle name="Normal 2 5 3 2 2 2 4 3" xfId="21563"/>
    <cellStyle name="Normal 2 5 3 2 2 2 5" xfId="6035"/>
    <cellStyle name="Normal 2 5 3 2 2 2 5 2" xfId="14862"/>
    <cellStyle name="Normal 2 5 3 2 2 2 5 3" xfId="25113"/>
    <cellStyle name="Normal 2 5 3 2 2 2 6" xfId="7479"/>
    <cellStyle name="Normal 2 5 3 2 2 2 6 2" xfId="20045"/>
    <cellStyle name="Normal 2 5 3 2 2 2 7" xfId="16556"/>
    <cellStyle name="Normal 2 5 3 2 2 3" xfId="760"/>
    <cellStyle name="Normal 2 5 3 2 2 3 2" xfId="3248"/>
    <cellStyle name="Normal 2 5 3 2 2 3 2 2" xfId="12392"/>
    <cellStyle name="Normal 2 5 3 2 2 3 2 2 2" xfId="22611"/>
    <cellStyle name="Normal 2 5 3 2 2 3 2 3" xfId="8814"/>
    <cellStyle name="Normal 2 5 3 2 2 3 2 4" xfId="17604"/>
    <cellStyle name="Normal 2 5 3 2 2 3 3" xfId="4926"/>
    <cellStyle name="Normal 2 5 3 2 2 3 3 2" xfId="13765"/>
    <cellStyle name="Normal 2 5 3 2 2 3 3 2 2" xfId="24016"/>
    <cellStyle name="Normal 2 5 3 2 2 3 3 3" xfId="10186"/>
    <cellStyle name="Normal 2 5 3 2 2 3 3 4" xfId="19009"/>
    <cellStyle name="Normal 2 5 3 2 2 3 4" xfId="2357"/>
    <cellStyle name="Normal 2 5 3 2 2 3 4 2" xfId="11724"/>
    <cellStyle name="Normal 2 5 3 2 2 3 4 3" xfId="21728"/>
    <cellStyle name="Normal 2 5 3 2 2 3 5" xfId="6383"/>
    <cellStyle name="Normal 2 5 3 2 2 3 5 2" xfId="15210"/>
    <cellStyle name="Normal 2 5 3 2 2 3 5 3" xfId="25461"/>
    <cellStyle name="Normal 2 5 3 2 2 3 6" xfId="7829"/>
    <cellStyle name="Normal 2 5 3 2 2 3 6 2" xfId="20210"/>
    <cellStyle name="Normal 2 5 3 2 2 3 7" xfId="16721"/>
    <cellStyle name="Normal 2 5 3 2 2 4" xfId="1367"/>
    <cellStyle name="Normal 2 5 3 2 2 4 2" xfId="3798"/>
    <cellStyle name="Normal 2 5 3 2 2 4 2 2" xfId="12936"/>
    <cellStyle name="Normal 2 5 3 2 2 4 2 2 2" xfId="23155"/>
    <cellStyle name="Normal 2 5 3 2 2 4 2 3" xfId="9357"/>
    <cellStyle name="Normal 2 5 3 2 2 4 2 4" xfId="18148"/>
    <cellStyle name="Normal 2 5 3 2 2 4 3" xfId="5461"/>
    <cellStyle name="Normal 2 5 3 2 2 4 3 2" xfId="14300"/>
    <cellStyle name="Normal 2 5 3 2 2 4 3 2 2" xfId="24551"/>
    <cellStyle name="Normal 2 5 3 2 2 4 3 3" xfId="10721"/>
    <cellStyle name="Normal 2 5 3 2 2 4 3 4" xfId="19544"/>
    <cellStyle name="Normal 2 5 3 2 2 4 4" xfId="1872"/>
    <cellStyle name="Normal 2 5 3 2 2 4 4 2" xfId="11242"/>
    <cellStyle name="Normal 2 5 3 2 2 4 4 3" xfId="21246"/>
    <cellStyle name="Normal 2 5 3 2 2 4 5" xfId="6918"/>
    <cellStyle name="Normal 2 5 3 2 2 4 5 2" xfId="15745"/>
    <cellStyle name="Normal 2 5 3 2 2 4 5 3" xfId="25996"/>
    <cellStyle name="Normal 2 5 3 2 2 4 6" xfId="8364"/>
    <cellStyle name="Normal 2 5 3 2 2 4 6 2" xfId="20754"/>
    <cellStyle name="Normal 2 5 3 2 2 4 7" xfId="16239"/>
    <cellStyle name="Normal 2 5 3 2 2 5" xfId="2766"/>
    <cellStyle name="Normal 2 5 3 2 2 5 2" xfId="12085"/>
    <cellStyle name="Normal 2 5 3 2 2 5 2 2" xfId="22129"/>
    <cellStyle name="Normal 2 5 3 2 2 5 3" xfId="8402"/>
    <cellStyle name="Normal 2 5 3 2 2 5 4" xfId="17122"/>
    <cellStyle name="Normal 2 5 3 2 2 6" xfId="4417"/>
    <cellStyle name="Normal 2 5 3 2 2 6 2" xfId="13257"/>
    <cellStyle name="Normal 2 5 3 2 2 6 2 2" xfId="23508"/>
    <cellStyle name="Normal 2 5 3 2 2 6 3" xfId="9678"/>
    <cellStyle name="Normal 2 5 3 2 2 6 4" xfId="18501"/>
    <cellStyle name="Normal 2 5 3 2 2 7" xfId="1689"/>
    <cellStyle name="Normal 2 5 3 2 2 7 2" xfId="11068"/>
    <cellStyle name="Normal 2 5 3 2 2 7 3" xfId="21072"/>
    <cellStyle name="Normal 2 5 3 2 2 8" xfId="5875"/>
    <cellStyle name="Normal 2 5 3 2 2 8 2" xfId="14702"/>
    <cellStyle name="Normal 2 5 3 2 2 8 3" xfId="24953"/>
    <cellStyle name="Normal 2 5 3 2 2 9" xfId="7319"/>
    <cellStyle name="Normal 2 5 3 2 2 9 2" xfId="19728"/>
    <cellStyle name="Normal 2 5 3 2 2_Degree data" xfId="3924"/>
    <cellStyle name="Normal 2 5 3 2 3" xfId="491"/>
    <cellStyle name="Normal 2 5 3 2 3 2" xfId="761"/>
    <cellStyle name="Normal 2 5 3 2 3 2 2" xfId="3249"/>
    <cellStyle name="Normal 2 5 3 2 3 2 2 2" xfId="12393"/>
    <cellStyle name="Normal 2 5 3 2 3 2 2 2 2" xfId="22612"/>
    <cellStyle name="Normal 2 5 3 2 3 2 2 3" xfId="8815"/>
    <cellStyle name="Normal 2 5 3 2 3 2 2 4" xfId="17605"/>
    <cellStyle name="Normal 2 5 3 2 3 2 3" xfId="4578"/>
    <cellStyle name="Normal 2 5 3 2 3 2 3 2" xfId="13418"/>
    <cellStyle name="Normal 2 5 3 2 3 2 3 2 2" xfId="23669"/>
    <cellStyle name="Normal 2 5 3 2 3 2 3 3" xfId="9839"/>
    <cellStyle name="Normal 2 5 3 2 3 2 3 4" xfId="18662"/>
    <cellStyle name="Normal 2 5 3 2 3 2 4" xfId="2358"/>
    <cellStyle name="Normal 2 5 3 2 3 2 4 2" xfId="11725"/>
    <cellStyle name="Normal 2 5 3 2 3 2 4 3" xfId="21729"/>
    <cellStyle name="Normal 2 5 3 2 3 2 5" xfId="6036"/>
    <cellStyle name="Normal 2 5 3 2 3 2 5 2" xfId="14863"/>
    <cellStyle name="Normal 2 5 3 2 3 2 5 3" xfId="25114"/>
    <cellStyle name="Normal 2 5 3 2 3 2 6" xfId="7480"/>
    <cellStyle name="Normal 2 5 3 2 3 2 6 2" xfId="20211"/>
    <cellStyle name="Normal 2 5 3 2 3 2 7" xfId="16722"/>
    <cellStyle name="Normal 2 5 3 2 3 3" xfId="1263"/>
    <cellStyle name="Normal 2 5 3 2 3 3 2" xfId="3694"/>
    <cellStyle name="Normal 2 5 3 2 3 3 2 2" xfId="12832"/>
    <cellStyle name="Normal 2 5 3 2 3 3 2 2 2" xfId="23051"/>
    <cellStyle name="Normal 2 5 3 2 3 3 2 3" xfId="9253"/>
    <cellStyle name="Normal 2 5 3 2 3 3 2 4" xfId="18044"/>
    <cellStyle name="Normal 2 5 3 2 3 3 3" xfId="4927"/>
    <cellStyle name="Normal 2 5 3 2 3 3 3 2" xfId="13766"/>
    <cellStyle name="Normal 2 5 3 2 3 3 3 2 2" xfId="24017"/>
    <cellStyle name="Normal 2 5 3 2 3 3 3 3" xfId="10187"/>
    <cellStyle name="Normal 2 5 3 2 3 3 3 4" xfId="19010"/>
    <cellStyle name="Normal 2 5 3 2 3 3 4" xfId="2088"/>
    <cellStyle name="Normal 2 5 3 2 3 3 4 2" xfId="11455"/>
    <cellStyle name="Normal 2 5 3 2 3 3 4 3" xfId="21459"/>
    <cellStyle name="Normal 2 5 3 2 3 3 5" xfId="6384"/>
    <cellStyle name="Normal 2 5 3 2 3 3 5 2" xfId="15211"/>
    <cellStyle name="Normal 2 5 3 2 3 3 5 3" xfId="25462"/>
    <cellStyle name="Normal 2 5 3 2 3 3 6" xfId="7830"/>
    <cellStyle name="Normal 2 5 3 2 3 3 6 2" xfId="20650"/>
    <cellStyle name="Normal 2 5 3 2 3 3 7" xfId="16452"/>
    <cellStyle name="Normal 2 5 3 2 3 4" xfId="2979"/>
    <cellStyle name="Normal 2 5 3 2 3 4 2" xfId="5357"/>
    <cellStyle name="Normal 2 5 3 2 3 4 2 2" xfId="14196"/>
    <cellStyle name="Normal 2 5 3 2 3 4 2 2 2" xfId="24447"/>
    <cellStyle name="Normal 2 5 3 2 3 4 2 3" xfId="10617"/>
    <cellStyle name="Normal 2 5 3 2 3 4 2 4" xfId="19440"/>
    <cellStyle name="Normal 2 5 3 2 3 4 3" xfId="6814"/>
    <cellStyle name="Normal 2 5 3 2 3 4 3 2" xfId="15641"/>
    <cellStyle name="Normal 2 5 3 2 3 4 3 3" xfId="25892"/>
    <cellStyle name="Normal 2 5 3 2 3 4 4" xfId="8260"/>
    <cellStyle name="Normal 2 5 3 2 3 4 4 2" xfId="22342"/>
    <cellStyle name="Normal 2 5 3 2 3 4 5" xfId="17335"/>
    <cellStyle name="Normal 2 5 3 2 3 5" xfId="4313"/>
    <cellStyle name="Normal 2 5 3 2 3 5 2" xfId="13153"/>
    <cellStyle name="Normal 2 5 3 2 3 5 2 2" xfId="23404"/>
    <cellStyle name="Normal 2 5 3 2 3 5 3" xfId="9574"/>
    <cellStyle name="Normal 2 5 3 2 3 5 4" xfId="18397"/>
    <cellStyle name="Normal 2 5 3 2 3 6" xfId="1585"/>
    <cellStyle name="Normal 2 5 3 2 3 6 2" xfId="10964"/>
    <cellStyle name="Normal 2 5 3 2 3 6 3" xfId="20968"/>
    <cellStyle name="Normal 2 5 3 2 3 7" xfId="5771"/>
    <cellStyle name="Normal 2 5 3 2 3 7 2" xfId="14598"/>
    <cellStyle name="Normal 2 5 3 2 3 7 3" xfId="24849"/>
    <cellStyle name="Normal 2 5 3 2 3 8" xfId="7215"/>
    <cellStyle name="Normal 2 5 3 2 3 8 2" xfId="19941"/>
    <cellStyle name="Normal 2 5 3 2 3 9" xfId="15961"/>
    <cellStyle name="Normal 2 5 3 2 3_Degree data" xfId="3865"/>
    <cellStyle name="Normal 2 5 3 2 4" xfId="391"/>
    <cellStyle name="Normal 2 5 3 2 4 2" xfId="2879"/>
    <cellStyle name="Normal 2 5 3 2 4 2 2" xfId="12169"/>
    <cellStyle name="Normal 2 5 3 2 4 2 2 2" xfId="22242"/>
    <cellStyle name="Normal 2 5 3 2 4 2 3" xfId="8535"/>
    <cellStyle name="Normal 2 5 3 2 4 2 4" xfId="17235"/>
    <cellStyle name="Normal 2 5 3 2 4 3" xfId="4576"/>
    <cellStyle name="Normal 2 5 3 2 4 3 2" xfId="13416"/>
    <cellStyle name="Normal 2 5 3 2 4 3 2 2" xfId="23667"/>
    <cellStyle name="Normal 2 5 3 2 4 3 3" xfId="9837"/>
    <cellStyle name="Normal 2 5 3 2 4 3 4" xfId="18660"/>
    <cellStyle name="Normal 2 5 3 2 4 4" xfId="1988"/>
    <cellStyle name="Normal 2 5 3 2 4 4 2" xfId="11355"/>
    <cellStyle name="Normal 2 5 3 2 4 4 3" xfId="21359"/>
    <cellStyle name="Normal 2 5 3 2 4 5" xfId="6034"/>
    <cellStyle name="Normal 2 5 3 2 4 5 2" xfId="14861"/>
    <cellStyle name="Normal 2 5 3 2 4 5 3" xfId="25112"/>
    <cellStyle name="Normal 2 5 3 2 4 6" xfId="7478"/>
    <cellStyle name="Normal 2 5 3 2 4 6 2" xfId="19841"/>
    <cellStyle name="Normal 2 5 3 2 4 7" xfId="16352"/>
    <cellStyle name="Normal 2 5 3 2 5" xfId="759"/>
    <cellStyle name="Normal 2 5 3 2 5 2" xfId="3247"/>
    <cellStyle name="Normal 2 5 3 2 5 2 2" xfId="12391"/>
    <cellStyle name="Normal 2 5 3 2 5 2 2 2" xfId="22610"/>
    <cellStyle name="Normal 2 5 3 2 5 2 3" xfId="8813"/>
    <cellStyle name="Normal 2 5 3 2 5 2 4" xfId="17603"/>
    <cellStyle name="Normal 2 5 3 2 5 3" xfId="4925"/>
    <cellStyle name="Normal 2 5 3 2 5 3 2" xfId="13764"/>
    <cellStyle name="Normal 2 5 3 2 5 3 2 2" xfId="24015"/>
    <cellStyle name="Normal 2 5 3 2 5 3 3" xfId="10185"/>
    <cellStyle name="Normal 2 5 3 2 5 3 4" xfId="19008"/>
    <cellStyle name="Normal 2 5 3 2 5 4" xfId="2356"/>
    <cellStyle name="Normal 2 5 3 2 5 4 2" xfId="11723"/>
    <cellStyle name="Normal 2 5 3 2 5 4 3" xfId="21727"/>
    <cellStyle name="Normal 2 5 3 2 5 5" xfId="6382"/>
    <cellStyle name="Normal 2 5 3 2 5 5 2" xfId="15209"/>
    <cellStyle name="Normal 2 5 3 2 5 5 3" xfId="25460"/>
    <cellStyle name="Normal 2 5 3 2 5 6" xfId="7828"/>
    <cellStyle name="Normal 2 5 3 2 5 6 2" xfId="20209"/>
    <cellStyle name="Normal 2 5 3 2 5 7" xfId="16720"/>
    <cellStyle name="Normal 2 5 3 2 6" xfId="1163"/>
    <cellStyle name="Normal 2 5 3 2 6 2" xfId="3594"/>
    <cellStyle name="Normal 2 5 3 2 6 2 2" xfId="12732"/>
    <cellStyle name="Normal 2 5 3 2 6 2 2 2" xfId="22951"/>
    <cellStyle name="Normal 2 5 3 2 6 2 3" xfId="9153"/>
    <cellStyle name="Normal 2 5 3 2 6 2 4" xfId="17944"/>
    <cellStyle name="Normal 2 5 3 2 6 3" xfId="5257"/>
    <cellStyle name="Normal 2 5 3 2 6 3 2" xfId="14096"/>
    <cellStyle name="Normal 2 5 3 2 6 3 2 2" xfId="24347"/>
    <cellStyle name="Normal 2 5 3 2 6 3 3" xfId="10517"/>
    <cellStyle name="Normal 2 5 3 2 6 3 4" xfId="19340"/>
    <cellStyle name="Normal 2 5 3 2 6 4" xfId="1764"/>
    <cellStyle name="Normal 2 5 3 2 6 4 2" xfId="11137"/>
    <cellStyle name="Normal 2 5 3 2 6 4 3" xfId="21141"/>
    <cellStyle name="Normal 2 5 3 2 6 5" xfId="6714"/>
    <cellStyle name="Normal 2 5 3 2 6 5 2" xfId="15541"/>
    <cellStyle name="Normal 2 5 3 2 6 5 3" xfId="25792"/>
    <cellStyle name="Normal 2 5 3 2 6 6" xfId="8160"/>
    <cellStyle name="Normal 2 5 3 2 6 6 2" xfId="20550"/>
    <cellStyle name="Normal 2 5 3 2 6 7" xfId="16134"/>
    <cellStyle name="Normal 2 5 3 2 7" xfId="2662"/>
    <cellStyle name="Normal 2 5 3 2 7 2" xfId="11986"/>
    <cellStyle name="Normal 2 5 3 2 7 2 2" xfId="22025"/>
    <cellStyle name="Normal 2 5 3 2 7 3" xfId="8576"/>
    <cellStyle name="Normal 2 5 3 2 7 4" xfId="17018"/>
    <cellStyle name="Normal 2 5 3 2 8" xfId="4213"/>
    <cellStyle name="Normal 2 5 3 2 8 2" xfId="13053"/>
    <cellStyle name="Normal 2 5 3 2 8 2 2" xfId="23304"/>
    <cellStyle name="Normal 2 5 3 2 8 3" xfId="9474"/>
    <cellStyle name="Normal 2 5 3 2 8 4" xfId="18297"/>
    <cellStyle name="Normal 2 5 3 2 9" xfId="1485"/>
    <cellStyle name="Normal 2 5 3 2 9 2" xfId="10864"/>
    <cellStyle name="Normal 2 5 3 2 9 3" xfId="20868"/>
    <cellStyle name="Normal 2 5 3 2_Degree data" xfId="3900"/>
    <cellStyle name="Normal 2 5 3 3" xfId="206"/>
    <cellStyle name="Normal 2 5 3 3 10" xfId="7158"/>
    <cellStyle name="Normal 2 5 3 3 10 2" xfId="19667"/>
    <cellStyle name="Normal 2 5 3 3 11" xfId="15904"/>
    <cellStyle name="Normal 2 5 3 3 2" xfId="534"/>
    <cellStyle name="Normal 2 5 3 3 2 2" xfId="763"/>
    <cellStyle name="Normal 2 5 3 3 2 2 2" xfId="3251"/>
    <cellStyle name="Normal 2 5 3 3 2 2 2 2" xfId="12395"/>
    <cellStyle name="Normal 2 5 3 3 2 2 2 2 2" xfId="22614"/>
    <cellStyle name="Normal 2 5 3 3 2 2 2 3" xfId="8817"/>
    <cellStyle name="Normal 2 5 3 3 2 2 2 4" xfId="17607"/>
    <cellStyle name="Normal 2 5 3 3 2 2 3" xfId="4580"/>
    <cellStyle name="Normal 2 5 3 3 2 2 3 2" xfId="13420"/>
    <cellStyle name="Normal 2 5 3 3 2 2 3 2 2" xfId="23671"/>
    <cellStyle name="Normal 2 5 3 3 2 2 3 3" xfId="9841"/>
    <cellStyle name="Normal 2 5 3 3 2 2 3 4" xfId="18664"/>
    <cellStyle name="Normal 2 5 3 3 2 2 4" xfId="2360"/>
    <cellStyle name="Normal 2 5 3 3 2 2 4 2" xfId="11727"/>
    <cellStyle name="Normal 2 5 3 3 2 2 4 3" xfId="21731"/>
    <cellStyle name="Normal 2 5 3 3 2 2 5" xfId="6038"/>
    <cellStyle name="Normal 2 5 3 3 2 2 5 2" xfId="14865"/>
    <cellStyle name="Normal 2 5 3 3 2 2 5 3" xfId="25116"/>
    <cellStyle name="Normal 2 5 3 3 2 2 6" xfId="7482"/>
    <cellStyle name="Normal 2 5 3 3 2 2 6 2" xfId="20213"/>
    <cellStyle name="Normal 2 5 3 3 2 2 7" xfId="16724"/>
    <cellStyle name="Normal 2 5 3 3 2 3" xfId="1306"/>
    <cellStyle name="Normal 2 5 3 3 2 3 2" xfId="3737"/>
    <cellStyle name="Normal 2 5 3 3 2 3 2 2" xfId="12875"/>
    <cellStyle name="Normal 2 5 3 3 2 3 2 2 2" xfId="23094"/>
    <cellStyle name="Normal 2 5 3 3 2 3 2 3" xfId="9296"/>
    <cellStyle name="Normal 2 5 3 3 2 3 2 4" xfId="18087"/>
    <cellStyle name="Normal 2 5 3 3 2 3 3" xfId="4929"/>
    <cellStyle name="Normal 2 5 3 3 2 3 3 2" xfId="13768"/>
    <cellStyle name="Normal 2 5 3 3 2 3 3 2 2" xfId="24019"/>
    <cellStyle name="Normal 2 5 3 3 2 3 3 3" xfId="10189"/>
    <cellStyle name="Normal 2 5 3 3 2 3 3 4" xfId="19012"/>
    <cellStyle name="Normal 2 5 3 3 2 3 4" xfId="2131"/>
    <cellStyle name="Normal 2 5 3 3 2 3 4 2" xfId="11498"/>
    <cellStyle name="Normal 2 5 3 3 2 3 4 3" xfId="21502"/>
    <cellStyle name="Normal 2 5 3 3 2 3 5" xfId="6386"/>
    <cellStyle name="Normal 2 5 3 3 2 3 5 2" xfId="15213"/>
    <cellStyle name="Normal 2 5 3 3 2 3 5 3" xfId="25464"/>
    <cellStyle name="Normal 2 5 3 3 2 3 6" xfId="7832"/>
    <cellStyle name="Normal 2 5 3 3 2 3 6 2" xfId="20693"/>
    <cellStyle name="Normal 2 5 3 3 2 3 7" xfId="16495"/>
    <cellStyle name="Normal 2 5 3 3 2 4" xfId="3022"/>
    <cellStyle name="Normal 2 5 3 3 2 4 2" xfId="5400"/>
    <cellStyle name="Normal 2 5 3 3 2 4 2 2" xfId="14239"/>
    <cellStyle name="Normal 2 5 3 3 2 4 2 2 2" xfId="24490"/>
    <cellStyle name="Normal 2 5 3 3 2 4 2 3" xfId="10660"/>
    <cellStyle name="Normal 2 5 3 3 2 4 2 4" xfId="19483"/>
    <cellStyle name="Normal 2 5 3 3 2 4 3" xfId="6857"/>
    <cellStyle name="Normal 2 5 3 3 2 4 3 2" xfId="15684"/>
    <cellStyle name="Normal 2 5 3 3 2 4 3 3" xfId="25935"/>
    <cellStyle name="Normal 2 5 3 3 2 4 4" xfId="8303"/>
    <cellStyle name="Normal 2 5 3 3 2 4 4 2" xfId="22385"/>
    <cellStyle name="Normal 2 5 3 3 2 4 5" xfId="17378"/>
    <cellStyle name="Normal 2 5 3 3 2 5" xfId="4356"/>
    <cellStyle name="Normal 2 5 3 3 2 5 2" xfId="13196"/>
    <cellStyle name="Normal 2 5 3 3 2 5 2 2" xfId="23447"/>
    <cellStyle name="Normal 2 5 3 3 2 5 3" xfId="9617"/>
    <cellStyle name="Normal 2 5 3 3 2 5 4" xfId="18440"/>
    <cellStyle name="Normal 2 5 3 3 2 6" xfId="1628"/>
    <cellStyle name="Normal 2 5 3 3 2 6 2" xfId="11007"/>
    <cellStyle name="Normal 2 5 3 3 2 6 3" xfId="21011"/>
    <cellStyle name="Normal 2 5 3 3 2 7" xfId="5814"/>
    <cellStyle name="Normal 2 5 3 3 2 7 2" xfId="14641"/>
    <cellStyle name="Normal 2 5 3 3 2 7 3" xfId="24892"/>
    <cellStyle name="Normal 2 5 3 3 2 8" xfId="7258"/>
    <cellStyle name="Normal 2 5 3 3 2 8 2" xfId="19984"/>
    <cellStyle name="Normal 2 5 3 3 2 9" xfId="16004"/>
    <cellStyle name="Normal 2 5 3 3 2_Degree data" xfId="3906"/>
    <cellStyle name="Normal 2 5 3 3 3" xfId="434"/>
    <cellStyle name="Normal 2 5 3 3 3 2" xfId="2922"/>
    <cellStyle name="Normal 2 5 3 3 3 2 2" xfId="12212"/>
    <cellStyle name="Normal 2 5 3 3 3 2 2 2" xfId="22285"/>
    <cellStyle name="Normal 2 5 3 3 3 2 3" xfId="8462"/>
    <cellStyle name="Normal 2 5 3 3 3 2 4" xfId="17278"/>
    <cellStyle name="Normal 2 5 3 3 3 3" xfId="4579"/>
    <cellStyle name="Normal 2 5 3 3 3 3 2" xfId="13419"/>
    <cellStyle name="Normal 2 5 3 3 3 3 2 2" xfId="23670"/>
    <cellStyle name="Normal 2 5 3 3 3 3 3" xfId="9840"/>
    <cellStyle name="Normal 2 5 3 3 3 3 4" xfId="18663"/>
    <cellStyle name="Normal 2 5 3 3 3 4" xfId="2031"/>
    <cellStyle name="Normal 2 5 3 3 3 4 2" xfId="11398"/>
    <cellStyle name="Normal 2 5 3 3 3 4 3" xfId="21402"/>
    <cellStyle name="Normal 2 5 3 3 3 5" xfId="6037"/>
    <cellStyle name="Normal 2 5 3 3 3 5 2" xfId="14864"/>
    <cellStyle name="Normal 2 5 3 3 3 5 3" xfId="25115"/>
    <cellStyle name="Normal 2 5 3 3 3 6" xfId="7481"/>
    <cellStyle name="Normal 2 5 3 3 3 6 2" xfId="19884"/>
    <cellStyle name="Normal 2 5 3 3 3 7" xfId="16395"/>
    <cellStyle name="Normal 2 5 3 3 4" xfId="762"/>
    <cellStyle name="Normal 2 5 3 3 4 2" xfId="3250"/>
    <cellStyle name="Normal 2 5 3 3 4 2 2" xfId="12394"/>
    <cellStyle name="Normal 2 5 3 3 4 2 2 2" xfId="22613"/>
    <cellStyle name="Normal 2 5 3 3 4 2 3" xfId="8816"/>
    <cellStyle name="Normal 2 5 3 3 4 2 4" xfId="17606"/>
    <cellStyle name="Normal 2 5 3 3 4 3" xfId="4928"/>
    <cellStyle name="Normal 2 5 3 3 4 3 2" xfId="13767"/>
    <cellStyle name="Normal 2 5 3 3 4 3 2 2" xfId="24018"/>
    <cellStyle name="Normal 2 5 3 3 4 3 3" xfId="10188"/>
    <cellStyle name="Normal 2 5 3 3 4 3 4" xfId="19011"/>
    <cellStyle name="Normal 2 5 3 3 4 4" xfId="2359"/>
    <cellStyle name="Normal 2 5 3 3 4 4 2" xfId="11726"/>
    <cellStyle name="Normal 2 5 3 3 4 4 3" xfId="21730"/>
    <cellStyle name="Normal 2 5 3 3 4 5" xfId="6385"/>
    <cellStyle name="Normal 2 5 3 3 4 5 2" xfId="15212"/>
    <cellStyle name="Normal 2 5 3 3 4 5 3" xfId="25463"/>
    <cellStyle name="Normal 2 5 3 3 4 6" xfId="7831"/>
    <cellStyle name="Normal 2 5 3 3 4 6 2" xfId="20212"/>
    <cellStyle name="Normal 2 5 3 3 4 7" xfId="16723"/>
    <cellStyle name="Normal 2 5 3 3 5" xfId="1206"/>
    <cellStyle name="Normal 2 5 3 3 5 2" xfId="3637"/>
    <cellStyle name="Normal 2 5 3 3 5 2 2" xfId="12775"/>
    <cellStyle name="Normal 2 5 3 3 5 2 2 2" xfId="22994"/>
    <cellStyle name="Normal 2 5 3 3 5 2 3" xfId="9196"/>
    <cellStyle name="Normal 2 5 3 3 5 2 4" xfId="17987"/>
    <cellStyle name="Normal 2 5 3 3 5 3" xfId="5300"/>
    <cellStyle name="Normal 2 5 3 3 5 3 2" xfId="14139"/>
    <cellStyle name="Normal 2 5 3 3 5 3 2 2" xfId="24390"/>
    <cellStyle name="Normal 2 5 3 3 5 3 3" xfId="10560"/>
    <cellStyle name="Normal 2 5 3 3 5 3 4" xfId="19383"/>
    <cellStyle name="Normal 2 5 3 3 5 4" xfId="1810"/>
    <cellStyle name="Normal 2 5 3 3 5 4 2" xfId="11181"/>
    <cellStyle name="Normal 2 5 3 3 5 4 3" xfId="21185"/>
    <cellStyle name="Normal 2 5 3 3 5 5" xfId="6757"/>
    <cellStyle name="Normal 2 5 3 3 5 5 2" xfId="15584"/>
    <cellStyle name="Normal 2 5 3 3 5 5 3" xfId="25835"/>
    <cellStyle name="Normal 2 5 3 3 5 6" xfId="8203"/>
    <cellStyle name="Normal 2 5 3 3 5 6 2" xfId="20593"/>
    <cellStyle name="Normal 2 5 3 3 5 7" xfId="16178"/>
    <cellStyle name="Normal 2 5 3 3 6" xfId="2705"/>
    <cellStyle name="Normal 2 5 3 3 6 2" xfId="12024"/>
    <cellStyle name="Normal 2 5 3 3 6 2 2" xfId="22068"/>
    <cellStyle name="Normal 2 5 3 3 6 3" xfId="8587"/>
    <cellStyle name="Normal 2 5 3 3 6 4" xfId="17061"/>
    <cellStyle name="Normal 2 5 3 3 7" xfId="4256"/>
    <cellStyle name="Normal 2 5 3 3 7 2" xfId="13096"/>
    <cellStyle name="Normal 2 5 3 3 7 2 2" xfId="23347"/>
    <cellStyle name="Normal 2 5 3 3 7 3" xfId="9517"/>
    <cellStyle name="Normal 2 5 3 3 7 4" xfId="18340"/>
    <cellStyle name="Normal 2 5 3 3 8" xfId="1528"/>
    <cellStyle name="Normal 2 5 3 3 8 2" xfId="10907"/>
    <cellStyle name="Normal 2 5 3 3 8 3" xfId="20911"/>
    <cellStyle name="Normal 2 5 3 3 9" xfId="5714"/>
    <cellStyle name="Normal 2 5 3 3 9 2" xfId="14541"/>
    <cellStyle name="Normal 2 5 3 3 9 3" xfId="24792"/>
    <cellStyle name="Normal 2 5 3 3_Degree data" xfId="3869"/>
    <cellStyle name="Normal 2 5 3 4" xfId="243"/>
    <cellStyle name="Normal 2 5 3 4 10" xfId="7085"/>
    <cellStyle name="Normal 2 5 3 4 10 2" xfId="19699"/>
    <cellStyle name="Normal 2 5 3 4 11" xfId="15831"/>
    <cellStyle name="Normal 2 5 3 4 2" xfId="566"/>
    <cellStyle name="Normal 2 5 3 4 2 2" xfId="765"/>
    <cellStyle name="Normal 2 5 3 4 2 2 2" xfId="3253"/>
    <cellStyle name="Normal 2 5 3 4 2 2 2 2" xfId="12397"/>
    <cellStyle name="Normal 2 5 3 4 2 2 2 2 2" xfId="22616"/>
    <cellStyle name="Normal 2 5 3 4 2 2 2 3" xfId="8819"/>
    <cellStyle name="Normal 2 5 3 4 2 2 2 4" xfId="17609"/>
    <cellStyle name="Normal 2 5 3 4 2 2 3" xfId="4582"/>
    <cellStyle name="Normal 2 5 3 4 2 2 3 2" xfId="13422"/>
    <cellStyle name="Normal 2 5 3 4 2 2 3 2 2" xfId="23673"/>
    <cellStyle name="Normal 2 5 3 4 2 2 3 3" xfId="9843"/>
    <cellStyle name="Normal 2 5 3 4 2 2 3 4" xfId="18666"/>
    <cellStyle name="Normal 2 5 3 4 2 2 4" xfId="2362"/>
    <cellStyle name="Normal 2 5 3 4 2 2 4 2" xfId="11729"/>
    <cellStyle name="Normal 2 5 3 4 2 2 4 3" xfId="21733"/>
    <cellStyle name="Normal 2 5 3 4 2 2 5" xfId="6040"/>
    <cellStyle name="Normal 2 5 3 4 2 2 5 2" xfId="14867"/>
    <cellStyle name="Normal 2 5 3 4 2 2 5 3" xfId="25118"/>
    <cellStyle name="Normal 2 5 3 4 2 2 6" xfId="7484"/>
    <cellStyle name="Normal 2 5 3 4 2 2 6 2" xfId="20215"/>
    <cellStyle name="Normal 2 5 3 4 2 2 7" xfId="16726"/>
    <cellStyle name="Normal 2 5 3 4 2 3" xfId="1338"/>
    <cellStyle name="Normal 2 5 3 4 2 3 2" xfId="3769"/>
    <cellStyle name="Normal 2 5 3 4 2 3 2 2" xfId="12907"/>
    <cellStyle name="Normal 2 5 3 4 2 3 2 2 2" xfId="23126"/>
    <cellStyle name="Normal 2 5 3 4 2 3 2 3" xfId="9328"/>
    <cellStyle name="Normal 2 5 3 4 2 3 2 4" xfId="18119"/>
    <cellStyle name="Normal 2 5 3 4 2 3 3" xfId="4931"/>
    <cellStyle name="Normal 2 5 3 4 2 3 3 2" xfId="13770"/>
    <cellStyle name="Normal 2 5 3 4 2 3 3 2 2" xfId="24021"/>
    <cellStyle name="Normal 2 5 3 4 2 3 3 3" xfId="10191"/>
    <cellStyle name="Normal 2 5 3 4 2 3 3 4" xfId="19014"/>
    <cellStyle name="Normal 2 5 3 4 2 3 4" xfId="2163"/>
    <cellStyle name="Normal 2 5 3 4 2 3 4 2" xfId="11530"/>
    <cellStyle name="Normal 2 5 3 4 2 3 4 3" xfId="21534"/>
    <cellStyle name="Normal 2 5 3 4 2 3 5" xfId="6388"/>
    <cellStyle name="Normal 2 5 3 4 2 3 5 2" xfId="15215"/>
    <cellStyle name="Normal 2 5 3 4 2 3 5 3" xfId="25466"/>
    <cellStyle name="Normal 2 5 3 4 2 3 6" xfId="7834"/>
    <cellStyle name="Normal 2 5 3 4 2 3 6 2" xfId="20725"/>
    <cellStyle name="Normal 2 5 3 4 2 3 7" xfId="16527"/>
    <cellStyle name="Normal 2 5 3 4 2 4" xfId="3054"/>
    <cellStyle name="Normal 2 5 3 4 2 4 2" xfId="5432"/>
    <cellStyle name="Normal 2 5 3 4 2 4 2 2" xfId="14271"/>
    <cellStyle name="Normal 2 5 3 4 2 4 2 2 2" xfId="24522"/>
    <cellStyle name="Normal 2 5 3 4 2 4 2 3" xfId="10692"/>
    <cellStyle name="Normal 2 5 3 4 2 4 2 4" xfId="19515"/>
    <cellStyle name="Normal 2 5 3 4 2 4 3" xfId="6889"/>
    <cellStyle name="Normal 2 5 3 4 2 4 3 2" xfId="15716"/>
    <cellStyle name="Normal 2 5 3 4 2 4 3 3" xfId="25967"/>
    <cellStyle name="Normal 2 5 3 4 2 4 4" xfId="8335"/>
    <cellStyle name="Normal 2 5 3 4 2 4 4 2" xfId="22417"/>
    <cellStyle name="Normal 2 5 3 4 2 4 5" xfId="17410"/>
    <cellStyle name="Normal 2 5 3 4 2 5" xfId="4388"/>
    <cellStyle name="Normal 2 5 3 4 2 5 2" xfId="13228"/>
    <cellStyle name="Normal 2 5 3 4 2 5 2 2" xfId="23479"/>
    <cellStyle name="Normal 2 5 3 4 2 5 3" xfId="9649"/>
    <cellStyle name="Normal 2 5 3 4 2 5 4" xfId="18472"/>
    <cellStyle name="Normal 2 5 3 4 2 6" xfId="1660"/>
    <cellStyle name="Normal 2 5 3 4 2 6 2" xfId="11039"/>
    <cellStyle name="Normal 2 5 3 4 2 6 3" xfId="21043"/>
    <cellStyle name="Normal 2 5 3 4 2 7" xfId="5846"/>
    <cellStyle name="Normal 2 5 3 4 2 7 2" xfId="14673"/>
    <cellStyle name="Normal 2 5 3 4 2 7 3" xfId="24924"/>
    <cellStyle name="Normal 2 5 3 4 2 8" xfId="7290"/>
    <cellStyle name="Normal 2 5 3 4 2 8 2" xfId="20016"/>
    <cellStyle name="Normal 2 5 3 4 2 9" xfId="16036"/>
    <cellStyle name="Normal 2 5 3 4 2_Degree data" xfId="3923"/>
    <cellStyle name="Normal 2 5 3 4 3" xfId="361"/>
    <cellStyle name="Normal 2 5 3 4 3 2" xfId="2849"/>
    <cellStyle name="Normal 2 5 3 4 3 2 2" xfId="12139"/>
    <cellStyle name="Normal 2 5 3 4 3 2 2 2" xfId="22212"/>
    <cellStyle name="Normal 2 5 3 4 3 2 3" xfId="8543"/>
    <cellStyle name="Normal 2 5 3 4 3 2 4" xfId="17205"/>
    <cellStyle name="Normal 2 5 3 4 3 3" xfId="4581"/>
    <cellStyle name="Normal 2 5 3 4 3 3 2" xfId="13421"/>
    <cellStyle name="Normal 2 5 3 4 3 3 2 2" xfId="23672"/>
    <cellStyle name="Normal 2 5 3 4 3 3 3" xfId="9842"/>
    <cellStyle name="Normal 2 5 3 4 3 3 4" xfId="18665"/>
    <cellStyle name="Normal 2 5 3 4 3 4" xfId="1958"/>
    <cellStyle name="Normal 2 5 3 4 3 4 2" xfId="11325"/>
    <cellStyle name="Normal 2 5 3 4 3 4 3" xfId="21329"/>
    <cellStyle name="Normal 2 5 3 4 3 5" xfId="6039"/>
    <cellStyle name="Normal 2 5 3 4 3 5 2" xfId="14866"/>
    <cellStyle name="Normal 2 5 3 4 3 5 3" xfId="25117"/>
    <cellStyle name="Normal 2 5 3 4 3 6" xfId="7483"/>
    <cellStyle name="Normal 2 5 3 4 3 6 2" xfId="19811"/>
    <cellStyle name="Normal 2 5 3 4 3 7" xfId="16322"/>
    <cellStyle name="Normal 2 5 3 4 4" xfId="764"/>
    <cellStyle name="Normal 2 5 3 4 4 2" xfId="3252"/>
    <cellStyle name="Normal 2 5 3 4 4 2 2" xfId="12396"/>
    <cellStyle name="Normal 2 5 3 4 4 2 2 2" xfId="22615"/>
    <cellStyle name="Normal 2 5 3 4 4 2 3" xfId="8818"/>
    <cellStyle name="Normal 2 5 3 4 4 2 4" xfId="17608"/>
    <cellStyle name="Normal 2 5 3 4 4 3" xfId="4930"/>
    <cellStyle name="Normal 2 5 3 4 4 3 2" xfId="13769"/>
    <cellStyle name="Normal 2 5 3 4 4 3 2 2" xfId="24020"/>
    <cellStyle name="Normal 2 5 3 4 4 3 3" xfId="10190"/>
    <cellStyle name="Normal 2 5 3 4 4 3 4" xfId="19013"/>
    <cellStyle name="Normal 2 5 3 4 4 4" xfId="2361"/>
    <cellStyle name="Normal 2 5 3 4 4 4 2" xfId="11728"/>
    <cellStyle name="Normal 2 5 3 4 4 4 3" xfId="21732"/>
    <cellStyle name="Normal 2 5 3 4 4 5" xfId="6387"/>
    <cellStyle name="Normal 2 5 3 4 4 5 2" xfId="15214"/>
    <cellStyle name="Normal 2 5 3 4 4 5 3" xfId="25465"/>
    <cellStyle name="Normal 2 5 3 4 4 6" xfId="7833"/>
    <cellStyle name="Normal 2 5 3 4 4 6 2" xfId="20214"/>
    <cellStyle name="Normal 2 5 3 4 4 7" xfId="16725"/>
    <cellStyle name="Normal 2 5 3 4 5" xfId="1133"/>
    <cellStyle name="Normal 2 5 3 4 5 2" xfId="3564"/>
    <cellStyle name="Normal 2 5 3 4 5 2 2" xfId="12702"/>
    <cellStyle name="Normal 2 5 3 4 5 2 2 2" xfId="22921"/>
    <cellStyle name="Normal 2 5 3 4 5 2 3" xfId="9123"/>
    <cellStyle name="Normal 2 5 3 4 5 2 4" xfId="17914"/>
    <cellStyle name="Normal 2 5 3 4 5 3" xfId="5227"/>
    <cellStyle name="Normal 2 5 3 4 5 3 2" xfId="14066"/>
    <cellStyle name="Normal 2 5 3 4 5 3 2 2" xfId="24317"/>
    <cellStyle name="Normal 2 5 3 4 5 3 3" xfId="10487"/>
    <cellStyle name="Normal 2 5 3 4 5 3 4" xfId="19310"/>
    <cellStyle name="Normal 2 5 3 4 5 4" xfId="1843"/>
    <cellStyle name="Normal 2 5 3 4 5 4 2" xfId="11213"/>
    <cellStyle name="Normal 2 5 3 4 5 4 3" xfId="21217"/>
    <cellStyle name="Normal 2 5 3 4 5 5" xfId="6684"/>
    <cellStyle name="Normal 2 5 3 4 5 5 2" xfId="15511"/>
    <cellStyle name="Normal 2 5 3 4 5 5 3" xfId="25762"/>
    <cellStyle name="Normal 2 5 3 4 5 6" xfId="8130"/>
    <cellStyle name="Normal 2 5 3 4 5 6 2" xfId="20520"/>
    <cellStyle name="Normal 2 5 3 4 5 7" xfId="16210"/>
    <cellStyle name="Normal 2 5 3 4 6" xfId="2737"/>
    <cellStyle name="Normal 2 5 3 4 6 2" xfId="12056"/>
    <cellStyle name="Normal 2 5 3 4 6 2 2" xfId="22100"/>
    <cellStyle name="Normal 2 5 3 4 6 3" xfId="8448"/>
    <cellStyle name="Normal 2 5 3 4 6 4" xfId="17093"/>
    <cellStyle name="Normal 2 5 3 4 7" xfId="4183"/>
    <cellStyle name="Normal 2 5 3 4 7 2" xfId="13023"/>
    <cellStyle name="Normal 2 5 3 4 7 2 2" xfId="23274"/>
    <cellStyle name="Normal 2 5 3 4 7 3" xfId="9444"/>
    <cellStyle name="Normal 2 5 3 4 7 4" xfId="18267"/>
    <cellStyle name="Normal 2 5 3 4 8" xfId="1455"/>
    <cellStyle name="Normal 2 5 3 4 8 2" xfId="10834"/>
    <cellStyle name="Normal 2 5 3 4 8 3" xfId="20838"/>
    <cellStyle name="Normal 2 5 3 4 9" xfId="5641"/>
    <cellStyle name="Normal 2 5 3 4 9 2" xfId="14468"/>
    <cellStyle name="Normal 2 5 3 4 9 3" xfId="24719"/>
    <cellStyle name="Normal 2 5 3 4_Degree data" xfId="2624"/>
    <cellStyle name="Normal 2 5 3 5" xfId="461"/>
    <cellStyle name="Normal 2 5 3 5 2" xfId="766"/>
    <cellStyle name="Normal 2 5 3 5 2 2" xfId="3254"/>
    <cellStyle name="Normal 2 5 3 5 2 2 2" xfId="12398"/>
    <cellStyle name="Normal 2 5 3 5 2 2 2 2" xfId="22617"/>
    <cellStyle name="Normal 2 5 3 5 2 2 3" xfId="8820"/>
    <cellStyle name="Normal 2 5 3 5 2 2 4" xfId="17610"/>
    <cellStyle name="Normal 2 5 3 5 2 3" xfId="4583"/>
    <cellStyle name="Normal 2 5 3 5 2 3 2" xfId="13423"/>
    <cellStyle name="Normal 2 5 3 5 2 3 2 2" xfId="23674"/>
    <cellStyle name="Normal 2 5 3 5 2 3 3" xfId="9844"/>
    <cellStyle name="Normal 2 5 3 5 2 3 4" xfId="18667"/>
    <cellStyle name="Normal 2 5 3 5 2 4" xfId="2363"/>
    <cellStyle name="Normal 2 5 3 5 2 4 2" xfId="11730"/>
    <cellStyle name="Normal 2 5 3 5 2 4 3" xfId="21734"/>
    <cellStyle name="Normal 2 5 3 5 2 5" xfId="6041"/>
    <cellStyle name="Normal 2 5 3 5 2 5 2" xfId="14868"/>
    <cellStyle name="Normal 2 5 3 5 2 5 3" xfId="25119"/>
    <cellStyle name="Normal 2 5 3 5 2 6" xfId="7485"/>
    <cellStyle name="Normal 2 5 3 5 2 6 2" xfId="20216"/>
    <cellStyle name="Normal 2 5 3 5 2 7" xfId="16727"/>
    <cellStyle name="Normal 2 5 3 5 3" xfId="1233"/>
    <cellStyle name="Normal 2 5 3 5 3 2" xfId="3664"/>
    <cellStyle name="Normal 2 5 3 5 3 2 2" xfId="12802"/>
    <cellStyle name="Normal 2 5 3 5 3 2 2 2" xfId="23021"/>
    <cellStyle name="Normal 2 5 3 5 3 2 3" xfId="9223"/>
    <cellStyle name="Normal 2 5 3 5 3 2 4" xfId="18014"/>
    <cellStyle name="Normal 2 5 3 5 3 3" xfId="4932"/>
    <cellStyle name="Normal 2 5 3 5 3 3 2" xfId="13771"/>
    <cellStyle name="Normal 2 5 3 5 3 3 2 2" xfId="24022"/>
    <cellStyle name="Normal 2 5 3 5 3 3 3" xfId="10192"/>
    <cellStyle name="Normal 2 5 3 5 3 3 4" xfId="19015"/>
    <cellStyle name="Normal 2 5 3 5 3 4" xfId="2058"/>
    <cellStyle name="Normal 2 5 3 5 3 4 2" xfId="11425"/>
    <cellStyle name="Normal 2 5 3 5 3 4 3" xfId="21429"/>
    <cellStyle name="Normal 2 5 3 5 3 5" xfId="6389"/>
    <cellStyle name="Normal 2 5 3 5 3 5 2" xfId="15216"/>
    <cellStyle name="Normal 2 5 3 5 3 5 3" xfId="25467"/>
    <cellStyle name="Normal 2 5 3 5 3 6" xfId="7835"/>
    <cellStyle name="Normal 2 5 3 5 3 6 2" xfId="20620"/>
    <cellStyle name="Normal 2 5 3 5 3 7" xfId="16422"/>
    <cellStyle name="Normal 2 5 3 5 4" xfId="2949"/>
    <cellStyle name="Normal 2 5 3 5 4 2" xfId="5327"/>
    <cellStyle name="Normal 2 5 3 5 4 2 2" xfId="14166"/>
    <cellStyle name="Normal 2 5 3 5 4 2 2 2" xfId="24417"/>
    <cellStyle name="Normal 2 5 3 5 4 2 3" xfId="10587"/>
    <cellStyle name="Normal 2 5 3 5 4 2 4" xfId="19410"/>
    <cellStyle name="Normal 2 5 3 5 4 3" xfId="6784"/>
    <cellStyle name="Normal 2 5 3 5 4 3 2" xfId="15611"/>
    <cellStyle name="Normal 2 5 3 5 4 3 3" xfId="25862"/>
    <cellStyle name="Normal 2 5 3 5 4 4" xfId="8230"/>
    <cellStyle name="Normal 2 5 3 5 4 4 2" xfId="22312"/>
    <cellStyle name="Normal 2 5 3 5 4 5" xfId="17305"/>
    <cellStyle name="Normal 2 5 3 5 5" xfId="4283"/>
    <cellStyle name="Normal 2 5 3 5 5 2" xfId="13123"/>
    <cellStyle name="Normal 2 5 3 5 5 2 2" xfId="23374"/>
    <cellStyle name="Normal 2 5 3 5 5 3" xfId="9544"/>
    <cellStyle name="Normal 2 5 3 5 5 4" xfId="18367"/>
    <cellStyle name="Normal 2 5 3 5 6" xfId="1555"/>
    <cellStyle name="Normal 2 5 3 5 6 2" xfId="10934"/>
    <cellStyle name="Normal 2 5 3 5 6 3" xfId="20938"/>
    <cellStyle name="Normal 2 5 3 5 7" xfId="5741"/>
    <cellStyle name="Normal 2 5 3 5 7 2" xfId="14568"/>
    <cellStyle name="Normal 2 5 3 5 7 3" xfId="24819"/>
    <cellStyle name="Normal 2 5 3 5 8" xfId="7185"/>
    <cellStyle name="Normal 2 5 3 5 8 2" xfId="19911"/>
    <cellStyle name="Normal 2 5 3 5 9" xfId="15931"/>
    <cellStyle name="Normal 2 5 3 5_Degree data" xfId="3854"/>
    <cellStyle name="Normal 2 5 3 6" xfId="332"/>
    <cellStyle name="Normal 2 5 3 6 2" xfId="767"/>
    <cellStyle name="Normal 2 5 3 6 2 2" xfId="3255"/>
    <cellStyle name="Normal 2 5 3 6 2 2 2" xfId="12399"/>
    <cellStyle name="Normal 2 5 3 6 2 2 2 2" xfId="22618"/>
    <cellStyle name="Normal 2 5 3 6 2 2 3" xfId="8821"/>
    <cellStyle name="Normal 2 5 3 6 2 2 4" xfId="17611"/>
    <cellStyle name="Normal 2 5 3 6 2 3" xfId="4584"/>
    <cellStyle name="Normal 2 5 3 6 2 3 2" xfId="13424"/>
    <cellStyle name="Normal 2 5 3 6 2 3 2 2" xfId="23675"/>
    <cellStyle name="Normal 2 5 3 6 2 3 3" xfId="9845"/>
    <cellStyle name="Normal 2 5 3 6 2 3 4" xfId="18668"/>
    <cellStyle name="Normal 2 5 3 6 2 4" xfId="2364"/>
    <cellStyle name="Normal 2 5 3 6 2 4 2" xfId="11731"/>
    <cellStyle name="Normal 2 5 3 6 2 4 3" xfId="21735"/>
    <cellStyle name="Normal 2 5 3 6 2 5" xfId="6042"/>
    <cellStyle name="Normal 2 5 3 6 2 5 2" xfId="14869"/>
    <cellStyle name="Normal 2 5 3 6 2 5 3" xfId="25120"/>
    <cellStyle name="Normal 2 5 3 6 2 6" xfId="7486"/>
    <cellStyle name="Normal 2 5 3 6 2 6 2" xfId="20217"/>
    <cellStyle name="Normal 2 5 3 6 2 7" xfId="16728"/>
    <cellStyle name="Normal 2 5 3 6 3" xfId="1104"/>
    <cellStyle name="Normal 2 5 3 6 3 2" xfId="3535"/>
    <cellStyle name="Normal 2 5 3 6 3 2 2" xfId="12673"/>
    <cellStyle name="Normal 2 5 3 6 3 2 2 2" xfId="22892"/>
    <cellStyle name="Normal 2 5 3 6 3 2 3" xfId="9095"/>
    <cellStyle name="Normal 2 5 3 6 3 2 4" xfId="17885"/>
    <cellStyle name="Normal 2 5 3 6 3 3" xfId="4933"/>
    <cellStyle name="Normal 2 5 3 6 3 3 2" xfId="13772"/>
    <cellStyle name="Normal 2 5 3 6 3 3 2 2" xfId="24023"/>
    <cellStyle name="Normal 2 5 3 6 3 3 3" xfId="10193"/>
    <cellStyle name="Normal 2 5 3 6 3 3 4" xfId="19016"/>
    <cellStyle name="Normal 2 5 3 6 3 4" xfId="2599"/>
    <cellStyle name="Normal 2 5 3 6 3 4 2" xfId="11965"/>
    <cellStyle name="Normal 2 5 3 6 3 4 3" xfId="21969"/>
    <cellStyle name="Normal 2 5 3 6 3 5" xfId="6390"/>
    <cellStyle name="Normal 2 5 3 6 3 5 2" xfId="15217"/>
    <cellStyle name="Normal 2 5 3 6 3 5 3" xfId="25468"/>
    <cellStyle name="Normal 2 5 3 6 3 6" xfId="7836"/>
    <cellStyle name="Normal 2 5 3 6 3 6 2" xfId="20491"/>
    <cellStyle name="Normal 2 5 3 6 3 7" xfId="16962"/>
    <cellStyle name="Normal 2 5 3 6 4" xfId="2820"/>
    <cellStyle name="Normal 2 5 3 6 4 2" xfId="5198"/>
    <cellStyle name="Normal 2 5 3 6 4 2 2" xfId="14037"/>
    <cellStyle name="Normal 2 5 3 6 4 2 2 2" xfId="24288"/>
    <cellStyle name="Normal 2 5 3 6 4 2 3" xfId="10458"/>
    <cellStyle name="Normal 2 5 3 6 4 2 4" xfId="19281"/>
    <cellStyle name="Normal 2 5 3 6 4 3" xfId="6655"/>
    <cellStyle name="Normal 2 5 3 6 4 3 2" xfId="15482"/>
    <cellStyle name="Normal 2 5 3 6 4 3 3" xfId="25733"/>
    <cellStyle name="Normal 2 5 3 6 4 4" xfId="8101"/>
    <cellStyle name="Normal 2 5 3 6 4 4 2" xfId="22183"/>
    <cellStyle name="Normal 2 5 3 6 4 5" xfId="17176"/>
    <cellStyle name="Normal 2 5 3 6 5" xfId="4152"/>
    <cellStyle name="Normal 2 5 3 6 5 2" xfId="12992"/>
    <cellStyle name="Normal 2 5 3 6 5 2 2" xfId="23243"/>
    <cellStyle name="Normal 2 5 3 6 5 3" xfId="9413"/>
    <cellStyle name="Normal 2 5 3 6 5 4" xfId="18236"/>
    <cellStyle name="Normal 2 5 3 6 6" xfId="1929"/>
    <cellStyle name="Normal 2 5 3 6 6 2" xfId="11296"/>
    <cellStyle name="Normal 2 5 3 6 6 3" xfId="21300"/>
    <cellStyle name="Normal 2 5 3 6 7" xfId="5612"/>
    <cellStyle name="Normal 2 5 3 6 7 2" xfId="14439"/>
    <cellStyle name="Normal 2 5 3 6 7 3" xfId="24690"/>
    <cellStyle name="Normal 2 5 3 6 8" xfId="7056"/>
    <cellStyle name="Normal 2 5 3 6 8 2" xfId="19782"/>
    <cellStyle name="Normal 2 5 3 6 9" xfId="16293"/>
    <cellStyle name="Normal 2 5 3 6_Degree data" xfId="3881"/>
    <cellStyle name="Normal 2 5 3 7" xfId="758"/>
    <cellStyle name="Normal 2 5 3 7 2" xfId="3246"/>
    <cellStyle name="Normal 2 5 3 7 2 2" xfId="12390"/>
    <cellStyle name="Normal 2 5 3 7 2 2 2" xfId="22609"/>
    <cellStyle name="Normal 2 5 3 7 2 3" xfId="8812"/>
    <cellStyle name="Normal 2 5 3 7 2 4" xfId="17602"/>
    <cellStyle name="Normal 2 5 3 7 3" xfId="4575"/>
    <cellStyle name="Normal 2 5 3 7 3 2" xfId="13415"/>
    <cellStyle name="Normal 2 5 3 7 3 2 2" xfId="23666"/>
    <cellStyle name="Normal 2 5 3 7 3 3" xfId="9836"/>
    <cellStyle name="Normal 2 5 3 7 3 4" xfId="18659"/>
    <cellStyle name="Normal 2 5 3 7 4" xfId="2355"/>
    <cellStyle name="Normal 2 5 3 7 4 2" xfId="11722"/>
    <cellStyle name="Normal 2 5 3 7 4 3" xfId="21726"/>
    <cellStyle name="Normal 2 5 3 7 5" xfId="6033"/>
    <cellStyle name="Normal 2 5 3 7 5 2" xfId="14860"/>
    <cellStyle name="Normal 2 5 3 7 5 3" xfId="25111"/>
    <cellStyle name="Normal 2 5 3 7 6" xfId="7477"/>
    <cellStyle name="Normal 2 5 3 7 6 2" xfId="20208"/>
    <cellStyle name="Normal 2 5 3 7 7" xfId="16719"/>
    <cellStyle name="Normal 2 5 3 8" xfId="1061"/>
    <cellStyle name="Normal 2 5 3 8 2" xfId="3492"/>
    <cellStyle name="Normal 2 5 3 8 2 2" xfId="12630"/>
    <cellStyle name="Normal 2 5 3 8 2 2 2" xfId="22849"/>
    <cellStyle name="Normal 2 5 3 8 2 3" xfId="9052"/>
    <cellStyle name="Normal 2 5 3 8 2 4" xfId="17842"/>
    <cellStyle name="Normal 2 5 3 8 3" xfId="4924"/>
    <cellStyle name="Normal 2 5 3 8 3 2" xfId="13763"/>
    <cellStyle name="Normal 2 5 3 8 3 2 2" xfId="24014"/>
    <cellStyle name="Normal 2 5 3 8 3 3" xfId="10184"/>
    <cellStyle name="Normal 2 5 3 8 3 4" xfId="19007"/>
    <cellStyle name="Normal 2 5 3 8 4" xfId="1731"/>
    <cellStyle name="Normal 2 5 3 8 4 2" xfId="11107"/>
    <cellStyle name="Normal 2 5 3 8 4 3" xfId="21111"/>
    <cellStyle name="Normal 2 5 3 8 5" xfId="6381"/>
    <cellStyle name="Normal 2 5 3 8 5 2" xfId="15208"/>
    <cellStyle name="Normal 2 5 3 8 5 3" xfId="25459"/>
    <cellStyle name="Normal 2 5 3 8 6" xfId="7827"/>
    <cellStyle name="Normal 2 5 3 8 6 2" xfId="20448"/>
    <cellStyle name="Normal 2 5 3 8 7" xfId="16104"/>
    <cellStyle name="Normal 2 5 3 9" xfId="2629"/>
    <cellStyle name="Normal 2 5 3 9 2" xfId="5155"/>
    <cellStyle name="Normal 2 5 3 9 2 2" xfId="13994"/>
    <cellStyle name="Normal 2 5 3 9 2 2 2" xfId="24245"/>
    <cellStyle name="Normal 2 5 3 9 2 3" xfId="10415"/>
    <cellStyle name="Normal 2 5 3 9 2 4" xfId="19238"/>
    <cellStyle name="Normal 2 5 3 9 3" xfId="6612"/>
    <cellStyle name="Normal 2 5 3 9 3 2" xfId="15439"/>
    <cellStyle name="Normal 2 5 3 9 3 3" xfId="25690"/>
    <cellStyle name="Normal 2 5 3 9 4" xfId="8058"/>
    <cellStyle name="Normal 2 5 3 9 4 2" xfId="21994"/>
    <cellStyle name="Normal 2 5 3 9 5" xfId="16987"/>
    <cellStyle name="Normal 2 5 3_Degree data" xfId="3939"/>
    <cellStyle name="Normal 2 5 4" xfId="136"/>
    <cellStyle name="Normal 2 5 4 10" xfId="4125"/>
    <cellStyle name="Normal 2 5 4 10 2" xfId="5585"/>
    <cellStyle name="Normal 2 5 4 10 2 2" xfId="14412"/>
    <cellStyle name="Normal 2 5 4 10 2 3" xfId="24663"/>
    <cellStyle name="Normal 2 5 4 10 3" xfId="7029"/>
    <cellStyle name="Normal 2 5 4 10 3 2" xfId="23216"/>
    <cellStyle name="Normal 2 5 4 10 4" xfId="18209"/>
    <cellStyle name="Normal 2 5 4 11" xfId="1444"/>
    <cellStyle name="Normal 2 5 4 11 2" xfId="10823"/>
    <cellStyle name="Normal 2 5 4 11 3" xfId="20827"/>
    <cellStyle name="Normal 2 5 4 12" xfId="5553"/>
    <cellStyle name="Normal 2 5 4 12 2" xfId="14382"/>
    <cellStyle name="Normal 2 5 4 12 3" xfId="24633"/>
    <cellStyle name="Normal 2 5 4 13" xfId="6999"/>
    <cellStyle name="Normal 2 5 4 13 2" xfId="19607"/>
    <cellStyle name="Normal 2 5 4 14" xfId="15820"/>
    <cellStyle name="Normal 2 5 4 2" xfId="177"/>
    <cellStyle name="Normal 2 5 4 2 10" xfId="5687"/>
    <cellStyle name="Normal 2 5 4 2 10 2" xfId="14514"/>
    <cellStyle name="Normal 2 5 4 2 10 3" xfId="24765"/>
    <cellStyle name="Normal 2 5 4 2 11" xfId="7131"/>
    <cellStyle name="Normal 2 5 4 2 11 2" xfId="19640"/>
    <cellStyle name="Normal 2 5 4 2 12" xfId="15877"/>
    <cellStyle name="Normal 2 5 4 2 2" xfId="289"/>
    <cellStyle name="Normal 2 5 4 2 2 10" xfId="16081"/>
    <cellStyle name="Normal 2 5 4 2 2 2" xfId="611"/>
    <cellStyle name="Normal 2 5 4 2 2 2 2" xfId="3099"/>
    <cellStyle name="Normal 2 5 4 2 2 2 2 2" xfId="12244"/>
    <cellStyle name="Normal 2 5 4 2 2 2 2 2 2" xfId="22462"/>
    <cellStyle name="Normal 2 5 4 2 2 2 2 3" xfId="8666"/>
    <cellStyle name="Normal 2 5 4 2 2 2 2 4" xfId="17455"/>
    <cellStyle name="Normal 2 5 4 2 2 2 3" xfId="4587"/>
    <cellStyle name="Normal 2 5 4 2 2 2 3 2" xfId="13427"/>
    <cellStyle name="Normal 2 5 4 2 2 2 3 2 2" xfId="23678"/>
    <cellStyle name="Normal 2 5 4 2 2 2 3 3" xfId="9848"/>
    <cellStyle name="Normal 2 5 4 2 2 2 3 4" xfId="18671"/>
    <cellStyle name="Normal 2 5 4 2 2 2 4" xfId="2208"/>
    <cellStyle name="Normal 2 5 4 2 2 2 4 2" xfId="11575"/>
    <cellStyle name="Normal 2 5 4 2 2 2 4 3" xfId="21579"/>
    <cellStyle name="Normal 2 5 4 2 2 2 5" xfId="6045"/>
    <cellStyle name="Normal 2 5 4 2 2 2 5 2" xfId="14872"/>
    <cellStyle name="Normal 2 5 4 2 2 2 5 3" xfId="25123"/>
    <cellStyle name="Normal 2 5 4 2 2 2 6" xfId="7489"/>
    <cellStyle name="Normal 2 5 4 2 2 2 6 2" xfId="20061"/>
    <cellStyle name="Normal 2 5 4 2 2 2 7" xfId="16572"/>
    <cellStyle name="Normal 2 5 4 2 2 3" xfId="770"/>
    <cellStyle name="Normal 2 5 4 2 2 3 2" xfId="3258"/>
    <cellStyle name="Normal 2 5 4 2 2 3 2 2" xfId="12402"/>
    <cellStyle name="Normal 2 5 4 2 2 3 2 2 2" xfId="22621"/>
    <cellStyle name="Normal 2 5 4 2 2 3 2 3" xfId="8824"/>
    <cellStyle name="Normal 2 5 4 2 2 3 2 4" xfId="17614"/>
    <cellStyle name="Normal 2 5 4 2 2 3 3" xfId="4936"/>
    <cellStyle name="Normal 2 5 4 2 2 3 3 2" xfId="13775"/>
    <cellStyle name="Normal 2 5 4 2 2 3 3 2 2" xfId="24026"/>
    <cellStyle name="Normal 2 5 4 2 2 3 3 3" xfId="10196"/>
    <cellStyle name="Normal 2 5 4 2 2 3 3 4" xfId="19019"/>
    <cellStyle name="Normal 2 5 4 2 2 3 4" xfId="2367"/>
    <cellStyle name="Normal 2 5 4 2 2 3 4 2" xfId="11734"/>
    <cellStyle name="Normal 2 5 4 2 2 3 4 3" xfId="21738"/>
    <cellStyle name="Normal 2 5 4 2 2 3 5" xfId="6393"/>
    <cellStyle name="Normal 2 5 4 2 2 3 5 2" xfId="15220"/>
    <cellStyle name="Normal 2 5 4 2 2 3 5 3" xfId="25471"/>
    <cellStyle name="Normal 2 5 4 2 2 3 6" xfId="7839"/>
    <cellStyle name="Normal 2 5 4 2 2 3 6 2" xfId="20220"/>
    <cellStyle name="Normal 2 5 4 2 2 3 7" xfId="16731"/>
    <cellStyle name="Normal 2 5 4 2 2 4" xfId="1383"/>
    <cellStyle name="Normal 2 5 4 2 2 4 2" xfId="3814"/>
    <cellStyle name="Normal 2 5 4 2 2 4 2 2" xfId="12952"/>
    <cellStyle name="Normal 2 5 4 2 2 4 2 2 2" xfId="23171"/>
    <cellStyle name="Normal 2 5 4 2 2 4 2 3" xfId="9373"/>
    <cellStyle name="Normal 2 5 4 2 2 4 2 4" xfId="18164"/>
    <cellStyle name="Normal 2 5 4 2 2 4 3" xfId="5477"/>
    <cellStyle name="Normal 2 5 4 2 2 4 3 2" xfId="14316"/>
    <cellStyle name="Normal 2 5 4 2 2 4 3 2 2" xfId="24567"/>
    <cellStyle name="Normal 2 5 4 2 2 4 3 3" xfId="10737"/>
    <cellStyle name="Normal 2 5 4 2 2 4 3 4" xfId="19560"/>
    <cellStyle name="Normal 2 5 4 2 2 4 4" xfId="1888"/>
    <cellStyle name="Normal 2 5 4 2 2 4 4 2" xfId="11258"/>
    <cellStyle name="Normal 2 5 4 2 2 4 4 3" xfId="21262"/>
    <cellStyle name="Normal 2 5 4 2 2 4 5" xfId="6934"/>
    <cellStyle name="Normal 2 5 4 2 2 4 5 2" xfId="15761"/>
    <cellStyle name="Normal 2 5 4 2 2 4 5 3" xfId="26012"/>
    <cellStyle name="Normal 2 5 4 2 2 4 6" xfId="8380"/>
    <cellStyle name="Normal 2 5 4 2 2 4 6 2" xfId="20770"/>
    <cellStyle name="Normal 2 5 4 2 2 4 7" xfId="16255"/>
    <cellStyle name="Normal 2 5 4 2 2 5" xfId="2782"/>
    <cellStyle name="Normal 2 5 4 2 2 5 2" xfId="12101"/>
    <cellStyle name="Normal 2 5 4 2 2 5 2 2" xfId="22145"/>
    <cellStyle name="Normal 2 5 4 2 2 5 3" xfId="8491"/>
    <cellStyle name="Normal 2 5 4 2 2 5 4" xfId="17138"/>
    <cellStyle name="Normal 2 5 4 2 2 6" xfId="4433"/>
    <cellStyle name="Normal 2 5 4 2 2 6 2" xfId="13273"/>
    <cellStyle name="Normal 2 5 4 2 2 6 2 2" xfId="23524"/>
    <cellStyle name="Normal 2 5 4 2 2 6 3" xfId="9694"/>
    <cellStyle name="Normal 2 5 4 2 2 6 4" xfId="18517"/>
    <cellStyle name="Normal 2 5 4 2 2 7" xfId="1705"/>
    <cellStyle name="Normal 2 5 4 2 2 7 2" xfId="11084"/>
    <cellStyle name="Normal 2 5 4 2 2 7 3" xfId="21088"/>
    <cellStyle name="Normal 2 5 4 2 2 8" xfId="5891"/>
    <cellStyle name="Normal 2 5 4 2 2 8 2" xfId="14718"/>
    <cellStyle name="Normal 2 5 4 2 2 8 3" xfId="24969"/>
    <cellStyle name="Normal 2 5 4 2 2 9" xfId="7335"/>
    <cellStyle name="Normal 2 5 4 2 2 9 2" xfId="19744"/>
    <cellStyle name="Normal 2 5 4 2 2_Degree data" xfId="3847"/>
    <cellStyle name="Normal 2 5 4 2 3" xfId="507"/>
    <cellStyle name="Normal 2 5 4 2 3 2" xfId="771"/>
    <cellStyle name="Normal 2 5 4 2 3 2 2" xfId="3259"/>
    <cellStyle name="Normal 2 5 4 2 3 2 2 2" xfId="12403"/>
    <cellStyle name="Normal 2 5 4 2 3 2 2 2 2" xfId="22622"/>
    <cellStyle name="Normal 2 5 4 2 3 2 2 3" xfId="8825"/>
    <cellStyle name="Normal 2 5 4 2 3 2 2 4" xfId="17615"/>
    <cellStyle name="Normal 2 5 4 2 3 2 3" xfId="4588"/>
    <cellStyle name="Normal 2 5 4 2 3 2 3 2" xfId="13428"/>
    <cellStyle name="Normal 2 5 4 2 3 2 3 2 2" xfId="23679"/>
    <cellStyle name="Normal 2 5 4 2 3 2 3 3" xfId="9849"/>
    <cellStyle name="Normal 2 5 4 2 3 2 3 4" xfId="18672"/>
    <cellStyle name="Normal 2 5 4 2 3 2 4" xfId="2368"/>
    <cellStyle name="Normal 2 5 4 2 3 2 4 2" xfId="11735"/>
    <cellStyle name="Normal 2 5 4 2 3 2 4 3" xfId="21739"/>
    <cellStyle name="Normal 2 5 4 2 3 2 5" xfId="6046"/>
    <cellStyle name="Normal 2 5 4 2 3 2 5 2" xfId="14873"/>
    <cellStyle name="Normal 2 5 4 2 3 2 5 3" xfId="25124"/>
    <cellStyle name="Normal 2 5 4 2 3 2 6" xfId="7490"/>
    <cellStyle name="Normal 2 5 4 2 3 2 6 2" xfId="20221"/>
    <cellStyle name="Normal 2 5 4 2 3 2 7" xfId="16732"/>
    <cellStyle name="Normal 2 5 4 2 3 3" xfId="1279"/>
    <cellStyle name="Normal 2 5 4 2 3 3 2" xfId="3710"/>
    <cellStyle name="Normal 2 5 4 2 3 3 2 2" xfId="12848"/>
    <cellStyle name="Normal 2 5 4 2 3 3 2 2 2" xfId="23067"/>
    <cellStyle name="Normal 2 5 4 2 3 3 2 3" xfId="9269"/>
    <cellStyle name="Normal 2 5 4 2 3 3 2 4" xfId="18060"/>
    <cellStyle name="Normal 2 5 4 2 3 3 3" xfId="4937"/>
    <cellStyle name="Normal 2 5 4 2 3 3 3 2" xfId="13776"/>
    <cellStyle name="Normal 2 5 4 2 3 3 3 2 2" xfId="24027"/>
    <cellStyle name="Normal 2 5 4 2 3 3 3 3" xfId="10197"/>
    <cellStyle name="Normal 2 5 4 2 3 3 3 4" xfId="19020"/>
    <cellStyle name="Normal 2 5 4 2 3 3 4" xfId="2104"/>
    <cellStyle name="Normal 2 5 4 2 3 3 4 2" xfId="11471"/>
    <cellStyle name="Normal 2 5 4 2 3 3 4 3" xfId="21475"/>
    <cellStyle name="Normal 2 5 4 2 3 3 5" xfId="6394"/>
    <cellStyle name="Normal 2 5 4 2 3 3 5 2" xfId="15221"/>
    <cellStyle name="Normal 2 5 4 2 3 3 5 3" xfId="25472"/>
    <cellStyle name="Normal 2 5 4 2 3 3 6" xfId="7840"/>
    <cellStyle name="Normal 2 5 4 2 3 3 6 2" xfId="20666"/>
    <cellStyle name="Normal 2 5 4 2 3 3 7" xfId="16468"/>
    <cellStyle name="Normal 2 5 4 2 3 4" xfId="2995"/>
    <cellStyle name="Normal 2 5 4 2 3 4 2" xfId="5373"/>
    <cellStyle name="Normal 2 5 4 2 3 4 2 2" xfId="14212"/>
    <cellStyle name="Normal 2 5 4 2 3 4 2 2 2" xfId="24463"/>
    <cellStyle name="Normal 2 5 4 2 3 4 2 3" xfId="10633"/>
    <cellStyle name="Normal 2 5 4 2 3 4 2 4" xfId="19456"/>
    <cellStyle name="Normal 2 5 4 2 3 4 3" xfId="6830"/>
    <cellStyle name="Normal 2 5 4 2 3 4 3 2" xfId="15657"/>
    <cellStyle name="Normal 2 5 4 2 3 4 3 3" xfId="25908"/>
    <cellStyle name="Normal 2 5 4 2 3 4 4" xfId="8276"/>
    <cellStyle name="Normal 2 5 4 2 3 4 4 2" xfId="22358"/>
    <cellStyle name="Normal 2 5 4 2 3 4 5" xfId="17351"/>
    <cellStyle name="Normal 2 5 4 2 3 5" xfId="4329"/>
    <cellStyle name="Normal 2 5 4 2 3 5 2" xfId="13169"/>
    <cellStyle name="Normal 2 5 4 2 3 5 2 2" xfId="23420"/>
    <cellStyle name="Normal 2 5 4 2 3 5 3" xfId="9590"/>
    <cellStyle name="Normal 2 5 4 2 3 5 4" xfId="18413"/>
    <cellStyle name="Normal 2 5 4 2 3 6" xfId="1601"/>
    <cellStyle name="Normal 2 5 4 2 3 6 2" xfId="10980"/>
    <cellStyle name="Normal 2 5 4 2 3 6 3" xfId="20984"/>
    <cellStyle name="Normal 2 5 4 2 3 7" xfId="5787"/>
    <cellStyle name="Normal 2 5 4 2 3 7 2" xfId="14614"/>
    <cellStyle name="Normal 2 5 4 2 3 7 3" xfId="24865"/>
    <cellStyle name="Normal 2 5 4 2 3 8" xfId="7231"/>
    <cellStyle name="Normal 2 5 4 2 3 8 2" xfId="19957"/>
    <cellStyle name="Normal 2 5 4 2 3 9" xfId="15977"/>
    <cellStyle name="Normal 2 5 4 2 3_Degree data" xfId="2616"/>
    <cellStyle name="Normal 2 5 4 2 4" xfId="407"/>
    <cellStyle name="Normal 2 5 4 2 4 2" xfId="2895"/>
    <cellStyle name="Normal 2 5 4 2 4 2 2" xfId="12185"/>
    <cellStyle name="Normal 2 5 4 2 4 2 2 2" xfId="22258"/>
    <cellStyle name="Normal 2 5 4 2 4 2 3" xfId="8471"/>
    <cellStyle name="Normal 2 5 4 2 4 2 4" xfId="17251"/>
    <cellStyle name="Normal 2 5 4 2 4 3" xfId="4586"/>
    <cellStyle name="Normal 2 5 4 2 4 3 2" xfId="13426"/>
    <cellStyle name="Normal 2 5 4 2 4 3 2 2" xfId="23677"/>
    <cellStyle name="Normal 2 5 4 2 4 3 3" xfId="9847"/>
    <cellStyle name="Normal 2 5 4 2 4 3 4" xfId="18670"/>
    <cellStyle name="Normal 2 5 4 2 4 4" xfId="2004"/>
    <cellStyle name="Normal 2 5 4 2 4 4 2" xfId="11371"/>
    <cellStyle name="Normal 2 5 4 2 4 4 3" xfId="21375"/>
    <cellStyle name="Normal 2 5 4 2 4 5" xfId="6044"/>
    <cellStyle name="Normal 2 5 4 2 4 5 2" xfId="14871"/>
    <cellStyle name="Normal 2 5 4 2 4 5 3" xfId="25122"/>
    <cellStyle name="Normal 2 5 4 2 4 6" xfId="7488"/>
    <cellStyle name="Normal 2 5 4 2 4 6 2" xfId="19857"/>
    <cellStyle name="Normal 2 5 4 2 4 7" xfId="16368"/>
    <cellStyle name="Normal 2 5 4 2 5" xfId="769"/>
    <cellStyle name="Normal 2 5 4 2 5 2" xfId="3257"/>
    <cellStyle name="Normal 2 5 4 2 5 2 2" xfId="12401"/>
    <cellStyle name="Normal 2 5 4 2 5 2 2 2" xfId="22620"/>
    <cellStyle name="Normal 2 5 4 2 5 2 3" xfId="8823"/>
    <cellStyle name="Normal 2 5 4 2 5 2 4" xfId="17613"/>
    <cellStyle name="Normal 2 5 4 2 5 3" xfId="4935"/>
    <cellStyle name="Normal 2 5 4 2 5 3 2" xfId="13774"/>
    <cellStyle name="Normal 2 5 4 2 5 3 2 2" xfId="24025"/>
    <cellStyle name="Normal 2 5 4 2 5 3 3" xfId="10195"/>
    <cellStyle name="Normal 2 5 4 2 5 3 4" xfId="19018"/>
    <cellStyle name="Normal 2 5 4 2 5 4" xfId="2366"/>
    <cellStyle name="Normal 2 5 4 2 5 4 2" xfId="11733"/>
    <cellStyle name="Normal 2 5 4 2 5 4 3" xfId="21737"/>
    <cellStyle name="Normal 2 5 4 2 5 5" xfId="6392"/>
    <cellStyle name="Normal 2 5 4 2 5 5 2" xfId="15219"/>
    <cellStyle name="Normal 2 5 4 2 5 5 3" xfId="25470"/>
    <cellStyle name="Normal 2 5 4 2 5 6" xfId="7838"/>
    <cellStyle name="Normal 2 5 4 2 5 6 2" xfId="20219"/>
    <cellStyle name="Normal 2 5 4 2 5 7" xfId="16730"/>
    <cellStyle name="Normal 2 5 4 2 6" xfId="1179"/>
    <cellStyle name="Normal 2 5 4 2 6 2" xfId="3610"/>
    <cellStyle name="Normal 2 5 4 2 6 2 2" xfId="12748"/>
    <cellStyle name="Normal 2 5 4 2 6 2 2 2" xfId="22967"/>
    <cellStyle name="Normal 2 5 4 2 6 2 3" xfId="9169"/>
    <cellStyle name="Normal 2 5 4 2 6 2 4" xfId="17960"/>
    <cellStyle name="Normal 2 5 4 2 6 3" xfId="5273"/>
    <cellStyle name="Normal 2 5 4 2 6 3 2" xfId="14112"/>
    <cellStyle name="Normal 2 5 4 2 6 3 2 2" xfId="24363"/>
    <cellStyle name="Normal 2 5 4 2 6 3 3" xfId="10533"/>
    <cellStyle name="Normal 2 5 4 2 6 3 4" xfId="19356"/>
    <cellStyle name="Normal 2 5 4 2 6 4" xfId="1781"/>
    <cellStyle name="Normal 2 5 4 2 6 4 2" xfId="11154"/>
    <cellStyle name="Normal 2 5 4 2 6 4 3" xfId="21158"/>
    <cellStyle name="Normal 2 5 4 2 6 5" xfId="6730"/>
    <cellStyle name="Normal 2 5 4 2 6 5 2" xfId="15557"/>
    <cellStyle name="Normal 2 5 4 2 6 5 3" xfId="25808"/>
    <cellStyle name="Normal 2 5 4 2 6 6" xfId="8176"/>
    <cellStyle name="Normal 2 5 4 2 6 6 2" xfId="20566"/>
    <cellStyle name="Normal 2 5 4 2 6 7" xfId="16151"/>
    <cellStyle name="Normal 2 5 4 2 7" xfId="2678"/>
    <cellStyle name="Normal 2 5 4 2 7 2" xfId="11997"/>
    <cellStyle name="Normal 2 5 4 2 7 2 2" xfId="22041"/>
    <cellStyle name="Normal 2 5 4 2 7 3" xfId="8512"/>
    <cellStyle name="Normal 2 5 4 2 7 4" xfId="17034"/>
    <cellStyle name="Normal 2 5 4 2 8" xfId="4229"/>
    <cellStyle name="Normal 2 5 4 2 8 2" xfId="13069"/>
    <cellStyle name="Normal 2 5 4 2 8 2 2" xfId="23320"/>
    <cellStyle name="Normal 2 5 4 2 8 3" xfId="9490"/>
    <cellStyle name="Normal 2 5 4 2 8 4" xfId="18313"/>
    <cellStyle name="Normal 2 5 4 2 9" xfId="1501"/>
    <cellStyle name="Normal 2 5 4 2 9 2" xfId="10880"/>
    <cellStyle name="Normal 2 5 4 2 9 3" xfId="20884"/>
    <cellStyle name="Normal 2 5 4 2_Degree data" xfId="3841"/>
    <cellStyle name="Normal 2 5 4 3" xfId="224"/>
    <cellStyle name="Normal 2 5 4 3 10" xfId="7174"/>
    <cellStyle name="Normal 2 5 4 3 10 2" xfId="19683"/>
    <cellStyle name="Normal 2 5 4 3 11" xfId="15920"/>
    <cellStyle name="Normal 2 5 4 3 2" xfId="550"/>
    <cellStyle name="Normal 2 5 4 3 2 2" xfId="773"/>
    <cellStyle name="Normal 2 5 4 3 2 2 2" xfId="3261"/>
    <cellStyle name="Normal 2 5 4 3 2 2 2 2" xfId="12405"/>
    <cellStyle name="Normal 2 5 4 3 2 2 2 2 2" xfId="22624"/>
    <cellStyle name="Normal 2 5 4 3 2 2 2 3" xfId="8827"/>
    <cellStyle name="Normal 2 5 4 3 2 2 2 4" xfId="17617"/>
    <cellStyle name="Normal 2 5 4 3 2 2 3" xfId="4590"/>
    <cellStyle name="Normal 2 5 4 3 2 2 3 2" xfId="13430"/>
    <cellStyle name="Normal 2 5 4 3 2 2 3 2 2" xfId="23681"/>
    <cellStyle name="Normal 2 5 4 3 2 2 3 3" xfId="9851"/>
    <cellStyle name="Normal 2 5 4 3 2 2 3 4" xfId="18674"/>
    <cellStyle name="Normal 2 5 4 3 2 2 4" xfId="2370"/>
    <cellStyle name="Normal 2 5 4 3 2 2 4 2" xfId="11737"/>
    <cellStyle name="Normal 2 5 4 3 2 2 4 3" xfId="21741"/>
    <cellStyle name="Normal 2 5 4 3 2 2 5" xfId="6048"/>
    <cellStyle name="Normal 2 5 4 3 2 2 5 2" xfId="14875"/>
    <cellStyle name="Normal 2 5 4 3 2 2 5 3" xfId="25126"/>
    <cellStyle name="Normal 2 5 4 3 2 2 6" xfId="7492"/>
    <cellStyle name="Normal 2 5 4 3 2 2 6 2" xfId="20223"/>
    <cellStyle name="Normal 2 5 4 3 2 2 7" xfId="16734"/>
    <cellStyle name="Normal 2 5 4 3 2 3" xfId="1322"/>
    <cellStyle name="Normal 2 5 4 3 2 3 2" xfId="3753"/>
    <cellStyle name="Normal 2 5 4 3 2 3 2 2" xfId="12891"/>
    <cellStyle name="Normal 2 5 4 3 2 3 2 2 2" xfId="23110"/>
    <cellStyle name="Normal 2 5 4 3 2 3 2 3" xfId="9312"/>
    <cellStyle name="Normal 2 5 4 3 2 3 2 4" xfId="18103"/>
    <cellStyle name="Normal 2 5 4 3 2 3 3" xfId="4939"/>
    <cellStyle name="Normal 2 5 4 3 2 3 3 2" xfId="13778"/>
    <cellStyle name="Normal 2 5 4 3 2 3 3 2 2" xfId="24029"/>
    <cellStyle name="Normal 2 5 4 3 2 3 3 3" xfId="10199"/>
    <cellStyle name="Normal 2 5 4 3 2 3 3 4" xfId="19022"/>
    <cellStyle name="Normal 2 5 4 3 2 3 4" xfId="2147"/>
    <cellStyle name="Normal 2 5 4 3 2 3 4 2" xfId="11514"/>
    <cellStyle name="Normal 2 5 4 3 2 3 4 3" xfId="21518"/>
    <cellStyle name="Normal 2 5 4 3 2 3 5" xfId="6396"/>
    <cellStyle name="Normal 2 5 4 3 2 3 5 2" xfId="15223"/>
    <cellStyle name="Normal 2 5 4 3 2 3 5 3" xfId="25474"/>
    <cellStyle name="Normal 2 5 4 3 2 3 6" xfId="7842"/>
    <cellStyle name="Normal 2 5 4 3 2 3 6 2" xfId="20709"/>
    <cellStyle name="Normal 2 5 4 3 2 3 7" xfId="16511"/>
    <cellStyle name="Normal 2 5 4 3 2 4" xfId="3038"/>
    <cellStyle name="Normal 2 5 4 3 2 4 2" xfId="5416"/>
    <cellStyle name="Normal 2 5 4 3 2 4 2 2" xfId="14255"/>
    <cellStyle name="Normal 2 5 4 3 2 4 2 2 2" xfId="24506"/>
    <cellStyle name="Normal 2 5 4 3 2 4 2 3" xfId="10676"/>
    <cellStyle name="Normal 2 5 4 3 2 4 2 4" xfId="19499"/>
    <cellStyle name="Normal 2 5 4 3 2 4 3" xfId="6873"/>
    <cellStyle name="Normal 2 5 4 3 2 4 3 2" xfId="15700"/>
    <cellStyle name="Normal 2 5 4 3 2 4 3 3" xfId="25951"/>
    <cellStyle name="Normal 2 5 4 3 2 4 4" xfId="8319"/>
    <cellStyle name="Normal 2 5 4 3 2 4 4 2" xfId="22401"/>
    <cellStyle name="Normal 2 5 4 3 2 4 5" xfId="17394"/>
    <cellStyle name="Normal 2 5 4 3 2 5" xfId="4372"/>
    <cellStyle name="Normal 2 5 4 3 2 5 2" xfId="13212"/>
    <cellStyle name="Normal 2 5 4 3 2 5 2 2" xfId="23463"/>
    <cellStyle name="Normal 2 5 4 3 2 5 3" xfId="9633"/>
    <cellStyle name="Normal 2 5 4 3 2 5 4" xfId="18456"/>
    <cellStyle name="Normal 2 5 4 3 2 6" xfId="1644"/>
    <cellStyle name="Normal 2 5 4 3 2 6 2" xfId="11023"/>
    <cellStyle name="Normal 2 5 4 3 2 6 3" xfId="21027"/>
    <cellStyle name="Normal 2 5 4 3 2 7" xfId="5830"/>
    <cellStyle name="Normal 2 5 4 3 2 7 2" xfId="14657"/>
    <cellStyle name="Normal 2 5 4 3 2 7 3" xfId="24908"/>
    <cellStyle name="Normal 2 5 4 3 2 8" xfId="7274"/>
    <cellStyle name="Normal 2 5 4 3 2 8 2" xfId="20000"/>
    <cellStyle name="Normal 2 5 4 3 2 9" xfId="16020"/>
    <cellStyle name="Normal 2 5 4 3 2_Degree data" xfId="3859"/>
    <cellStyle name="Normal 2 5 4 3 3" xfId="450"/>
    <cellStyle name="Normal 2 5 4 3 3 2" xfId="2938"/>
    <cellStyle name="Normal 2 5 4 3 3 2 2" xfId="12228"/>
    <cellStyle name="Normal 2 5 4 3 3 2 2 2" xfId="22301"/>
    <cellStyle name="Normal 2 5 4 3 3 2 3" xfId="8460"/>
    <cellStyle name="Normal 2 5 4 3 3 2 4" xfId="17294"/>
    <cellStyle name="Normal 2 5 4 3 3 3" xfId="4589"/>
    <cellStyle name="Normal 2 5 4 3 3 3 2" xfId="13429"/>
    <cellStyle name="Normal 2 5 4 3 3 3 2 2" xfId="23680"/>
    <cellStyle name="Normal 2 5 4 3 3 3 3" xfId="9850"/>
    <cellStyle name="Normal 2 5 4 3 3 3 4" xfId="18673"/>
    <cellStyle name="Normal 2 5 4 3 3 4" xfId="2047"/>
    <cellStyle name="Normal 2 5 4 3 3 4 2" xfId="11414"/>
    <cellStyle name="Normal 2 5 4 3 3 4 3" xfId="21418"/>
    <cellStyle name="Normal 2 5 4 3 3 5" xfId="6047"/>
    <cellStyle name="Normal 2 5 4 3 3 5 2" xfId="14874"/>
    <cellStyle name="Normal 2 5 4 3 3 5 3" xfId="25125"/>
    <cellStyle name="Normal 2 5 4 3 3 6" xfId="7491"/>
    <cellStyle name="Normal 2 5 4 3 3 6 2" xfId="19900"/>
    <cellStyle name="Normal 2 5 4 3 3 7" xfId="16411"/>
    <cellStyle name="Normal 2 5 4 3 4" xfId="772"/>
    <cellStyle name="Normal 2 5 4 3 4 2" xfId="3260"/>
    <cellStyle name="Normal 2 5 4 3 4 2 2" xfId="12404"/>
    <cellStyle name="Normal 2 5 4 3 4 2 2 2" xfId="22623"/>
    <cellStyle name="Normal 2 5 4 3 4 2 3" xfId="8826"/>
    <cellStyle name="Normal 2 5 4 3 4 2 4" xfId="17616"/>
    <cellStyle name="Normal 2 5 4 3 4 3" xfId="4938"/>
    <cellStyle name="Normal 2 5 4 3 4 3 2" xfId="13777"/>
    <cellStyle name="Normal 2 5 4 3 4 3 2 2" xfId="24028"/>
    <cellStyle name="Normal 2 5 4 3 4 3 3" xfId="10198"/>
    <cellStyle name="Normal 2 5 4 3 4 3 4" xfId="19021"/>
    <cellStyle name="Normal 2 5 4 3 4 4" xfId="2369"/>
    <cellStyle name="Normal 2 5 4 3 4 4 2" xfId="11736"/>
    <cellStyle name="Normal 2 5 4 3 4 4 3" xfId="21740"/>
    <cellStyle name="Normal 2 5 4 3 4 5" xfId="6395"/>
    <cellStyle name="Normal 2 5 4 3 4 5 2" xfId="15222"/>
    <cellStyle name="Normal 2 5 4 3 4 5 3" xfId="25473"/>
    <cellStyle name="Normal 2 5 4 3 4 6" xfId="7841"/>
    <cellStyle name="Normal 2 5 4 3 4 6 2" xfId="20222"/>
    <cellStyle name="Normal 2 5 4 3 4 7" xfId="16733"/>
    <cellStyle name="Normal 2 5 4 3 5" xfId="1222"/>
    <cellStyle name="Normal 2 5 4 3 5 2" xfId="3653"/>
    <cellStyle name="Normal 2 5 4 3 5 2 2" xfId="12791"/>
    <cellStyle name="Normal 2 5 4 3 5 2 2 2" xfId="23010"/>
    <cellStyle name="Normal 2 5 4 3 5 2 3" xfId="9212"/>
    <cellStyle name="Normal 2 5 4 3 5 2 4" xfId="18003"/>
    <cellStyle name="Normal 2 5 4 3 5 3" xfId="5316"/>
    <cellStyle name="Normal 2 5 4 3 5 3 2" xfId="14155"/>
    <cellStyle name="Normal 2 5 4 3 5 3 2 2" xfId="24406"/>
    <cellStyle name="Normal 2 5 4 3 5 3 3" xfId="10576"/>
    <cellStyle name="Normal 2 5 4 3 5 3 4" xfId="19399"/>
    <cellStyle name="Normal 2 5 4 3 5 4" xfId="1827"/>
    <cellStyle name="Normal 2 5 4 3 5 4 2" xfId="11197"/>
    <cellStyle name="Normal 2 5 4 3 5 4 3" xfId="21201"/>
    <cellStyle name="Normal 2 5 4 3 5 5" xfId="6773"/>
    <cellStyle name="Normal 2 5 4 3 5 5 2" xfId="15600"/>
    <cellStyle name="Normal 2 5 4 3 5 5 3" xfId="25851"/>
    <cellStyle name="Normal 2 5 4 3 5 6" xfId="8219"/>
    <cellStyle name="Normal 2 5 4 3 5 6 2" xfId="20609"/>
    <cellStyle name="Normal 2 5 4 3 5 7" xfId="16194"/>
    <cellStyle name="Normal 2 5 4 3 6" xfId="2721"/>
    <cellStyle name="Normal 2 5 4 3 6 2" xfId="12040"/>
    <cellStyle name="Normal 2 5 4 3 6 2 2" xfId="22084"/>
    <cellStyle name="Normal 2 5 4 3 6 3" xfId="8555"/>
    <cellStyle name="Normal 2 5 4 3 6 4" xfId="17077"/>
    <cellStyle name="Normal 2 5 4 3 7" xfId="4272"/>
    <cellStyle name="Normal 2 5 4 3 7 2" xfId="13112"/>
    <cellStyle name="Normal 2 5 4 3 7 2 2" xfId="23363"/>
    <cellStyle name="Normal 2 5 4 3 7 3" xfId="9533"/>
    <cellStyle name="Normal 2 5 4 3 7 4" xfId="18356"/>
    <cellStyle name="Normal 2 5 4 3 8" xfId="1544"/>
    <cellStyle name="Normal 2 5 4 3 8 2" xfId="10923"/>
    <cellStyle name="Normal 2 5 4 3 8 3" xfId="20927"/>
    <cellStyle name="Normal 2 5 4 3 9" xfId="5730"/>
    <cellStyle name="Normal 2 5 4 3 9 2" xfId="14557"/>
    <cellStyle name="Normal 2 5 4 3 9 3" xfId="24808"/>
    <cellStyle name="Normal 2 5 4 3_Degree data" xfId="3942"/>
    <cellStyle name="Normal 2 5 4 4" xfId="256"/>
    <cellStyle name="Normal 2 5 4 4 10" xfId="7098"/>
    <cellStyle name="Normal 2 5 4 4 10 2" xfId="19712"/>
    <cellStyle name="Normal 2 5 4 4 11" xfId="15844"/>
    <cellStyle name="Normal 2 5 4 4 2" xfId="579"/>
    <cellStyle name="Normal 2 5 4 4 2 2" xfId="775"/>
    <cellStyle name="Normal 2 5 4 4 2 2 2" xfId="3263"/>
    <cellStyle name="Normal 2 5 4 4 2 2 2 2" xfId="12407"/>
    <cellStyle name="Normal 2 5 4 4 2 2 2 2 2" xfId="22626"/>
    <cellStyle name="Normal 2 5 4 4 2 2 2 3" xfId="8829"/>
    <cellStyle name="Normal 2 5 4 4 2 2 2 4" xfId="17619"/>
    <cellStyle name="Normal 2 5 4 4 2 2 3" xfId="4592"/>
    <cellStyle name="Normal 2 5 4 4 2 2 3 2" xfId="13432"/>
    <cellStyle name="Normal 2 5 4 4 2 2 3 2 2" xfId="23683"/>
    <cellStyle name="Normal 2 5 4 4 2 2 3 3" xfId="9853"/>
    <cellStyle name="Normal 2 5 4 4 2 2 3 4" xfId="18676"/>
    <cellStyle name="Normal 2 5 4 4 2 2 4" xfId="2372"/>
    <cellStyle name="Normal 2 5 4 4 2 2 4 2" xfId="11739"/>
    <cellStyle name="Normal 2 5 4 4 2 2 4 3" xfId="21743"/>
    <cellStyle name="Normal 2 5 4 4 2 2 5" xfId="6050"/>
    <cellStyle name="Normal 2 5 4 4 2 2 5 2" xfId="14877"/>
    <cellStyle name="Normal 2 5 4 4 2 2 5 3" xfId="25128"/>
    <cellStyle name="Normal 2 5 4 4 2 2 6" xfId="7494"/>
    <cellStyle name="Normal 2 5 4 4 2 2 6 2" xfId="20225"/>
    <cellStyle name="Normal 2 5 4 4 2 2 7" xfId="16736"/>
    <cellStyle name="Normal 2 5 4 4 2 3" xfId="1351"/>
    <cellStyle name="Normal 2 5 4 4 2 3 2" xfId="3782"/>
    <cellStyle name="Normal 2 5 4 4 2 3 2 2" xfId="12920"/>
    <cellStyle name="Normal 2 5 4 4 2 3 2 2 2" xfId="23139"/>
    <cellStyle name="Normal 2 5 4 4 2 3 2 3" xfId="9341"/>
    <cellStyle name="Normal 2 5 4 4 2 3 2 4" xfId="18132"/>
    <cellStyle name="Normal 2 5 4 4 2 3 3" xfId="4941"/>
    <cellStyle name="Normal 2 5 4 4 2 3 3 2" xfId="13780"/>
    <cellStyle name="Normal 2 5 4 4 2 3 3 2 2" xfId="24031"/>
    <cellStyle name="Normal 2 5 4 4 2 3 3 3" xfId="10201"/>
    <cellStyle name="Normal 2 5 4 4 2 3 3 4" xfId="19024"/>
    <cellStyle name="Normal 2 5 4 4 2 3 4" xfId="2176"/>
    <cellStyle name="Normal 2 5 4 4 2 3 4 2" xfId="11543"/>
    <cellStyle name="Normal 2 5 4 4 2 3 4 3" xfId="21547"/>
    <cellStyle name="Normal 2 5 4 4 2 3 5" xfId="6398"/>
    <cellStyle name="Normal 2 5 4 4 2 3 5 2" xfId="15225"/>
    <cellStyle name="Normal 2 5 4 4 2 3 5 3" xfId="25476"/>
    <cellStyle name="Normal 2 5 4 4 2 3 6" xfId="7844"/>
    <cellStyle name="Normal 2 5 4 4 2 3 6 2" xfId="20738"/>
    <cellStyle name="Normal 2 5 4 4 2 3 7" xfId="16540"/>
    <cellStyle name="Normal 2 5 4 4 2 4" xfId="3067"/>
    <cellStyle name="Normal 2 5 4 4 2 4 2" xfId="5445"/>
    <cellStyle name="Normal 2 5 4 4 2 4 2 2" xfId="14284"/>
    <cellStyle name="Normal 2 5 4 4 2 4 2 2 2" xfId="24535"/>
    <cellStyle name="Normal 2 5 4 4 2 4 2 3" xfId="10705"/>
    <cellStyle name="Normal 2 5 4 4 2 4 2 4" xfId="19528"/>
    <cellStyle name="Normal 2 5 4 4 2 4 3" xfId="6902"/>
    <cellStyle name="Normal 2 5 4 4 2 4 3 2" xfId="15729"/>
    <cellStyle name="Normal 2 5 4 4 2 4 3 3" xfId="25980"/>
    <cellStyle name="Normal 2 5 4 4 2 4 4" xfId="8348"/>
    <cellStyle name="Normal 2 5 4 4 2 4 4 2" xfId="22430"/>
    <cellStyle name="Normal 2 5 4 4 2 4 5" xfId="17423"/>
    <cellStyle name="Normal 2 5 4 4 2 5" xfId="4401"/>
    <cellStyle name="Normal 2 5 4 4 2 5 2" xfId="13241"/>
    <cellStyle name="Normal 2 5 4 4 2 5 2 2" xfId="23492"/>
    <cellStyle name="Normal 2 5 4 4 2 5 3" xfId="9662"/>
    <cellStyle name="Normal 2 5 4 4 2 5 4" xfId="18485"/>
    <cellStyle name="Normal 2 5 4 4 2 6" xfId="1673"/>
    <cellStyle name="Normal 2 5 4 4 2 6 2" xfId="11052"/>
    <cellStyle name="Normal 2 5 4 4 2 6 3" xfId="21056"/>
    <cellStyle name="Normal 2 5 4 4 2 7" xfId="5859"/>
    <cellStyle name="Normal 2 5 4 4 2 7 2" xfId="14686"/>
    <cellStyle name="Normal 2 5 4 4 2 7 3" xfId="24937"/>
    <cellStyle name="Normal 2 5 4 4 2 8" xfId="7303"/>
    <cellStyle name="Normal 2 5 4 4 2 8 2" xfId="20029"/>
    <cellStyle name="Normal 2 5 4 4 2 9" xfId="16049"/>
    <cellStyle name="Normal 2 5 4 4 2_Degree data" xfId="3839"/>
    <cellStyle name="Normal 2 5 4 4 3" xfId="374"/>
    <cellStyle name="Normal 2 5 4 4 3 2" xfId="2862"/>
    <cellStyle name="Normal 2 5 4 4 3 2 2" xfId="12152"/>
    <cellStyle name="Normal 2 5 4 4 3 2 2 2" xfId="22225"/>
    <cellStyle name="Normal 2 5 4 4 3 2 3" xfId="8599"/>
    <cellStyle name="Normal 2 5 4 4 3 2 4" xfId="17218"/>
    <cellStyle name="Normal 2 5 4 4 3 3" xfId="4591"/>
    <cellStyle name="Normal 2 5 4 4 3 3 2" xfId="13431"/>
    <cellStyle name="Normal 2 5 4 4 3 3 2 2" xfId="23682"/>
    <cellStyle name="Normal 2 5 4 4 3 3 3" xfId="9852"/>
    <cellStyle name="Normal 2 5 4 4 3 3 4" xfId="18675"/>
    <cellStyle name="Normal 2 5 4 4 3 4" xfId="1971"/>
    <cellStyle name="Normal 2 5 4 4 3 4 2" xfId="11338"/>
    <cellStyle name="Normal 2 5 4 4 3 4 3" xfId="21342"/>
    <cellStyle name="Normal 2 5 4 4 3 5" xfId="6049"/>
    <cellStyle name="Normal 2 5 4 4 3 5 2" xfId="14876"/>
    <cellStyle name="Normal 2 5 4 4 3 5 3" xfId="25127"/>
    <cellStyle name="Normal 2 5 4 4 3 6" xfId="7493"/>
    <cellStyle name="Normal 2 5 4 4 3 6 2" xfId="19824"/>
    <cellStyle name="Normal 2 5 4 4 3 7" xfId="16335"/>
    <cellStyle name="Normal 2 5 4 4 4" xfId="774"/>
    <cellStyle name="Normal 2 5 4 4 4 2" xfId="3262"/>
    <cellStyle name="Normal 2 5 4 4 4 2 2" xfId="12406"/>
    <cellStyle name="Normal 2 5 4 4 4 2 2 2" xfId="22625"/>
    <cellStyle name="Normal 2 5 4 4 4 2 3" xfId="8828"/>
    <cellStyle name="Normal 2 5 4 4 4 2 4" xfId="17618"/>
    <cellStyle name="Normal 2 5 4 4 4 3" xfId="4940"/>
    <cellStyle name="Normal 2 5 4 4 4 3 2" xfId="13779"/>
    <cellStyle name="Normal 2 5 4 4 4 3 2 2" xfId="24030"/>
    <cellStyle name="Normal 2 5 4 4 4 3 3" xfId="10200"/>
    <cellStyle name="Normal 2 5 4 4 4 3 4" xfId="19023"/>
    <cellStyle name="Normal 2 5 4 4 4 4" xfId="2371"/>
    <cellStyle name="Normal 2 5 4 4 4 4 2" xfId="11738"/>
    <cellStyle name="Normal 2 5 4 4 4 4 3" xfId="21742"/>
    <cellStyle name="Normal 2 5 4 4 4 5" xfId="6397"/>
    <cellStyle name="Normal 2 5 4 4 4 5 2" xfId="15224"/>
    <cellStyle name="Normal 2 5 4 4 4 5 3" xfId="25475"/>
    <cellStyle name="Normal 2 5 4 4 4 6" xfId="7843"/>
    <cellStyle name="Normal 2 5 4 4 4 6 2" xfId="20224"/>
    <cellStyle name="Normal 2 5 4 4 4 7" xfId="16735"/>
    <cellStyle name="Normal 2 5 4 4 5" xfId="1146"/>
    <cellStyle name="Normal 2 5 4 4 5 2" xfId="3577"/>
    <cellStyle name="Normal 2 5 4 4 5 2 2" xfId="12715"/>
    <cellStyle name="Normal 2 5 4 4 5 2 2 2" xfId="22934"/>
    <cellStyle name="Normal 2 5 4 4 5 2 3" xfId="9136"/>
    <cellStyle name="Normal 2 5 4 4 5 2 4" xfId="17927"/>
    <cellStyle name="Normal 2 5 4 4 5 3" xfId="5240"/>
    <cellStyle name="Normal 2 5 4 4 5 3 2" xfId="14079"/>
    <cellStyle name="Normal 2 5 4 4 5 3 2 2" xfId="24330"/>
    <cellStyle name="Normal 2 5 4 4 5 3 3" xfId="10500"/>
    <cellStyle name="Normal 2 5 4 4 5 3 4" xfId="19323"/>
    <cellStyle name="Normal 2 5 4 4 5 4" xfId="1856"/>
    <cellStyle name="Normal 2 5 4 4 5 4 2" xfId="11226"/>
    <cellStyle name="Normal 2 5 4 4 5 4 3" xfId="21230"/>
    <cellStyle name="Normal 2 5 4 4 5 5" xfId="6697"/>
    <cellStyle name="Normal 2 5 4 4 5 5 2" xfId="15524"/>
    <cellStyle name="Normal 2 5 4 4 5 5 3" xfId="25775"/>
    <cellStyle name="Normal 2 5 4 4 5 6" xfId="8143"/>
    <cellStyle name="Normal 2 5 4 4 5 6 2" xfId="20533"/>
    <cellStyle name="Normal 2 5 4 4 5 7" xfId="16223"/>
    <cellStyle name="Normal 2 5 4 4 6" xfId="2750"/>
    <cellStyle name="Normal 2 5 4 4 6 2" xfId="12069"/>
    <cellStyle name="Normal 2 5 4 4 6 2 2" xfId="22113"/>
    <cellStyle name="Normal 2 5 4 4 6 3" xfId="8630"/>
    <cellStyle name="Normal 2 5 4 4 6 4" xfId="17106"/>
    <cellStyle name="Normal 2 5 4 4 7" xfId="4196"/>
    <cellStyle name="Normal 2 5 4 4 7 2" xfId="13036"/>
    <cellStyle name="Normal 2 5 4 4 7 2 2" xfId="23287"/>
    <cellStyle name="Normal 2 5 4 4 7 3" xfId="9457"/>
    <cellStyle name="Normal 2 5 4 4 7 4" xfId="18280"/>
    <cellStyle name="Normal 2 5 4 4 8" xfId="1468"/>
    <cellStyle name="Normal 2 5 4 4 8 2" xfId="10847"/>
    <cellStyle name="Normal 2 5 4 4 8 3" xfId="20851"/>
    <cellStyle name="Normal 2 5 4 4 9" xfId="5654"/>
    <cellStyle name="Normal 2 5 4 4 9 2" xfId="14481"/>
    <cellStyle name="Normal 2 5 4 4 9 3" xfId="24732"/>
    <cellStyle name="Normal 2 5 4 4_Degree data" xfId="3912"/>
    <cellStyle name="Normal 2 5 4 5" xfId="474"/>
    <cellStyle name="Normal 2 5 4 5 2" xfId="776"/>
    <cellStyle name="Normal 2 5 4 5 2 2" xfId="3264"/>
    <cellStyle name="Normal 2 5 4 5 2 2 2" xfId="12408"/>
    <cellStyle name="Normal 2 5 4 5 2 2 2 2" xfId="22627"/>
    <cellStyle name="Normal 2 5 4 5 2 2 3" xfId="8830"/>
    <cellStyle name="Normal 2 5 4 5 2 2 4" xfId="17620"/>
    <cellStyle name="Normal 2 5 4 5 2 3" xfId="4593"/>
    <cellStyle name="Normal 2 5 4 5 2 3 2" xfId="13433"/>
    <cellStyle name="Normal 2 5 4 5 2 3 2 2" xfId="23684"/>
    <cellStyle name="Normal 2 5 4 5 2 3 3" xfId="9854"/>
    <cellStyle name="Normal 2 5 4 5 2 3 4" xfId="18677"/>
    <cellStyle name="Normal 2 5 4 5 2 4" xfId="2373"/>
    <cellStyle name="Normal 2 5 4 5 2 4 2" xfId="11740"/>
    <cellStyle name="Normal 2 5 4 5 2 4 3" xfId="21744"/>
    <cellStyle name="Normal 2 5 4 5 2 5" xfId="6051"/>
    <cellStyle name="Normal 2 5 4 5 2 5 2" xfId="14878"/>
    <cellStyle name="Normal 2 5 4 5 2 5 3" xfId="25129"/>
    <cellStyle name="Normal 2 5 4 5 2 6" xfId="7495"/>
    <cellStyle name="Normal 2 5 4 5 2 6 2" xfId="20226"/>
    <cellStyle name="Normal 2 5 4 5 2 7" xfId="16737"/>
    <cellStyle name="Normal 2 5 4 5 3" xfId="1246"/>
    <cellStyle name="Normal 2 5 4 5 3 2" xfId="3677"/>
    <cellStyle name="Normal 2 5 4 5 3 2 2" xfId="12815"/>
    <cellStyle name="Normal 2 5 4 5 3 2 2 2" xfId="23034"/>
    <cellStyle name="Normal 2 5 4 5 3 2 3" xfId="9236"/>
    <cellStyle name="Normal 2 5 4 5 3 2 4" xfId="18027"/>
    <cellStyle name="Normal 2 5 4 5 3 3" xfId="4942"/>
    <cellStyle name="Normal 2 5 4 5 3 3 2" xfId="13781"/>
    <cellStyle name="Normal 2 5 4 5 3 3 2 2" xfId="24032"/>
    <cellStyle name="Normal 2 5 4 5 3 3 3" xfId="10202"/>
    <cellStyle name="Normal 2 5 4 5 3 3 4" xfId="19025"/>
    <cellStyle name="Normal 2 5 4 5 3 4" xfId="2071"/>
    <cellStyle name="Normal 2 5 4 5 3 4 2" xfId="11438"/>
    <cellStyle name="Normal 2 5 4 5 3 4 3" xfId="21442"/>
    <cellStyle name="Normal 2 5 4 5 3 5" xfId="6399"/>
    <cellStyle name="Normal 2 5 4 5 3 5 2" xfId="15226"/>
    <cellStyle name="Normal 2 5 4 5 3 5 3" xfId="25477"/>
    <cellStyle name="Normal 2 5 4 5 3 6" xfId="7845"/>
    <cellStyle name="Normal 2 5 4 5 3 6 2" xfId="20633"/>
    <cellStyle name="Normal 2 5 4 5 3 7" xfId="16435"/>
    <cellStyle name="Normal 2 5 4 5 4" xfId="2962"/>
    <cellStyle name="Normal 2 5 4 5 4 2" xfId="5340"/>
    <cellStyle name="Normal 2 5 4 5 4 2 2" xfId="14179"/>
    <cellStyle name="Normal 2 5 4 5 4 2 2 2" xfId="24430"/>
    <cellStyle name="Normal 2 5 4 5 4 2 3" xfId="10600"/>
    <cellStyle name="Normal 2 5 4 5 4 2 4" xfId="19423"/>
    <cellStyle name="Normal 2 5 4 5 4 3" xfId="6797"/>
    <cellStyle name="Normal 2 5 4 5 4 3 2" xfId="15624"/>
    <cellStyle name="Normal 2 5 4 5 4 3 3" xfId="25875"/>
    <cellStyle name="Normal 2 5 4 5 4 4" xfId="8243"/>
    <cellStyle name="Normal 2 5 4 5 4 4 2" xfId="22325"/>
    <cellStyle name="Normal 2 5 4 5 4 5" xfId="17318"/>
    <cellStyle name="Normal 2 5 4 5 5" xfId="4296"/>
    <cellStyle name="Normal 2 5 4 5 5 2" xfId="13136"/>
    <cellStyle name="Normal 2 5 4 5 5 2 2" xfId="23387"/>
    <cellStyle name="Normal 2 5 4 5 5 3" xfId="9557"/>
    <cellStyle name="Normal 2 5 4 5 5 4" xfId="18380"/>
    <cellStyle name="Normal 2 5 4 5 6" xfId="1568"/>
    <cellStyle name="Normal 2 5 4 5 6 2" xfId="10947"/>
    <cellStyle name="Normal 2 5 4 5 6 3" xfId="20951"/>
    <cellStyle name="Normal 2 5 4 5 7" xfId="5754"/>
    <cellStyle name="Normal 2 5 4 5 7 2" xfId="14581"/>
    <cellStyle name="Normal 2 5 4 5 7 3" xfId="24832"/>
    <cellStyle name="Normal 2 5 4 5 8" xfId="7198"/>
    <cellStyle name="Normal 2 5 4 5 8 2" xfId="19924"/>
    <cellStyle name="Normal 2 5 4 5 9" xfId="15944"/>
    <cellStyle name="Normal 2 5 4 5_Degree data" xfId="3914"/>
    <cellStyle name="Normal 2 5 4 6" xfId="350"/>
    <cellStyle name="Normal 2 5 4 6 2" xfId="777"/>
    <cellStyle name="Normal 2 5 4 6 2 2" xfId="3265"/>
    <cellStyle name="Normal 2 5 4 6 2 2 2" xfId="12409"/>
    <cellStyle name="Normal 2 5 4 6 2 2 2 2" xfId="22628"/>
    <cellStyle name="Normal 2 5 4 6 2 2 3" xfId="8831"/>
    <cellStyle name="Normal 2 5 4 6 2 2 4" xfId="17621"/>
    <cellStyle name="Normal 2 5 4 6 2 3" xfId="4594"/>
    <cellStyle name="Normal 2 5 4 6 2 3 2" xfId="13434"/>
    <cellStyle name="Normal 2 5 4 6 2 3 2 2" xfId="23685"/>
    <cellStyle name="Normal 2 5 4 6 2 3 3" xfId="9855"/>
    <cellStyle name="Normal 2 5 4 6 2 3 4" xfId="18678"/>
    <cellStyle name="Normal 2 5 4 6 2 4" xfId="2374"/>
    <cellStyle name="Normal 2 5 4 6 2 4 2" xfId="11741"/>
    <cellStyle name="Normal 2 5 4 6 2 4 3" xfId="21745"/>
    <cellStyle name="Normal 2 5 4 6 2 5" xfId="6052"/>
    <cellStyle name="Normal 2 5 4 6 2 5 2" xfId="14879"/>
    <cellStyle name="Normal 2 5 4 6 2 5 3" xfId="25130"/>
    <cellStyle name="Normal 2 5 4 6 2 6" xfId="7496"/>
    <cellStyle name="Normal 2 5 4 6 2 6 2" xfId="20227"/>
    <cellStyle name="Normal 2 5 4 6 2 7" xfId="16738"/>
    <cellStyle name="Normal 2 5 4 6 3" xfId="1122"/>
    <cellStyle name="Normal 2 5 4 6 3 2" xfId="3553"/>
    <cellStyle name="Normal 2 5 4 6 3 2 2" xfId="12691"/>
    <cellStyle name="Normal 2 5 4 6 3 2 2 2" xfId="22910"/>
    <cellStyle name="Normal 2 5 4 6 3 2 3" xfId="9112"/>
    <cellStyle name="Normal 2 5 4 6 3 2 4" xfId="17903"/>
    <cellStyle name="Normal 2 5 4 6 3 3" xfId="4943"/>
    <cellStyle name="Normal 2 5 4 6 3 3 2" xfId="13782"/>
    <cellStyle name="Normal 2 5 4 6 3 3 2 2" xfId="24033"/>
    <cellStyle name="Normal 2 5 4 6 3 3 3" xfId="10203"/>
    <cellStyle name="Normal 2 5 4 6 3 3 4" xfId="19026"/>
    <cellStyle name="Normal 2 5 4 6 3 4" xfId="2601"/>
    <cellStyle name="Normal 2 5 4 6 3 4 2" xfId="11967"/>
    <cellStyle name="Normal 2 5 4 6 3 4 3" xfId="21971"/>
    <cellStyle name="Normal 2 5 4 6 3 5" xfId="6400"/>
    <cellStyle name="Normal 2 5 4 6 3 5 2" xfId="15227"/>
    <cellStyle name="Normal 2 5 4 6 3 5 3" xfId="25478"/>
    <cellStyle name="Normal 2 5 4 6 3 6" xfId="7846"/>
    <cellStyle name="Normal 2 5 4 6 3 6 2" xfId="20509"/>
    <cellStyle name="Normal 2 5 4 6 3 7" xfId="16964"/>
    <cellStyle name="Normal 2 5 4 6 4" xfId="2838"/>
    <cellStyle name="Normal 2 5 4 6 4 2" xfId="5216"/>
    <cellStyle name="Normal 2 5 4 6 4 2 2" xfId="14055"/>
    <cellStyle name="Normal 2 5 4 6 4 2 2 2" xfId="24306"/>
    <cellStyle name="Normal 2 5 4 6 4 2 3" xfId="10476"/>
    <cellStyle name="Normal 2 5 4 6 4 2 4" xfId="19299"/>
    <cellStyle name="Normal 2 5 4 6 4 3" xfId="6673"/>
    <cellStyle name="Normal 2 5 4 6 4 3 2" xfId="15500"/>
    <cellStyle name="Normal 2 5 4 6 4 3 3" xfId="25751"/>
    <cellStyle name="Normal 2 5 4 6 4 4" xfId="8119"/>
    <cellStyle name="Normal 2 5 4 6 4 4 2" xfId="22201"/>
    <cellStyle name="Normal 2 5 4 6 4 5" xfId="17194"/>
    <cellStyle name="Normal 2 5 4 6 5" xfId="4170"/>
    <cellStyle name="Normal 2 5 4 6 5 2" xfId="13010"/>
    <cellStyle name="Normal 2 5 4 6 5 2 2" xfId="23261"/>
    <cellStyle name="Normal 2 5 4 6 5 3" xfId="9431"/>
    <cellStyle name="Normal 2 5 4 6 5 4" xfId="18254"/>
    <cellStyle name="Normal 2 5 4 6 6" xfId="1947"/>
    <cellStyle name="Normal 2 5 4 6 6 2" xfId="11314"/>
    <cellStyle name="Normal 2 5 4 6 6 3" xfId="21318"/>
    <cellStyle name="Normal 2 5 4 6 7" xfId="5630"/>
    <cellStyle name="Normal 2 5 4 6 7 2" xfId="14457"/>
    <cellStyle name="Normal 2 5 4 6 7 3" xfId="24708"/>
    <cellStyle name="Normal 2 5 4 6 8" xfId="7074"/>
    <cellStyle name="Normal 2 5 4 6 8 2" xfId="19800"/>
    <cellStyle name="Normal 2 5 4 6 9" xfId="16311"/>
    <cellStyle name="Normal 2 5 4 6_Degree data" xfId="3843"/>
    <cellStyle name="Normal 2 5 4 7" xfId="768"/>
    <cellStyle name="Normal 2 5 4 7 2" xfId="3256"/>
    <cellStyle name="Normal 2 5 4 7 2 2" xfId="12400"/>
    <cellStyle name="Normal 2 5 4 7 2 2 2" xfId="22619"/>
    <cellStyle name="Normal 2 5 4 7 2 3" xfId="8822"/>
    <cellStyle name="Normal 2 5 4 7 2 4" xfId="17612"/>
    <cellStyle name="Normal 2 5 4 7 3" xfId="4585"/>
    <cellStyle name="Normal 2 5 4 7 3 2" xfId="13425"/>
    <cellStyle name="Normal 2 5 4 7 3 2 2" xfId="23676"/>
    <cellStyle name="Normal 2 5 4 7 3 3" xfId="9846"/>
    <cellStyle name="Normal 2 5 4 7 3 4" xfId="18669"/>
    <cellStyle name="Normal 2 5 4 7 4" xfId="2365"/>
    <cellStyle name="Normal 2 5 4 7 4 2" xfId="11732"/>
    <cellStyle name="Normal 2 5 4 7 4 3" xfId="21736"/>
    <cellStyle name="Normal 2 5 4 7 5" xfId="6043"/>
    <cellStyle name="Normal 2 5 4 7 5 2" xfId="14870"/>
    <cellStyle name="Normal 2 5 4 7 5 3" xfId="25121"/>
    <cellStyle name="Normal 2 5 4 7 6" xfId="7487"/>
    <cellStyle name="Normal 2 5 4 7 6 2" xfId="20218"/>
    <cellStyle name="Normal 2 5 4 7 7" xfId="16729"/>
    <cellStyle name="Normal 2 5 4 8" xfId="1077"/>
    <cellStyle name="Normal 2 5 4 8 2" xfId="3508"/>
    <cellStyle name="Normal 2 5 4 8 2 2" xfId="12646"/>
    <cellStyle name="Normal 2 5 4 8 2 2 2" xfId="22865"/>
    <cellStyle name="Normal 2 5 4 8 2 3" xfId="9068"/>
    <cellStyle name="Normal 2 5 4 8 2 4" xfId="17858"/>
    <cellStyle name="Normal 2 5 4 8 3" xfId="4934"/>
    <cellStyle name="Normal 2 5 4 8 3 2" xfId="13773"/>
    <cellStyle name="Normal 2 5 4 8 3 2 2" xfId="24024"/>
    <cellStyle name="Normal 2 5 4 8 3 3" xfId="10194"/>
    <cellStyle name="Normal 2 5 4 8 3 4" xfId="19017"/>
    <cellStyle name="Normal 2 5 4 8 4" xfId="1744"/>
    <cellStyle name="Normal 2 5 4 8 4 2" xfId="11120"/>
    <cellStyle name="Normal 2 5 4 8 4 3" xfId="21124"/>
    <cellStyle name="Normal 2 5 4 8 5" xfId="6391"/>
    <cellStyle name="Normal 2 5 4 8 5 2" xfId="15218"/>
    <cellStyle name="Normal 2 5 4 8 5 3" xfId="25469"/>
    <cellStyle name="Normal 2 5 4 8 6" xfId="7837"/>
    <cellStyle name="Normal 2 5 4 8 6 2" xfId="20464"/>
    <cellStyle name="Normal 2 5 4 8 7" xfId="16117"/>
    <cellStyle name="Normal 2 5 4 9" xfId="2644"/>
    <cellStyle name="Normal 2 5 4 9 2" xfId="5171"/>
    <cellStyle name="Normal 2 5 4 9 2 2" xfId="14010"/>
    <cellStyle name="Normal 2 5 4 9 2 2 2" xfId="24261"/>
    <cellStyle name="Normal 2 5 4 9 2 3" xfId="10431"/>
    <cellStyle name="Normal 2 5 4 9 2 4" xfId="19254"/>
    <cellStyle name="Normal 2 5 4 9 3" xfId="6628"/>
    <cellStyle name="Normal 2 5 4 9 3 2" xfId="15455"/>
    <cellStyle name="Normal 2 5 4 9 3 3" xfId="25706"/>
    <cellStyle name="Normal 2 5 4 9 4" xfId="8074"/>
    <cellStyle name="Normal 2 5 4 9 4 2" xfId="22008"/>
    <cellStyle name="Normal 2 5 4 9 5" xfId="17001"/>
    <cellStyle name="Normal 2 5 4_Degree data" xfId="3903"/>
    <cellStyle name="Normal 2 5 5" xfId="144"/>
    <cellStyle name="Normal 2 5 5 10" xfId="1414"/>
    <cellStyle name="Normal 2 5 5 10 2" xfId="10793"/>
    <cellStyle name="Normal 2 5 5 10 3" xfId="20797"/>
    <cellStyle name="Normal 2 5 5 11" xfId="5525"/>
    <cellStyle name="Normal 2 5 5 11 2" xfId="14354"/>
    <cellStyle name="Normal 2 5 5 11 3" xfId="24605"/>
    <cellStyle name="Normal 2 5 5 12" xfId="6967"/>
    <cellStyle name="Normal 2 5 5 12 2" xfId="19612"/>
    <cellStyle name="Normal 2 5 5 13" xfId="15790"/>
    <cellStyle name="Normal 2 5 5 2" xfId="194"/>
    <cellStyle name="Normal 2 5 5 2 10" xfId="7146"/>
    <cellStyle name="Normal 2 5 5 2 10 2" xfId="19655"/>
    <cellStyle name="Normal 2 5 5 2 11" xfId="15892"/>
    <cellStyle name="Normal 2 5 5 2 2" xfId="522"/>
    <cellStyle name="Normal 2 5 5 2 2 2" xfId="780"/>
    <cellStyle name="Normal 2 5 5 2 2 2 2" xfId="3268"/>
    <cellStyle name="Normal 2 5 5 2 2 2 2 2" xfId="12412"/>
    <cellStyle name="Normal 2 5 5 2 2 2 2 2 2" xfId="22631"/>
    <cellStyle name="Normal 2 5 5 2 2 2 2 3" xfId="8834"/>
    <cellStyle name="Normal 2 5 5 2 2 2 2 4" xfId="17624"/>
    <cellStyle name="Normal 2 5 5 2 2 2 3" xfId="4597"/>
    <cellStyle name="Normal 2 5 5 2 2 2 3 2" xfId="13437"/>
    <cellStyle name="Normal 2 5 5 2 2 2 3 2 2" xfId="23688"/>
    <cellStyle name="Normal 2 5 5 2 2 2 3 3" xfId="9858"/>
    <cellStyle name="Normal 2 5 5 2 2 2 3 4" xfId="18681"/>
    <cellStyle name="Normal 2 5 5 2 2 2 4" xfId="2377"/>
    <cellStyle name="Normal 2 5 5 2 2 2 4 2" xfId="11744"/>
    <cellStyle name="Normal 2 5 5 2 2 2 4 3" xfId="21748"/>
    <cellStyle name="Normal 2 5 5 2 2 2 5" xfId="6055"/>
    <cellStyle name="Normal 2 5 5 2 2 2 5 2" xfId="14882"/>
    <cellStyle name="Normal 2 5 5 2 2 2 5 3" xfId="25133"/>
    <cellStyle name="Normal 2 5 5 2 2 2 6" xfId="7499"/>
    <cellStyle name="Normal 2 5 5 2 2 2 6 2" xfId="20230"/>
    <cellStyle name="Normal 2 5 5 2 2 2 7" xfId="16741"/>
    <cellStyle name="Normal 2 5 5 2 2 3" xfId="1294"/>
    <cellStyle name="Normal 2 5 5 2 2 3 2" xfId="3725"/>
    <cellStyle name="Normal 2 5 5 2 2 3 2 2" xfId="12863"/>
    <cellStyle name="Normal 2 5 5 2 2 3 2 2 2" xfId="23082"/>
    <cellStyle name="Normal 2 5 5 2 2 3 2 3" xfId="9284"/>
    <cellStyle name="Normal 2 5 5 2 2 3 2 4" xfId="18075"/>
    <cellStyle name="Normal 2 5 5 2 2 3 3" xfId="4946"/>
    <cellStyle name="Normal 2 5 5 2 2 3 3 2" xfId="13785"/>
    <cellStyle name="Normal 2 5 5 2 2 3 3 2 2" xfId="24036"/>
    <cellStyle name="Normal 2 5 5 2 2 3 3 3" xfId="10206"/>
    <cellStyle name="Normal 2 5 5 2 2 3 3 4" xfId="19029"/>
    <cellStyle name="Normal 2 5 5 2 2 3 4" xfId="2119"/>
    <cellStyle name="Normal 2 5 5 2 2 3 4 2" xfId="11486"/>
    <cellStyle name="Normal 2 5 5 2 2 3 4 3" xfId="21490"/>
    <cellStyle name="Normal 2 5 5 2 2 3 5" xfId="6403"/>
    <cellStyle name="Normal 2 5 5 2 2 3 5 2" xfId="15230"/>
    <cellStyle name="Normal 2 5 5 2 2 3 5 3" xfId="25481"/>
    <cellStyle name="Normal 2 5 5 2 2 3 6" xfId="7849"/>
    <cellStyle name="Normal 2 5 5 2 2 3 6 2" xfId="20681"/>
    <cellStyle name="Normal 2 5 5 2 2 3 7" xfId="16483"/>
    <cellStyle name="Normal 2 5 5 2 2 4" xfId="3010"/>
    <cellStyle name="Normal 2 5 5 2 2 4 2" xfId="5388"/>
    <cellStyle name="Normal 2 5 5 2 2 4 2 2" xfId="14227"/>
    <cellStyle name="Normal 2 5 5 2 2 4 2 2 2" xfId="24478"/>
    <cellStyle name="Normal 2 5 5 2 2 4 2 3" xfId="10648"/>
    <cellStyle name="Normal 2 5 5 2 2 4 2 4" xfId="19471"/>
    <cellStyle name="Normal 2 5 5 2 2 4 3" xfId="6845"/>
    <cellStyle name="Normal 2 5 5 2 2 4 3 2" xfId="15672"/>
    <cellStyle name="Normal 2 5 5 2 2 4 3 3" xfId="25923"/>
    <cellStyle name="Normal 2 5 5 2 2 4 4" xfId="8291"/>
    <cellStyle name="Normal 2 5 5 2 2 4 4 2" xfId="22373"/>
    <cellStyle name="Normal 2 5 5 2 2 4 5" xfId="17366"/>
    <cellStyle name="Normal 2 5 5 2 2 5" xfId="4344"/>
    <cellStyle name="Normal 2 5 5 2 2 5 2" xfId="13184"/>
    <cellStyle name="Normal 2 5 5 2 2 5 2 2" xfId="23435"/>
    <cellStyle name="Normal 2 5 5 2 2 5 3" xfId="9605"/>
    <cellStyle name="Normal 2 5 5 2 2 5 4" xfId="18428"/>
    <cellStyle name="Normal 2 5 5 2 2 6" xfId="1616"/>
    <cellStyle name="Normal 2 5 5 2 2 6 2" xfId="10995"/>
    <cellStyle name="Normal 2 5 5 2 2 6 3" xfId="20999"/>
    <cellStyle name="Normal 2 5 5 2 2 7" xfId="5802"/>
    <cellStyle name="Normal 2 5 5 2 2 7 2" xfId="14629"/>
    <cellStyle name="Normal 2 5 5 2 2 7 3" xfId="24880"/>
    <cellStyle name="Normal 2 5 5 2 2 8" xfId="7246"/>
    <cellStyle name="Normal 2 5 5 2 2 8 2" xfId="19972"/>
    <cellStyle name="Normal 2 5 5 2 2 9" xfId="15992"/>
    <cellStyle name="Normal 2 5 5 2 2_Degree data" xfId="3475"/>
    <cellStyle name="Normal 2 5 5 2 3" xfId="422"/>
    <cellStyle name="Normal 2 5 5 2 3 2" xfId="2910"/>
    <cellStyle name="Normal 2 5 5 2 3 2 2" xfId="12200"/>
    <cellStyle name="Normal 2 5 5 2 3 2 2 2" xfId="22273"/>
    <cellStyle name="Normal 2 5 5 2 3 2 3" xfId="8466"/>
    <cellStyle name="Normal 2 5 5 2 3 2 4" xfId="17266"/>
    <cellStyle name="Normal 2 5 5 2 3 3" xfId="4596"/>
    <cellStyle name="Normal 2 5 5 2 3 3 2" xfId="13436"/>
    <cellStyle name="Normal 2 5 5 2 3 3 2 2" xfId="23687"/>
    <cellStyle name="Normal 2 5 5 2 3 3 3" xfId="9857"/>
    <cellStyle name="Normal 2 5 5 2 3 3 4" xfId="18680"/>
    <cellStyle name="Normal 2 5 5 2 3 4" xfId="2019"/>
    <cellStyle name="Normal 2 5 5 2 3 4 2" xfId="11386"/>
    <cellStyle name="Normal 2 5 5 2 3 4 3" xfId="21390"/>
    <cellStyle name="Normal 2 5 5 2 3 5" xfId="6054"/>
    <cellStyle name="Normal 2 5 5 2 3 5 2" xfId="14881"/>
    <cellStyle name="Normal 2 5 5 2 3 5 3" xfId="25132"/>
    <cellStyle name="Normal 2 5 5 2 3 6" xfId="7498"/>
    <cellStyle name="Normal 2 5 5 2 3 6 2" xfId="19872"/>
    <cellStyle name="Normal 2 5 5 2 3 7" xfId="16383"/>
    <cellStyle name="Normal 2 5 5 2 4" xfId="779"/>
    <cellStyle name="Normal 2 5 5 2 4 2" xfId="3267"/>
    <cellStyle name="Normal 2 5 5 2 4 2 2" xfId="12411"/>
    <cellStyle name="Normal 2 5 5 2 4 2 2 2" xfId="22630"/>
    <cellStyle name="Normal 2 5 5 2 4 2 3" xfId="8833"/>
    <cellStyle name="Normal 2 5 5 2 4 2 4" xfId="17623"/>
    <cellStyle name="Normal 2 5 5 2 4 3" xfId="4945"/>
    <cellStyle name="Normal 2 5 5 2 4 3 2" xfId="13784"/>
    <cellStyle name="Normal 2 5 5 2 4 3 2 2" xfId="24035"/>
    <cellStyle name="Normal 2 5 5 2 4 3 3" xfId="10205"/>
    <cellStyle name="Normal 2 5 5 2 4 3 4" xfId="19028"/>
    <cellStyle name="Normal 2 5 5 2 4 4" xfId="2376"/>
    <cellStyle name="Normal 2 5 5 2 4 4 2" xfId="11743"/>
    <cellStyle name="Normal 2 5 5 2 4 4 3" xfId="21747"/>
    <cellStyle name="Normal 2 5 5 2 4 5" xfId="6402"/>
    <cellStyle name="Normal 2 5 5 2 4 5 2" xfId="15229"/>
    <cellStyle name="Normal 2 5 5 2 4 5 3" xfId="25480"/>
    <cellStyle name="Normal 2 5 5 2 4 6" xfId="7848"/>
    <cellStyle name="Normal 2 5 5 2 4 6 2" xfId="20229"/>
    <cellStyle name="Normal 2 5 5 2 4 7" xfId="16740"/>
    <cellStyle name="Normal 2 5 5 2 5" xfId="1194"/>
    <cellStyle name="Normal 2 5 5 2 5 2" xfId="3625"/>
    <cellStyle name="Normal 2 5 5 2 5 2 2" xfId="12763"/>
    <cellStyle name="Normal 2 5 5 2 5 2 2 2" xfId="22982"/>
    <cellStyle name="Normal 2 5 5 2 5 2 3" xfId="9184"/>
    <cellStyle name="Normal 2 5 5 2 5 2 4" xfId="17975"/>
    <cellStyle name="Normal 2 5 5 2 5 3" xfId="5288"/>
    <cellStyle name="Normal 2 5 5 2 5 3 2" xfId="14127"/>
    <cellStyle name="Normal 2 5 5 2 5 3 2 2" xfId="24378"/>
    <cellStyle name="Normal 2 5 5 2 5 3 3" xfId="10548"/>
    <cellStyle name="Normal 2 5 5 2 5 3 4" xfId="19371"/>
    <cellStyle name="Normal 2 5 5 2 5 4" xfId="1798"/>
    <cellStyle name="Normal 2 5 5 2 5 4 2" xfId="11169"/>
    <cellStyle name="Normal 2 5 5 2 5 4 3" xfId="21173"/>
    <cellStyle name="Normal 2 5 5 2 5 5" xfId="6745"/>
    <cellStyle name="Normal 2 5 5 2 5 5 2" xfId="15572"/>
    <cellStyle name="Normal 2 5 5 2 5 5 3" xfId="25823"/>
    <cellStyle name="Normal 2 5 5 2 5 6" xfId="8191"/>
    <cellStyle name="Normal 2 5 5 2 5 6 2" xfId="20581"/>
    <cellStyle name="Normal 2 5 5 2 5 7" xfId="16166"/>
    <cellStyle name="Normal 2 5 5 2 6" xfId="2693"/>
    <cellStyle name="Normal 2 5 5 2 6 2" xfId="12012"/>
    <cellStyle name="Normal 2 5 5 2 6 2 2" xfId="22056"/>
    <cellStyle name="Normal 2 5 5 2 6 3" xfId="8511"/>
    <cellStyle name="Normal 2 5 5 2 6 4" xfId="17049"/>
    <cellStyle name="Normal 2 5 5 2 7" xfId="4244"/>
    <cellStyle name="Normal 2 5 5 2 7 2" xfId="13084"/>
    <cellStyle name="Normal 2 5 5 2 7 2 2" xfId="23335"/>
    <cellStyle name="Normal 2 5 5 2 7 3" xfId="9505"/>
    <cellStyle name="Normal 2 5 5 2 7 4" xfId="18328"/>
    <cellStyle name="Normal 2 5 5 2 8" xfId="1516"/>
    <cellStyle name="Normal 2 5 5 2 8 2" xfId="10895"/>
    <cellStyle name="Normal 2 5 5 2 8 3" xfId="20899"/>
    <cellStyle name="Normal 2 5 5 2 9" xfId="5702"/>
    <cellStyle name="Normal 2 5 5 2 9 2" xfId="14529"/>
    <cellStyle name="Normal 2 5 5 2 9 3" xfId="24780"/>
    <cellStyle name="Normal 2 5 5 2_Degree data" xfId="3897"/>
    <cellStyle name="Normal 2 5 5 3" xfId="261"/>
    <cellStyle name="Normal 2 5 5 3 10" xfId="7103"/>
    <cellStyle name="Normal 2 5 5 3 10 2" xfId="19717"/>
    <cellStyle name="Normal 2 5 5 3 11" xfId="15849"/>
    <cellStyle name="Normal 2 5 5 3 2" xfId="584"/>
    <cellStyle name="Normal 2 5 5 3 2 2" xfId="782"/>
    <cellStyle name="Normal 2 5 5 3 2 2 2" xfId="3270"/>
    <cellStyle name="Normal 2 5 5 3 2 2 2 2" xfId="12414"/>
    <cellStyle name="Normal 2 5 5 3 2 2 2 2 2" xfId="22633"/>
    <cellStyle name="Normal 2 5 5 3 2 2 2 3" xfId="8836"/>
    <cellStyle name="Normal 2 5 5 3 2 2 2 4" xfId="17626"/>
    <cellStyle name="Normal 2 5 5 3 2 2 3" xfId="4599"/>
    <cellStyle name="Normal 2 5 5 3 2 2 3 2" xfId="13439"/>
    <cellStyle name="Normal 2 5 5 3 2 2 3 2 2" xfId="23690"/>
    <cellStyle name="Normal 2 5 5 3 2 2 3 3" xfId="9860"/>
    <cellStyle name="Normal 2 5 5 3 2 2 3 4" xfId="18683"/>
    <cellStyle name="Normal 2 5 5 3 2 2 4" xfId="2379"/>
    <cellStyle name="Normal 2 5 5 3 2 2 4 2" xfId="11746"/>
    <cellStyle name="Normal 2 5 5 3 2 2 4 3" xfId="21750"/>
    <cellStyle name="Normal 2 5 5 3 2 2 5" xfId="6057"/>
    <cellStyle name="Normal 2 5 5 3 2 2 5 2" xfId="14884"/>
    <cellStyle name="Normal 2 5 5 3 2 2 5 3" xfId="25135"/>
    <cellStyle name="Normal 2 5 5 3 2 2 6" xfId="7501"/>
    <cellStyle name="Normal 2 5 5 3 2 2 6 2" xfId="20232"/>
    <cellStyle name="Normal 2 5 5 3 2 2 7" xfId="16743"/>
    <cellStyle name="Normal 2 5 5 3 2 3" xfId="1356"/>
    <cellStyle name="Normal 2 5 5 3 2 3 2" xfId="3787"/>
    <cellStyle name="Normal 2 5 5 3 2 3 2 2" xfId="12925"/>
    <cellStyle name="Normal 2 5 5 3 2 3 2 2 2" xfId="23144"/>
    <cellStyle name="Normal 2 5 5 3 2 3 2 3" xfId="9346"/>
    <cellStyle name="Normal 2 5 5 3 2 3 2 4" xfId="18137"/>
    <cellStyle name="Normal 2 5 5 3 2 3 3" xfId="4948"/>
    <cellStyle name="Normal 2 5 5 3 2 3 3 2" xfId="13787"/>
    <cellStyle name="Normal 2 5 5 3 2 3 3 2 2" xfId="24038"/>
    <cellStyle name="Normal 2 5 5 3 2 3 3 3" xfId="10208"/>
    <cellStyle name="Normal 2 5 5 3 2 3 3 4" xfId="19031"/>
    <cellStyle name="Normal 2 5 5 3 2 3 4" xfId="2181"/>
    <cellStyle name="Normal 2 5 5 3 2 3 4 2" xfId="11548"/>
    <cellStyle name="Normal 2 5 5 3 2 3 4 3" xfId="21552"/>
    <cellStyle name="Normal 2 5 5 3 2 3 5" xfId="6405"/>
    <cellStyle name="Normal 2 5 5 3 2 3 5 2" xfId="15232"/>
    <cellStyle name="Normal 2 5 5 3 2 3 5 3" xfId="25483"/>
    <cellStyle name="Normal 2 5 5 3 2 3 6" xfId="7851"/>
    <cellStyle name="Normal 2 5 5 3 2 3 6 2" xfId="20743"/>
    <cellStyle name="Normal 2 5 5 3 2 3 7" xfId="16545"/>
    <cellStyle name="Normal 2 5 5 3 2 4" xfId="3072"/>
    <cellStyle name="Normal 2 5 5 3 2 4 2" xfId="5450"/>
    <cellStyle name="Normal 2 5 5 3 2 4 2 2" xfId="14289"/>
    <cellStyle name="Normal 2 5 5 3 2 4 2 2 2" xfId="24540"/>
    <cellStyle name="Normal 2 5 5 3 2 4 2 3" xfId="10710"/>
    <cellStyle name="Normal 2 5 5 3 2 4 2 4" xfId="19533"/>
    <cellStyle name="Normal 2 5 5 3 2 4 3" xfId="6907"/>
    <cellStyle name="Normal 2 5 5 3 2 4 3 2" xfId="15734"/>
    <cellStyle name="Normal 2 5 5 3 2 4 3 3" xfId="25985"/>
    <cellStyle name="Normal 2 5 5 3 2 4 4" xfId="8353"/>
    <cellStyle name="Normal 2 5 5 3 2 4 4 2" xfId="22435"/>
    <cellStyle name="Normal 2 5 5 3 2 4 5" xfId="17428"/>
    <cellStyle name="Normal 2 5 5 3 2 5" xfId="4406"/>
    <cellStyle name="Normal 2 5 5 3 2 5 2" xfId="13246"/>
    <cellStyle name="Normal 2 5 5 3 2 5 2 2" xfId="23497"/>
    <cellStyle name="Normal 2 5 5 3 2 5 3" xfId="9667"/>
    <cellStyle name="Normal 2 5 5 3 2 5 4" xfId="18490"/>
    <cellStyle name="Normal 2 5 5 3 2 6" xfId="1678"/>
    <cellStyle name="Normal 2 5 5 3 2 6 2" xfId="11057"/>
    <cellStyle name="Normal 2 5 5 3 2 6 3" xfId="21061"/>
    <cellStyle name="Normal 2 5 5 3 2 7" xfId="5864"/>
    <cellStyle name="Normal 2 5 5 3 2 7 2" xfId="14691"/>
    <cellStyle name="Normal 2 5 5 3 2 7 3" xfId="24942"/>
    <cellStyle name="Normal 2 5 5 3 2 8" xfId="7308"/>
    <cellStyle name="Normal 2 5 5 3 2 8 2" xfId="20034"/>
    <cellStyle name="Normal 2 5 5 3 2 9" xfId="16054"/>
    <cellStyle name="Normal 2 5 5 3 2_Degree data" xfId="3889"/>
    <cellStyle name="Normal 2 5 5 3 3" xfId="379"/>
    <cellStyle name="Normal 2 5 5 3 3 2" xfId="2867"/>
    <cellStyle name="Normal 2 5 5 3 3 2 2" xfId="12157"/>
    <cellStyle name="Normal 2 5 5 3 3 2 2 2" xfId="22230"/>
    <cellStyle name="Normal 2 5 5 3 3 2 3" xfId="8539"/>
    <cellStyle name="Normal 2 5 5 3 3 2 4" xfId="17223"/>
    <cellStyle name="Normal 2 5 5 3 3 3" xfId="4598"/>
    <cellStyle name="Normal 2 5 5 3 3 3 2" xfId="13438"/>
    <cellStyle name="Normal 2 5 5 3 3 3 2 2" xfId="23689"/>
    <cellStyle name="Normal 2 5 5 3 3 3 3" xfId="9859"/>
    <cellStyle name="Normal 2 5 5 3 3 3 4" xfId="18682"/>
    <cellStyle name="Normal 2 5 5 3 3 4" xfId="1976"/>
    <cellStyle name="Normal 2 5 5 3 3 4 2" xfId="11343"/>
    <cellStyle name="Normal 2 5 5 3 3 4 3" xfId="21347"/>
    <cellStyle name="Normal 2 5 5 3 3 5" xfId="6056"/>
    <cellStyle name="Normal 2 5 5 3 3 5 2" xfId="14883"/>
    <cellStyle name="Normal 2 5 5 3 3 5 3" xfId="25134"/>
    <cellStyle name="Normal 2 5 5 3 3 6" xfId="7500"/>
    <cellStyle name="Normal 2 5 5 3 3 6 2" xfId="19829"/>
    <cellStyle name="Normal 2 5 5 3 3 7" xfId="16340"/>
    <cellStyle name="Normal 2 5 5 3 4" xfId="781"/>
    <cellStyle name="Normal 2 5 5 3 4 2" xfId="3269"/>
    <cellStyle name="Normal 2 5 5 3 4 2 2" xfId="12413"/>
    <cellStyle name="Normal 2 5 5 3 4 2 2 2" xfId="22632"/>
    <cellStyle name="Normal 2 5 5 3 4 2 3" xfId="8835"/>
    <cellStyle name="Normal 2 5 5 3 4 2 4" xfId="17625"/>
    <cellStyle name="Normal 2 5 5 3 4 3" xfId="4947"/>
    <cellStyle name="Normal 2 5 5 3 4 3 2" xfId="13786"/>
    <cellStyle name="Normal 2 5 5 3 4 3 2 2" xfId="24037"/>
    <cellStyle name="Normal 2 5 5 3 4 3 3" xfId="10207"/>
    <cellStyle name="Normal 2 5 5 3 4 3 4" xfId="19030"/>
    <cellStyle name="Normal 2 5 5 3 4 4" xfId="2378"/>
    <cellStyle name="Normal 2 5 5 3 4 4 2" xfId="11745"/>
    <cellStyle name="Normal 2 5 5 3 4 4 3" xfId="21749"/>
    <cellStyle name="Normal 2 5 5 3 4 5" xfId="6404"/>
    <cellStyle name="Normal 2 5 5 3 4 5 2" xfId="15231"/>
    <cellStyle name="Normal 2 5 5 3 4 5 3" xfId="25482"/>
    <cellStyle name="Normal 2 5 5 3 4 6" xfId="7850"/>
    <cellStyle name="Normal 2 5 5 3 4 6 2" xfId="20231"/>
    <cellStyle name="Normal 2 5 5 3 4 7" xfId="16742"/>
    <cellStyle name="Normal 2 5 5 3 5" xfId="1151"/>
    <cellStyle name="Normal 2 5 5 3 5 2" xfId="3582"/>
    <cellStyle name="Normal 2 5 5 3 5 2 2" xfId="12720"/>
    <cellStyle name="Normal 2 5 5 3 5 2 2 2" xfId="22939"/>
    <cellStyle name="Normal 2 5 5 3 5 2 3" xfId="9141"/>
    <cellStyle name="Normal 2 5 5 3 5 2 4" xfId="17932"/>
    <cellStyle name="Normal 2 5 5 3 5 3" xfId="5245"/>
    <cellStyle name="Normal 2 5 5 3 5 3 2" xfId="14084"/>
    <cellStyle name="Normal 2 5 5 3 5 3 2 2" xfId="24335"/>
    <cellStyle name="Normal 2 5 5 3 5 3 3" xfId="10505"/>
    <cellStyle name="Normal 2 5 5 3 5 3 4" xfId="19328"/>
    <cellStyle name="Normal 2 5 5 3 5 4" xfId="1861"/>
    <cellStyle name="Normal 2 5 5 3 5 4 2" xfId="11231"/>
    <cellStyle name="Normal 2 5 5 3 5 4 3" xfId="21235"/>
    <cellStyle name="Normal 2 5 5 3 5 5" xfId="6702"/>
    <cellStyle name="Normal 2 5 5 3 5 5 2" xfId="15529"/>
    <cellStyle name="Normal 2 5 5 3 5 5 3" xfId="25780"/>
    <cellStyle name="Normal 2 5 5 3 5 6" xfId="8148"/>
    <cellStyle name="Normal 2 5 5 3 5 6 2" xfId="20538"/>
    <cellStyle name="Normal 2 5 5 3 5 7" xfId="16228"/>
    <cellStyle name="Normal 2 5 5 3 6" xfId="2755"/>
    <cellStyle name="Normal 2 5 5 3 6 2" xfId="12074"/>
    <cellStyle name="Normal 2 5 5 3 6 2 2" xfId="22118"/>
    <cellStyle name="Normal 2 5 5 3 6 3" xfId="8559"/>
    <cellStyle name="Normal 2 5 5 3 6 4" xfId="17111"/>
    <cellStyle name="Normal 2 5 5 3 7" xfId="4201"/>
    <cellStyle name="Normal 2 5 5 3 7 2" xfId="13041"/>
    <cellStyle name="Normal 2 5 5 3 7 2 2" xfId="23292"/>
    <cellStyle name="Normal 2 5 5 3 7 3" xfId="9462"/>
    <cellStyle name="Normal 2 5 5 3 7 4" xfId="18285"/>
    <cellStyle name="Normal 2 5 5 3 8" xfId="1473"/>
    <cellStyle name="Normal 2 5 5 3 8 2" xfId="10852"/>
    <cellStyle name="Normal 2 5 5 3 8 3" xfId="20856"/>
    <cellStyle name="Normal 2 5 5 3 9" xfId="5659"/>
    <cellStyle name="Normal 2 5 5 3 9 2" xfId="14486"/>
    <cellStyle name="Normal 2 5 5 3 9 3" xfId="24737"/>
    <cellStyle name="Normal 2 5 5 3_Degree data" xfId="3919"/>
    <cellStyle name="Normal 2 5 5 4" xfId="479"/>
    <cellStyle name="Normal 2 5 5 4 2" xfId="783"/>
    <cellStyle name="Normal 2 5 5 4 2 2" xfId="3271"/>
    <cellStyle name="Normal 2 5 5 4 2 2 2" xfId="12415"/>
    <cellStyle name="Normal 2 5 5 4 2 2 2 2" xfId="22634"/>
    <cellStyle name="Normal 2 5 5 4 2 2 3" xfId="8837"/>
    <cellStyle name="Normal 2 5 5 4 2 2 4" xfId="17627"/>
    <cellStyle name="Normal 2 5 5 4 2 3" xfId="4600"/>
    <cellStyle name="Normal 2 5 5 4 2 3 2" xfId="13440"/>
    <cellStyle name="Normal 2 5 5 4 2 3 2 2" xfId="23691"/>
    <cellStyle name="Normal 2 5 5 4 2 3 3" xfId="9861"/>
    <cellStyle name="Normal 2 5 5 4 2 3 4" xfId="18684"/>
    <cellStyle name="Normal 2 5 5 4 2 4" xfId="2380"/>
    <cellStyle name="Normal 2 5 5 4 2 4 2" xfId="11747"/>
    <cellStyle name="Normal 2 5 5 4 2 4 3" xfId="21751"/>
    <cellStyle name="Normal 2 5 5 4 2 5" xfId="6058"/>
    <cellStyle name="Normal 2 5 5 4 2 5 2" xfId="14885"/>
    <cellStyle name="Normal 2 5 5 4 2 5 3" xfId="25136"/>
    <cellStyle name="Normal 2 5 5 4 2 6" xfId="7502"/>
    <cellStyle name="Normal 2 5 5 4 2 6 2" xfId="20233"/>
    <cellStyle name="Normal 2 5 5 4 2 7" xfId="16744"/>
    <cellStyle name="Normal 2 5 5 4 3" xfId="1251"/>
    <cellStyle name="Normal 2 5 5 4 3 2" xfId="3682"/>
    <cellStyle name="Normal 2 5 5 4 3 2 2" xfId="12820"/>
    <cellStyle name="Normal 2 5 5 4 3 2 2 2" xfId="23039"/>
    <cellStyle name="Normal 2 5 5 4 3 2 3" xfId="9241"/>
    <cellStyle name="Normal 2 5 5 4 3 2 4" xfId="18032"/>
    <cellStyle name="Normal 2 5 5 4 3 3" xfId="4949"/>
    <cellStyle name="Normal 2 5 5 4 3 3 2" xfId="13788"/>
    <cellStyle name="Normal 2 5 5 4 3 3 2 2" xfId="24039"/>
    <cellStyle name="Normal 2 5 5 4 3 3 3" xfId="10209"/>
    <cellStyle name="Normal 2 5 5 4 3 3 4" xfId="19032"/>
    <cellStyle name="Normal 2 5 5 4 3 4" xfId="2076"/>
    <cellStyle name="Normal 2 5 5 4 3 4 2" xfId="11443"/>
    <cellStyle name="Normal 2 5 5 4 3 4 3" xfId="21447"/>
    <cellStyle name="Normal 2 5 5 4 3 5" xfId="6406"/>
    <cellStyle name="Normal 2 5 5 4 3 5 2" xfId="15233"/>
    <cellStyle name="Normal 2 5 5 4 3 5 3" xfId="25484"/>
    <cellStyle name="Normal 2 5 5 4 3 6" xfId="7852"/>
    <cellStyle name="Normal 2 5 5 4 3 6 2" xfId="20638"/>
    <cellStyle name="Normal 2 5 5 4 3 7" xfId="16440"/>
    <cellStyle name="Normal 2 5 5 4 4" xfId="2967"/>
    <cellStyle name="Normal 2 5 5 4 4 2" xfId="5345"/>
    <cellStyle name="Normal 2 5 5 4 4 2 2" xfId="14184"/>
    <cellStyle name="Normal 2 5 5 4 4 2 2 2" xfId="24435"/>
    <cellStyle name="Normal 2 5 5 4 4 2 3" xfId="10605"/>
    <cellStyle name="Normal 2 5 5 4 4 2 4" xfId="19428"/>
    <cellStyle name="Normal 2 5 5 4 4 3" xfId="6802"/>
    <cellStyle name="Normal 2 5 5 4 4 3 2" xfId="15629"/>
    <cellStyle name="Normal 2 5 5 4 4 3 3" xfId="25880"/>
    <cellStyle name="Normal 2 5 5 4 4 4" xfId="8248"/>
    <cellStyle name="Normal 2 5 5 4 4 4 2" xfId="22330"/>
    <cellStyle name="Normal 2 5 5 4 4 5" xfId="17323"/>
    <cellStyle name="Normal 2 5 5 4 5" xfId="4301"/>
    <cellStyle name="Normal 2 5 5 4 5 2" xfId="13141"/>
    <cellStyle name="Normal 2 5 5 4 5 2 2" xfId="23392"/>
    <cellStyle name="Normal 2 5 5 4 5 3" xfId="9562"/>
    <cellStyle name="Normal 2 5 5 4 5 4" xfId="18385"/>
    <cellStyle name="Normal 2 5 5 4 6" xfId="1573"/>
    <cellStyle name="Normal 2 5 5 4 6 2" xfId="10952"/>
    <cellStyle name="Normal 2 5 5 4 6 3" xfId="20956"/>
    <cellStyle name="Normal 2 5 5 4 7" xfId="5759"/>
    <cellStyle name="Normal 2 5 5 4 7 2" xfId="14586"/>
    <cellStyle name="Normal 2 5 5 4 7 3" xfId="24837"/>
    <cellStyle name="Normal 2 5 5 4 8" xfId="7203"/>
    <cellStyle name="Normal 2 5 5 4 8 2" xfId="19929"/>
    <cellStyle name="Normal 2 5 5 4 9" xfId="15949"/>
    <cellStyle name="Normal 2 5 5 4_Degree data" xfId="3868"/>
    <cellStyle name="Normal 2 5 5 5" xfId="320"/>
    <cellStyle name="Normal 2 5 5 5 2" xfId="2808"/>
    <cellStyle name="Normal 2 5 5 5 2 2" xfId="12114"/>
    <cellStyle name="Normal 2 5 5 5 2 2 2" xfId="22171"/>
    <cellStyle name="Normal 2 5 5 5 2 3" xfId="8411"/>
    <cellStyle name="Normal 2 5 5 5 2 4" xfId="17164"/>
    <cellStyle name="Normal 2 5 5 5 3" xfId="4595"/>
    <cellStyle name="Normal 2 5 5 5 3 2" xfId="13435"/>
    <cellStyle name="Normal 2 5 5 5 3 2 2" xfId="23686"/>
    <cellStyle name="Normal 2 5 5 5 3 3" xfId="9856"/>
    <cellStyle name="Normal 2 5 5 5 3 4" xfId="18679"/>
    <cellStyle name="Normal 2 5 5 5 4" xfId="1917"/>
    <cellStyle name="Normal 2 5 5 5 4 2" xfId="11284"/>
    <cellStyle name="Normal 2 5 5 5 4 3" xfId="21288"/>
    <cellStyle name="Normal 2 5 5 5 5" xfId="6053"/>
    <cellStyle name="Normal 2 5 5 5 5 2" xfId="14880"/>
    <cellStyle name="Normal 2 5 5 5 5 3" xfId="25131"/>
    <cellStyle name="Normal 2 5 5 5 6" xfId="7497"/>
    <cellStyle name="Normal 2 5 5 5 6 2" xfId="19770"/>
    <cellStyle name="Normal 2 5 5 5 7" xfId="16281"/>
    <cellStyle name="Normal 2 5 5 6" xfId="778"/>
    <cellStyle name="Normal 2 5 5 6 2" xfId="3266"/>
    <cellStyle name="Normal 2 5 5 6 2 2" xfId="12410"/>
    <cellStyle name="Normal 2 5 5 6 2 2 2" xfId="22629"/>
    <cellStyle name="Normal 2 5 5 6 2 3" xfId="8832"/>
    <cellStyle name="Normal 2 5 5 6 2 4" xfId="17622"/>
    <cellStyle name="Normal 2 5 5 6 3" xfId="4944"/>
    <cellStyle name="Normal 2 5 5 6 3 2" xfId="13783"/>
    <cellStyle name="Normal 2 5 5 6 3 2 2" xfId="24034"/>
    <cellStyle name="Normal 2 5 5 6 3 3" xfId="10204"/>
    <cellStyle name="Normal 2 5 5 6 3 4" xfId="19027"/>
    <cellStyle name="Normal 2 5 5 6 4" xfId="2375"/>
    <cellStyle name="Normal 2 5 5 6 4 2" xfId="11742"/>
    <cellStyle name="Normal 2 5 5 6 4 3" xfId="21746"/>
    <cellStyle name="Normal 2 5 5 6 5" xfId="6401"/>
    <cellStyle name="Normal 2 5 5 6 5 2" xfId="15228"/>
    <cellStyle name="Normal 2 5 5 6 5 3" xfId="25479"/>
    <cellStyle name="Normal 2 5 5 6 6" xfId="7847"/>
    <cellStyle name="Normal 2 5 5 6 6 2" xfId="20228"/>
    <cellStyle name="Normal 2 5 5 6 7" xfId="16739"/>
    <cellStyle name="Normal 2 5 5 7" xfId="1092"/>
    <cellStyle name="Normal 2 5 5 7 2" xfId="3523"/>
    <cellStyle name="Normal 2 5 5 7 2 2" xfId="12661"/>
    <cellStyle name="Normal 2 5 5 7 2 2 2" xfId="22880"/>
    <cellStyle name="Normal 2 5 5 7 2 3" xfId="9083"/>
    <cellStyle name="Normal 2 5 5 7 2 4" xfId="17873"/>
    <cellStyle name="Normal 2 5 5 7 3" xfId="5186"/>
    <cellStyle name="Normal 2 5 5 7 3 2" xfId="14025"/>
    <cellStyle name="Normal 2 5 5 7 3 2 2" xfId="24276"/>
    <cellStyle name="Normal 2 5 5 7 3 3" xfId="10446"/>
    <cellStyle name="Normal 2 5 5 7 3 4" xfId="19269"/>
    <cellStyle name="Normal 2 5 5 7 4" xfId="1752"/>
    <cellStyle name="Normal 2 5 5 7 4 2" xfId="11125"/>
    <cellStyle name="Normal 2 5 5 7 4 3" xfId="21129"/>
    <cellStyle name="Normal 2 5 5 7 5" xfId="6643"/>
    <cellStyle name="Normal 2 5 5 7 5 2" xfId="15470"/>
    <cellStyle name="Normal 2 5 5 7 5 3" xfId="25721"/>
    <cellStyle name="Normal 2 5 5 7 6" xfId="8089"/>
    <cellStyle name="Normal 2 5 5 7 6 2" xfId="20479"/>
    <cellStyle name="Normal 2 5 5 7 7" xfId="16122"/>
    <cellStyle name="Normal 2 5 5 8" xfId="2650"/>
    <cellStyle name="Normal 2 5 5 8 2" xfId="5600"/>
    <cellStyle name="Normal 2 5 5 8 2 2" xfId="14427"/>
    <cellStyle name="Normal 2 5 5 8 2 3" xfId="24678"/>
    <cellStyle name="Normal 2 5 5 8 3" xfId="7044"/>
    <cellStyle name="Normal 2 5 5 8 3 2" xfId="22013"/>
    <cellStyle name="Normal 2 5 5 8 4" xfId="17006"/>
    <cellStyle name="Normal 2 5 5 9" xfId="4140"/>
    <cellStyle name="Normal 2 5 5 9 2" xfId="12980"/>
    <cellStyle name="Normal 2 5 5 9 2 2" xfId="23231"/>
    <cellStyle name="Normal 2 5 5 9 3" xfId="9401"/>
    <cellStyle name="Normal 2 5 5 9 4" xfId="18224"/>
    <cellStyle name="Normal 2 5 5_Degree data" xfId="3876"/>
    <cellStyle name="Normal 2 5 6" xfId="185"/>
    <cellStyle name="Normal 2 5 6 10" xfId="7137"/>
    <cellStyle name="Normal 2 5 6 10 2" xfId="19646"/>
    <cellStyle name="Normal 2 5 6 11" xfId="15883"/>
    <cellStyle name="Normal 2 5 6 2" xfId="513"/>
    <cellStyle name="Normal 2 5 6 2 2" xfId="785"/>
    <cellStyle name="Normal 2 5 6 2 2 2" xfId="3273"/>
    <cellStyle name="Normal 2 5 6 2 2 2 2" xfId="12417"/>
    <cellStyle name="Normal 2 5 6 2 2 2 2 2" xfId="22636"/>
    <cellStyle name="Normal 2 5 6 2 2 2 3" xfId="8839"/>
    <cellStyle name="Normal 2 5 6 2 2 2 4" xfId="17629"/>
    <cellStyle name="Normal 2 5 6 2 2 3" xfId="4602"/>
    <cellStyle name="Normal 2 5 6 2 2 3 2" xfId="13442"/>
    <cellStyle name="Normal 2 5 6 2 2 3 2 2" xfId="23693"/>
    <cellStyle name="Normal 2 5 6 2 2 3 3" xfId="9863"/>
    <cellStyle name="Normal 2 5 6 2 2 3 4" xfId="18686"/>
    <cellStyle name="Normal 2 5 6 2 2 4" xfId="2382"/>
    <cellStyle name="Normal 2 5 6 2 2 4 2" xfId="11749"/>
    <cellStyle name="Normal 2 5 6 2 2 4 3" xfId="21753"/>
    <cellStyle name="Normal 2 5 6 2 2 5" xfId="6060"/>
    <cellStyle name="Normal 2 5 6 2 2 5 2" xfId="14887"/>
    <cellStyle name="Normal 2 5 6 2 2 5 3" xfId="25138"/>
    <cellStyle name="Normal 2 5 6 2 2 6" xfId="7504"/>
    <cellStyle name="Normal 2 5 6 2 2 6 2" xfId="20235"/>
    <cellStyle name="Normal 2 5 6 2 2 7" xfId="16746"/>
    <cellStyle name="Normal 2 5 6 2 3" xfId="1285"/>
    <cellStyle name="Normal 2 5 6 2 3 2" xfId="3716"/>
    <cellStyle name="Normal 2 5 6 2 3 2 2" xfId="12854"/>
    <cellStyle name="Normal 2 5 6 2 3 2 2 2" xfId="23073"/>
    <cellStyle name="Normal 2 5 6 2 3 2 3" xfId="9275"/>
    <cellStyle name="Normal 2 5 6 2 3 2 4" xfId="18066"/>
    <cellStyle name="Normal 2 5 6 2 3 3" xfId="4951"/>
    <cellStyle name="Normal 2 5 6 2 3 3 2" xfId="13790"/>
    <cellStyle name="Normal 2 5 6 2 3 3 2 2" xfId="24041"/>
    <cellStyle name="Normal 2 5 6 2 3 3 3" xfId="10211"/>
    <cellStyle name="Normal 2 5 6 2 3 3 4" xfId="19034"/>
    <cellStyle name="Normal 2 5 6 2 3 4" xfId="2110"/>
    <cellStyle name="Normal 2 5 6 2 3 4 2" xfId="11477"/>
    <cellStyle name="Normal 2 5 6 2 3 4 3" xfId="21481"/>
    <cellStyle name="Normal 2 5 6 2 3 5" xfId="6408"/>
    <cellStyle name="Normal 2 5 6 2 3 5 2" xfId="15235"/>
    <cellStyle name="Normal 2 5 6 2 3 5 3" xfId="25486"/>
    <cellStyle name="Normal 2 5 6 2 3 6" xfId="7854"/>
    <cellStyle name="Normal 2 5 6 2 3 6 2" xfId="20672"/>
    <cellStyle name="Normal 2 5 6 2 3 7" xfId="16474"/>
    <cellStyle name="Normal 2 5 6 2 4" xfId="3001"/>
    <cellStyle name="Normal 2 5 6 2 4 2" xfId="5379"/>
    <cellStyle name="Normal 2 5 6 2 4 2 2" xfId="14218"/>
    <cellStyle name="Normal 2 5 6 2 4 2 2 2" xfId="24469"/>
    <cellStyle name="Normal 2 5 6 2 4 2 3" xfId="10639"/>
    <cellStyle name="Normal 2 5 6 2 4 2 4" xfId="19462"/>
    <cellStyle name="Normal 2 5 6 2 4 3" xfId="6836"/>
    <cellStyle name="Normal 2 5 6 2 4 3 2" xfId="15663"/>
    <cellStyle name="Normal 2 5 6 2 4 3 3" xfId="25914"/>
    <cellStyle name="Normal 2 5 6 2 4 4" xfId="8282"/>
    <cellStyle name="Normal 2 5 6 2 4 4 2" xfId="22364"/>
    <cellStyle name="Normal 2 5 6 2 4 5" xfId="17357"/>
    <cellStyle name="Normal 2 5 6 2 5" xfId="4335"/>
    <cellStyle name="Normal 2 5 6 2 5 2" xfId="13175"/>
    <cellStyle name="Normal 2 5 6 2 5 2 2" xfId="23426"/>
    <cellStyle name="Normal 2 5 6 2 5 3" xfId="9596"/>
    <cellStyle name="Normal 2 5 6 2 5 4" xfId="18419"/>
    <cellStyle name="Normal 2 5 6 2 6" xfId="1607"/>
    <cellStyle name="Normal 2 5 6 2 6 2" xfId="10986"/>
    <cellStyle name="Normal 2 5 6 2 6 3" xfId="20990"/>
    <cellStyle name="Normal 2 5 6 2 7" xfId="5793"/>
    <cellStyle name="Normal 2 5 6 2 7 2" xfId="14620"/>
    <cellStyle name="Normal 2 5 6 2 7 3" xfId="24871"/>
    <cellStyle name="Normal 2 5 6 2 8" xfId="7237"/>
    <cellStyle name="Normal 2 5 6 2 8 2" xfId="19963"/>
    <cellStyle name="Normal 2 5 6 2 9" xfId="15983"/>
    <cellStyle name="Normal 2 5 6 2_Degree data" xfId="3478"/>
    <cellStyle name="Normal 2 5 6 3" xfId="413"/>
    <cellStyle name="Normal 2 5 6 3 2" xfId="2901"/>
    <cellStyle name="Normal 2 5 6 3 2 2" xfId="12191"/>
    <cellStyle name="Normal 2 5 6 3 2 2 2" xfId="22264"/>
    <cellStyle name="Normal 2 5 6 3 2 3" xfId="8530"/>
    <cellStyle name="Normal 2 5 6 3 2 4" xfId="17257"/>
    <cellStyle name="Normal 2 5 6 3 3" xfId="4601"/>
    <cellStyle name="Normal 2 5 6 3 3 2" xfId="13441"/>
    <cellStyle name="Normal 2 5 6 3 3 2 2" xfId="23692"/>
    <cellStyle name="Normal 2 5 6 3 3 3" xfId="9862"/>
    <cellStyle name="Normal 2 5 6 3 3 4" xfId="18685"/>
    <cellStyle name="Normal 2 5 6 3 4" xfId="2010"/>
    <cellStyle name="Normal 2 5 6 3 4 2" xfId="11377"/>
    <cellStyle name="Normal 2 5 6 3 4 3" xfId="21381"/>
    <cellStyle name="Normal 2 5 6 3 5" xfId="6059"/>
    <cellStyle name="Normal 2 5 6 3 5 2" xfId="14886"/>
    <cellStyle name="Normal 2 5 6 3 5 3" xfId="25137"/>
    <cellStyle name="Normal 2 5 6 3 6" xfId="7503"/>
    <cellStyle name="Normal 2 5 6 3 6 2" xfId="19863"/>
    <cellStyle name="Normal 2 5 6 3 7" xfId="16374"/>
    <cellStyle name="Normal 2 5 6 4" xfId="784"/>
    <cellStyle name="Normal 2 5 6 4 2" xfId="3272"/>
    <cellStyle name="Normal 2 5 6 4 2 2" xfId="12416"/>
    <cellStyle name="Normal 2 5 6 4 2 2 2" xfId="22635"/>
    <cellStyle name="Normal 2 5 6 4 2 3" xfId="8838"/>
    <cellStyle name="Normal 2 5 6 4 2 4" xfId="17628"/>
    <cellStyle name="Normal 2 5 6 4 3" xfId="4950"/>
    <cellStyle name="Normal 2 5 6 4 3 2" xfId="13789"/>
    <cellStyle name="Normal 2 5 6 4 3 2 2" xfId="24040"/>
    <cellStyle name="Normal 2 5 6 4 3 3" xfId="10210"/>
    <cellStyle name="Normal 2 5 6 4 3 4" xfId="19033"/>
    <cellStyle name="Normal 2 5 6 4 4" xfId="2381"/>
    <cellStyle name="Normal 2 5 6 4 4 2" xfId="11748"/>
    <cellStyle name="Normal 2 5 6 4 4 3" xfId="21752"/>
    <cellStyle name="Normal 2 5 6 4 5" xfId="6407"/>
    <cellStyle name="Normal 2 5 6 4 5 2" xfId="15234"/>
    <cellStyle name="Normal 2 5 6 4 5 3" xfId="25485"/>
    <cellStyle name="Normal 2 5 6 4 6" xfId="7853"/>
    <cellStyle name="Normal 2 5 6 4 6 2" xfId="20234"/>
    <cellStyle name="Normal 2 5 6 4 7" xfId="16745"/>
    <cellStyle name="Normal 2 5 6 5" xfId="1185"/>
    <cellStyle name="Normal 2 5 6 5 2" xfId="3616"/>
    <cellStyle name="Normal 2 5 6 5 2 2" xfId="12754"/>
    <cellStyle name="Normal 2 5 6 5 2 2 2" xfId="22973"/>
    <cellStyle name="Normal 2 5 6 5 2 3" xfId="9175"/>
    <cellStyle name="Normal 2 5 6 5 2 4" xfId="17966"/>
    <cellStyle name="Normal 2 5 6 5 3" xfId="5279"/>
    <cellStyle name="Normal 2 5 6 5 3 2" xfId="14118"/>
    <cellStyle name="Normal 2 5 6 5 3 2 2" xfId="24369"/>
    <cellStyle name="Normal 2 5 6 5 3 3" xfId="10539"/>
    <cellStyle name="Normal 2 5 6 5 3 4" xfId="19362"/>
    <cellStyle name="Normal 2 5 6 5 4" xfId="1789"/>
    <cellStyle name="Normal 2 5 6 5 4 2" xfId="11160"/>
    <cellStyle name="Normal 2 5 6 5 4 3" xfId="21164"/>
    <cellStyle name="Normal 2 5 6 5 5" xfId="6736"/>
    <cellStyle name="Normal 2 5 6 5 5 2" xfId="15563"/>
    <cellStyle name="Normal 2 5 6 5 5 3" xfId="25814"/>
    <cellStyle name="Normal 2 5 6 5 6" xfId="8182"/>
    <cellStyle name="Normal 2 5 6 5 6 2" xfId="20572"/>
    <cellStyle name="Normal 2 5 6 5 7" xfId="16157"/>
    <cellStyle name="Normal 2 5 6 6" xfId="2684"/>
    <cellStyle name="Normal 2 5 6 6 2" xfId="12003"/>
    <cellStyle name="Normal 2 5 6 6 2 2" xfId="22047"/>
    <cellStyle name="Normal 2 5 6 6 3" xfId="8419"/>
    <cellStyle name="Normal 2 5 6 6 4" xfId="17040"/>
    <cellStyle name="Normal 2 5 6 7" xfId="4235"/>
    <cellStyle name="Normal 2 5 6 7 2" xfId="13075"/>
    <cellStyle name="Normal 2 5 6 7 2 2" xfId="23326"/>
    <cellStyle name="Normal 2 5 6 7 3" xfId="9496"/>
    <cellStyle name="Normal 2 5 6 7 4" xfId="18319"/>
    <cellStyle name="Normal 2 5 6 8" xfId="1507"/>
    <cellStyle name="Normal 2 5 6 8 2" xfId="10886"/>
    <cellStyle name="Normal 2 5 6 8 3" xfId="20890"/>
    <cellStyle name="Normal 2 5 6 9" xfId="5693"/>
    <cellStyle name="Normal 2 5 6 9 2" xfId="14520"/>
    <cellStyle name="Normal 2 5 6 9 3" xfId="24771"/>
    <cellStyle name="Normal 2 5 6_Degree data" xfId="3898"/>
    <cellStyle name="Normal 2 5 7" xfId="238"/>
    <cellStyle name="Normal 2 5 7 10" xfId="7080"/>
    <cellStyle name="Normal 2 5 7 10 2" xfId="19694"/>
    <cellStyle name="Normal 2 5 7 11" xfId="15826"/>
    <cellStyle name="Normal 2 5 7 2" xfId="561"/>
    <cellStyle name="Normal 2 5 7 2 2" xfId="787"/>
    <cellStyle name="Normal 2 5 7 2 2 2" xfId="3275"/>
    <cellStyle name="Normal 2 5 7 2 2 2 2" xfId="12419"/>
    <cellStyle name="Normal 2 5 7 2 2 2 2 2" xfId="22638"/>
    <cellStyle name="Normal 2 5 7 2 2 2 3" xfId="8841"/>
    <cellStyle name="Normal 2 5 7 2 2 2 4" xfId="17631"/>
    <cellStyle name="Normal 2 5 7 2 2 3" xfId="4604"/>
    <cellStyle name="Normal 2 5 7 2 2 3 2" xfId="13444"/>
    <cellStyle name="Normal 2 5 7 2 2 3 2 2" xfId="23695"/>
    <cellStyle name="Normal 2 5 7 2 2 3 3" xfId="9865"/>
    <cellStyle name="Normal 2 5 7 2 2 3 4" xfId="18688"/>
    <cellStyle name="Normal 2 5 7 2 2 4" xfId="2384"/>
    <cellStyle name="Normal 2 5 7 2 2 4 2" xfId="11751"/>
    <cellStyle name="Normal 2 5 7 2 2 4 3" xfId="21755"/>
    <cellStyle name="Normal 2 5 7 2 2 5" xfId="6062"/>
    <cellStyle name="Normal 2 5 7 2 2 5 2" xfId="14889"/>
    <cellStyle name="Normal 2 5 7 2 2 5 3" xfId="25140"/>
    <cellStyle name="Normal 2 5 7 2 2 6" xfId="7506"/>
    <cellStyle name="Normal 2 5 7 2 2 6 2" xfId="20237"/>
    <cellStyle name="Normal 2 5 7 2 2 7" xfId="16748"/>
    <cellStyle name="Normal 2 5 7 2 3" xfId="1333"/>
    <cellStyle name="Normal 2 5 7 2 3 2" xfId="3764"/>
    <cellStyle name="Normal 2 5 7 2 3 2 2" xfId="12902"/>
    <cellStyle name="Normal 2 5 7 2 3 2 2 2" xfId="23121"/>
    <cellStyle name="Normal 2 5 7 2 3 2 3" xfId="9323"/>
    <cellStyle name="Normal 2 5 7 2 3 2 4" xfId="18114"/>
    <cellStyle name="Normal 2 5 7 2 3 3" xfId="4953"/>
    <cellStyle name="Normal 2 5 7 2 3 3 2" xfId="13792"/>
    <cellStyle name="Normal 2 5 7 2 3 3 2 2" xfId="24043"/>
    <cellStyle name="Normal 2 5 7 2 3 3 3" xfId="10213"/>
    <cellStyle name="Normal 2 5 7 2 3 3 4" xfId="19036"/>
    <cellStyle name="Normal 2 5 7 2 3 4" xfId="2158"/>
    <cellStyle name="Normal 2 5 7 2 3 4 2" xfId="11525"/>
    <cellStyle name="Normal 2 5 7 2 3 4 3" xfId="21529"/>
    <cellStyle name="Normal 2 5 7 2 3 5" xfId="6410"/>
    <cellStyle name="Normal 2 5 7 2 3 5 2" xfId="15237"/>
    <cellStyle name="Normal 2 5 7 2 3 5 3" xfId="25488"/>
    <cellStyle name="Normal 2 5 7 2 3 6" xfId="7856"/>
    <cellStyle name="Normal 2 5 7 2 3 6 2" xfId="20720"/>
    <cellStyle name="Normal 2 5 7 2 3 7" xfId="16522"/>
    <cellStyle name="Normal 2 5 7 2 4" xfId="3049"/>
    <cellStyle name="Normal 2 5 7 2 4 2" xfId="5427"/>
    <cellStyle name="Normal 2 5 7 2 4 2 2" xfId="14266"/>
    <cellStyle name="Normal 2 5 7 2 4 2 2 2" xfId="24517"/>
    <cellStyle name="Normal 2 5 7 2 4 2 3" xfId="10687"/>
    <cellStyle name="Normal 2 5 7 2 4 2 4" xfId="19510"/>
    <cellStyle name="Normal 2 5 7 2 4 3" xfId="6884"/>
    <cellStyle name="Normal 2 5 7 2 4 3 2" xfId="15711"/>
    <cellStyle name="Normal 2 5 7 2 4 3 3" xfId="25962"/>
    <cellStyle name="Normal 2 5 7 2 4 4" xfId="8330"/>
    <cellStyle name="Normal 2 5 7 2 4 4 2" xfId="22412"/>
    <cellStyle name="Normal 2 5 7 2 4 5" xfId="17405"/>
    <cellStyle name="Normal 2 5 7 2 5" xfId="4383"/>
    <cellStyle name="Normal 2 5 7 2 5 2" xfId="13223"/>
    <cellStyle name="Normal 2 5 7 2 5 2 2" xfId="23474"/>
    <cellStyle name="Normal 2 5 7 2 5 3" xfId="9644"/>
    <cellStyle name="Normal 2 5 7 2 5 4" xfId="18467"/>
    <cellStyle name="Normal 2 5 7 2 6" xfId="1655"/>
    <cellStyle name="Normal 2 5 7 2 6 2" xfId="11034"/>
    <cellStyle name="Normal 2 5 7 2 6 3" xfId="21038"/>
    <cellStyle name="Normal 2 5 7 2 7" xfId="5841"/>
    <cellStyle name="Normal 2 5 7 2 7 2" xfId="14668"/>
    <cellStyle name="Normal 2 5 7 2 7 3" xfId="24919"/>
    <cellStyle name="Normal 2 5 7 2 8" xfId="7285"/>
    <cellStyle name="Normal 2 5 7 2 8 2" xfId="20011"/>
    <cellStyle name="Normal 2 5 7 2 9" xfId="16031"/>
    <cellStyle name="Normal 2 5 7 2_Degree data" xfId="3930"/>
    <cellStyle name="Normal 2 5 7 3" xfId="356"/>
    <cellStyle name="Normal 2 5 7 3 2" xfId="2844"/>
    <cellStyle name="Normal 2 5 7 3 2 2" xfId="12134"/>
    <cellStyle name="Normal 2 5 7 3 2 2 2" xfId="22207"/>
    <cellStyle name="Normal 2 5 7 3 2 3" xfId="8424"/>
    <cellStyle name="Normal 2 5 7 3 2 4" xfId="17200"/>
    <cellStyle name="Normal 2 5 7 3 3" xfId="4603"/>
    <cellStyle name="Normal 2 5 7 3 3 2" xfId="13443"/>
    <cellStyle name="Normal 2 5 7 3 3 2 2" xfId="23694"/>
    <cellStyle name="Normal 2 5 7 3 3 3" xfId="9864"/>
    <cellStyle name="Normal 2 5 7 3 3 4" xfId="18687"/>
    <cellStyle name="Normal 2 5 7 3 4" xfId="1953"/>
    <cellStyle name="Normal 2 5 7 3 4 2" xfId="11320"/>
    <cellStyle name="Normal 2 5 7 3 4 3" xfId="21324"/>
    <cellStyle name="Normal 2 5 7 3 5" xfId="6061"/>
    <cellStyle name="Normal 2 5 7 3 5 2" xfId="14888"/>
    <cellStyle name="Normal 2 5 7 3 5 3" xfId="25139"/>
    <cellStyle name="Normal 2 5 7 3 6" xfId="7505"/>
    <cellStyle name="Normal 2 5 7 3 6 2" xfId="19806"/>
    <cellStyle name="Normal 2 5 7 3 7" xfId="16317"/>
    <cellStyle name="Normal 2 5 7 4" xfId="786"/>
    <cellStyle name="Normal 2 5 7 4 2" xfId="3274"/>
    <cellStyle name="Normal 2 5 7 4 2 2" xfId="12418"/>
    <cellStyle name="Normal 2 5 7 4 2 2 2" xfId="22637"/>
    <cellStyle name="Normal 2 5 7 4 2 3" xfId="8840"/>
    <cellStyle name="Normal 2 5 7 4 2 4" xfId="17630"/>
    <cellStyle name="Normal 2 5 7 4 3" xfId="4952"/>
    <cellStyle name="Normal 2 5 7 4 3 2" xfId="13791"/>
    <cellStyle name="Normal 2 5 7 4 3 2 2" xfId="24042"/>
    <cellStyle name="Normal 2 5 7 4 3 3" xfId="10212"/>
    <cellStyle name="Normal 2 5 7 4 3 4" xfId="19035"/>
    <cellStyle name="Normal 2 5 7 4 4" xfId="2383"/>
    <cellStyle name="Normal 2 5 7 4 4 2" xfId="11750"/>
    <cellStyle name="Normal 2 5 7 4 4 3" xfId="21754"/>
    <cellStyle name="Normal 2 5 7 4 5" xfId="6409"/>
    <cellStyle name="Normal 2 5 7 4 5 2" xfId="15236"/>
    <cellStyle name="Normal 2 5 7 4 5 3" xfId="25487"/>
    <cellStyle name="Normal 2 5 7 4 6" xfId="7855"/>
    <cellStyle name="Normal 2 5 7 4 6 2" xfId="20236"/>
    <cellStyle name="Normal 2 5 7 4 7" xfId="16747"/>
    <cellStyle name="Normal 2 5 7 5" xfId="1128"/>
    <cellStyle name="Normal 2 5 7 5 2" xfId="3559"/>
    <cellStyle name="Normal 2 5 7 5 2 2" xfId="12697"/>
    <cellStyle name="Normal 2 5 7 5 2 2 2" xfId="22916"/>
    <cellStyle name="Normal 2 5 7 5 2 3" xfId="9118"/>
    <cellStyle name="Normal 2 5 7 5 2 4" xfId="17909"/>
    <cellStyle name="Normal 2 5 7 5 3" xfId="5222"/>
    <cellStyle name="Normal 2 5 7 5 3 2" xfId="14061"/>
    <cellStyle name="Normal 2 5 7 5 3 2 2" xfId="24312"/>
    <cellStyle name="Normal 2 5 7 5 3 3" xfId="10482"/>
    <cellStyle name="Normal 2 5 7 5 3 4" xfId="19305"/>
    <cellStyle name="Normal 2 5 7 5 4" xfId="1838"/>
    <cellStyle name="Normal 2 5 7 5 4 2" xfId="11208"/>
    <cellStyle name="Normal 2 5 7 5 4 3" xfId="21212"/>
    <cellStyle name="Normal 2 5 7 5 5" xfId="6679"/>
    <cellStyle name="Normal 2 5 7 5 5 2" xfId="15506"/>
    <cellStyle name="Normal 2 5 7 5 5 3" xfId="25757"/>
    <cellStyle name="Normal 2 5 7 5 6" xfId="8125"/>
    <cellStyle name="Normal 2 5 7 5 6 2" xfId="20515"/>
    <cellStyle name="Normal 2 5 7 5 7" xfId="16205"/>
    <cellStyle name="Normal 2 5 7 6" xfId="2732"/>
    <cellStyle name="Normal 2 5 7 6 2" xfId="12051"/>
    <cellStyle name="Normal 2 5 7 6 2 2" xfId="22095"/>
    <cellStyle name="Normal 2 5 7 6 3" xfId="8563"/>
    <cellStyle name="Normal 2 5 7 6 4" xfId="17088"/>
    <cellStyle name="Normal 2 5 7 7" xfId="4178"/>
    <cellStyle name="Normal 2 5 7 7 2" xfId="13018"/>
    <cellStyle name="Normal 2 5 7 7 2 2" xfId="23269"/>
    <cellStyle name="Normal 2 5 7 7 3" xfId="9439"/>
    <cellStyle name="Normal 2 5 7 7 4" xfId="18262"/>
    <cellStyle name="Normal 2 5 7 8" xfId="1450"/>
    <cellStyle name="Normal 2 5 7 8 2" xfId="10829"/>
    <cellStyle name="Normal 2 5 7 8 3" xfId="20833"/>
    <cellStyle name="Normal 2 5 7 9" xfId="5636"/>
    <cellStyle name="Normal 2 5 7 9 2" xfId="14463"/>
    <cellStyle name="Normal 2 5 7 9 3" xfId="24714"/>
    <cellStyle name="Normal 2 5 7_Degree data" xfId="3887"/>
    <cellStyle name="Normal 2 5 8" xfId="295"/>
    <cellStyle name="Normal 2 5 8 10" xfId="16087"/>
    <cellStyle name="Normal 2 5 8 2" xfId="617"/>
    <cellStyle name="Normal 2 5 8 2 2" xfId="3105"/>
    <cellStyle name="Normal 2 5 8 2 2 2" xfId="12250"/>
    <cellStyle name="Normal 2 5 8 2 2 2 2" xfId="22468"/>
    <cellStyle name="Normal 2 5 8 2 2 3" xfId="8672"/>
    <cellStyle name="Normal 2 5 8 2 2 4" xfId="17461"/>
    <cellStyle name="Normal 2 5 8 2 3" xfId="4605"/>
    <cellStyle name="Normal 2 5 8 2 3 2" xfId="13445"/>
    <cellStyle name="Normal 2 5 8 2 3 2 2" xfId="23696"/>
    <cellStyle name="Normal 2 5 8 2 3 3" xfId="9866"/>
    <cellStyle name="Normal 2 5 8 2 3 4" xfId="18689"/>
    <cellStyle name="Normal 2 5 8 2 4" xfId="2214"/>
    <cellStyle name="Normal 2 5 8 2 4 2" xfId="11581"/>
    <cellStyle name="Normal 2 5 8 2 4 3" xfId="21585"/>
    <cellStyle name="Normal 2 5 8 2 5" xfId="6063"/>
    <cellStyle name="Normal 2 5 8 2 5 2" xfId="14890"/>
    <cellStyle name="Normal 2 5 8 2 5 3" xfId="25141"/>
    <cellStyle name="Normal 2 5 8 2 6" xfId="7507"/>
    <cellStyle name="Normal 2 5 8 2 6 2" xfId="20067"/>
    <cellStyle name="Normal 2 5 8 2 7" xfId="16578"/>
    <cellStyle name="Normal 2 5 8 3" xfId="788"/>
    <cellStyle name="Normal 2 5 8 3 2" xfId="3276"/>
    <cellStyle name="Normal 2 5 8 3 2 2" xfId="12420"/>
    <cellStyle name="Normal 2 5 8 3 2 2 2" xfId="22639"/>
    <cellStyle name="Normal 2 5 8 3 2 3" xfId="8842"/>
    <cellStyle name="Normal 2 5 8 3 2 4" xfId="17632"/>
    <cellStyle name="Normal 2 5 8 3 3" xfId="4954"/>
    <cellStyle name="Normal 2 5 8 3 3 2" xfId="13793"/>
    <cellStyle name="Normal 2 5 8 3 3 2 2" xfId="24044"/>
    <cellStyle name="Normal 2 5 8 3 3 3" xfId="10214"/>
    <cellStyle name="Normal 2 5 8 3 3 4" xfId="19037"/>
    <cellStyle name="Normal 2 5 8 3 4" xfId="2385"/>
    <cellStyle name="Normal 2 5 8 3 4 2" xfId="11752"/>
    <cellStyle name="Normal 2 5 8 3 4 3" xfId="21756"/>
    <cellStyle name="Normal 2 5 8 3 5" xfId="6411"/>
    <cellStyle name="Normal 2 5 8 3 5 2" xfId="15238"/>
    <cellStyle name="Normal 2 5 8 3 5 3" xfId="25489"/>
    <cellStyle name="Normal 2 5 8 3 6" xfId="7857"/>
    <cellStyle name="Normal 2 5 8 3 6 2" xfId="20238"/>
    <cellStyle name="Normal 2 5 8 3 7" xfId="16749"/>
    <cellStyle name="Normal 2 5 8 4" xfId="1389"/>
    <cellStyle name="Normal 2 5 8 4 2" xfId="3820"/>
    <cellStyle name="Normal 2 5 8 4 2 2" xfId="12958"/>
    <cellStyle name="Normal 2 5 8 4 2 2 2" xfId="23177"/>
    <cellStyle name="Normal 2 5 8 4 2 3" xfId="9379"/>
    <cellStyle name="Normal 2 5 8 4 2 4" xfId="18170"/>
    <cellStyle name="Normal 2 5 8 4 3" xfId="5483"/>
    <cellStyle name="Normal 2 5 8 4 3 2" xfId="14322"/>
    <cellStyle name="Normal 2 5 8 4 3 2 2" xfId="24573"/>
    <cellStyle name="Normal 2 5 8 4 3 3" xfId="10743"/>
    <cellStyle name="Normal 2 5 8 4 3 4" xfId="19566"/>
    <cellStyle name="Normal 2 5 8 4 4" xfId="1894"/>
    <cellStyle name="Normal 2 5 8 4 4 2" xfId="11264"/>
    <cellStyle name="Normal 2 5 8 4 4 3" xfId="21268"/>
    <cellStyle name="Normal 2 5 8 4 5" xfId="6940"/>
    <cellStyle name="Normal 2 5 8 4 5 2" xfId="15767"/>
    <cellStyle name="Normal 2 5 8 4 5 3" xfId="26018"/>
    <cellStyle name="Normal 2 5 8 4 6" xfId="8386"/>
    <cellStyle name="Normal 2 5 8 4 6 2" xfId="20776"/>
    <cellStyle name="Normal 2 5 8 4 7" xfId="16261"/>
    <cellStyle name="Normal 2 5 8 5" xfId="2788"/>
    <cellStyle name="Normal 2 5 8 5 2" xfId="12107"/>
    <cellStyle name="Normal 2 5 8 5 2 2" xfId="22151"/>
    <cellStyle name="Normal 2 5 8 5 3" xfId="8634"/>
    <cellStyle name="Normal 2 5 8 5 4" xfId="17144"/>
    <cellStyle name="Normal 2 5 8 6" xfId="4439"/>
    <cellStyle name="Normal 2 5 8 6 2" xfId="13279"/>
    <cellStyle name="Normal 2 5 8 6 2 2" xfId="23530"/>
    <cellStyle name="Normal 2 5 8 6 3" xfId="9700"/>
    <cellStyle name="Normal 2 5 8 6 4" xfId="18523"/>
    <cellStyle name="Normal 2 5 8 7" xfId="1711"/>
    <cellStyle name="Normal 2 5 8 7 2" xfId="11090"/>
    <cellStyle name="Normal 2 5 8 7 3" xfId="21094"/>
    <cellStyle name="Normal 2 5 8 8" xfId="5897"/>
    <cellStyle name="Normal 2 5 8 8 2" xfId="14724"/>
    <cellStyle name="Normal 2 5 8 8 3" xfId="24975"/>
    <cellStyle name="Normal 2 5 8 9" xfId="7341"/>
    <cellStyle name="Normal 2 5 8 9 2" xfId="19750"/>
    <cellStyle name="Normal 2 5 8_Degree data" xfId="3473"/>
    <cellStyle name="Normal 2 5 9" xfId="456"/>
    <cellStyle name="Normal 2 5 9 2" xfId="789"/>
    <cellStyle name="Normal 2 5 9 2 2" xfId="3277"/>
    <cellStyle name="Normal 2 5 9 2 2 2" xfId="12421"/>
    <cellStyle name="Normal 2 5 9 2 2 2 2" xfId="22640"/>
    <cellStyle name="Normal 2 5 9 2 2 3" xfId="8843"/>
    <cellStyle name="Normal 2 5 9 2 2 4" xfId="17633"/>
    <cellStyle name="Normal 2 5 9 2 3" xfId="4606"/>
    <cellStyle name="Normal 2 5 9 2 3 2" xfId="13446"/>
    <cellStyle name="Normal 2 5 9 2 3 2 2" xfId="23697"/>
    <cellStyle name="Normal 2 5 9 2 3 3" xfId="9867"/>
    <cellStyle name="Normal 2 5 9 2 3 4" xfId="18690"/>
    <cellStyle name="Normal 2 5 9 2 4" xfId="2386"/>
    <cellStyle name="Normal 2 5 9 2 4 2" xfId="11753"/>
    <cellStyle name="Normal 2 5 9 2 4 3" xfId="21757"/>
    <cellStyle name="Normal 2 5 9 2 5" xfId="6064"/>
    <cellStyle name="Normal 2 5 9 2 5 2" xfId="14891"/>
    <cellStyle name="Normal 2 5 9 2 5 3" xfId="25142"/>
    <cellStyle name="Normal 2 5 9 2 6" xfId="7508"/>
    <cellStyle name="Normal 2 5 9 2 6 2" xfId="20239"/>
    <cellStyle name="Normal 2 5 9 2 7" xfId="16750"/>
    <cellStyle name="Normal 2 5 9 3" xfId="1228"/>
    <cellStyle name="Normal 2 5 9 3 2" xfId="3659"/>
    <cellStyle name="Normal 2 5 9 3 2 2" xfId="12797"/>
    <cellStyle name="Normal 2 5 9 3 2 2 2" xfId="23016"/>
    <cellStyle name="Normal 2 5 9 3 2 3" xfId="9218"/>
    <cellStyle name="Normal 2 5 9 3 2 4" xfId="18009"/>
    <cellStyle name="Normal 2 5 9 3 3" xfId="4955"/>
    <cellStyle name="Normal 2 5 9 3 3 2" xfId="13794"/>
    <cellStyle name="Normal 2 5 9 3 3 2 2" xfId="24045"/>
    <cellStyle name="Normal 2 5 9 3 3 3" xfId="10215"/>
    <cellStyle name="Normal 2 5 9 3 3 4" xfId="19038"/>
    <cellStyle name="Normal 2 5 9 3 4" xfId="2053"/>
    <cellStyle name="Normal 2 5 9 3 4 2" xfId="11420"/>
    <cellStyle name="Normal 2 5 9 3 4 3" xfId="21424"/>
    <cellStyle name="Normal 2 5 9 3 5" xfId="6412"/>
    <cellStyle name="Normal 2 5 9 3 5 2" xfId="15239"/>
    <cellStyle name="Normal 2 5 9 3 5 3" xfId="25490"/>
    <cellStyle name="Normal 2 5 9 3 6" xfId="7858"/>
    <cellStyle name="Normal 2 5 9 3 6 2" xfId="20615"/>
    <cellStyle name="Normal 2 5 9 3 7" xfId="16417"/>
    <cellStyle name="Normal 2 5 9 4" xfId="2944"/>
    <cellStyle name="Normal 2 5 9 4 2" xfId="5322"/>
    <cellStyle name="Normal 2 5 9 4 2 2" xfId="14161"/>
    <cellStyle name="Normal 2 5 9 4 2 2 2" xfId="24412"/>
    <cellStyle name="Normal 2 5 9 4 2 3" xfId="10582"/>
    <cellStyle name="Normal 2 5 9 4 2 4" xfId="19405"/>
    <cellStyle name="Normal 2 5 9 4 3" xfId="6779"/>
    <cellStyle name="Normal 2 5 9 4 3 2" xfId="15606"/>
    <cellStyle name="Normal 2 5 9 4 3 3" xfId="25857"/>
    <cellStyle name="Normal 2 5 9 4 4" xfId="8225"/>
    <cellStyle name="Normal 2 5 9 4 4 2" xfId="22307"/>
    <cellStyle name="Normal 2 5 9 4 5" xfId="17300"/>
    <cellStyle name="Normal 2 5 9 5" xfId="4278"/>
    <cellStyle name="Normal 2 5 9 5 2" xfId="13118"/>
    <cellStyle name="Normal 2 5 9 5 2 2" xfId="23369"/>
    <cellStyle name="Normal 2 5 9 5 3" xfId="9539"/>
    <cellStyle name="Normal 2 5 9 5 4" xfId="18362"/>
    <cellStyle name="Normal 2 5 9 6" xfId="1550"/>
    <cellStyle name="Normal 2 5 9 6 2" xfId="10929"/>
    <cellStyle name="Normal 2 5 9 6 3" xfId="20933"/>
    <cellStyle name="Normal 2 5 9 7" xfId="5736"/>
    <cellStyle name="Normal 2 5 9 7 2" xfId="14563"/>
    <cellStyle name="Normal 2 5 9 7 3" xfId="24814"/>
    <cellStyle name="Normal 2 5 9 8" xfId="7180"/>
    <cellStyle name="Normal 2 5 9 8 2" xfId="19906"/>
    <cellStyle name="Normal 2 5 9 9" xfId="15926"/>
    <cellStyle name="Normal 2 5 9_Degree data" xfId="3838"/>
    <cellStyle name="Normal 2 5_Degree data" xfId="3937"/>
    <cellStyle name="Normal 2 6" xfId="299"/>
    <cellStyle name="Normal 2 6 2" xfId="790"/>
    <cellStyle name="Normal 2 6 3" xfId="1897"/>
    <cellStyle name="Normal 2 6_Degree data" xfId="3871"/>
    <cellStyle name="Normal 2 7" xfId="1032"/>
    <cellStyle name="Normal 20" xfId="109"/>
    <cellStyle name="Normal 21" xfId="110"/>
    <cellStyle name="Normal 22" xfId="111"/>
    <cellStyle name="Normal 23" xfId="112"/>
    <cellStyle name="Normal 24" xfId="17"/>
    <cellStyle name="Normal 25" xfId="98"/>
    <cellStyle name="Normal 26" xfId="99"/>
    <cellStyle name="Normal 27" xfId="76"/>
    <cellStyle name="Normal 28" xfId="77"/>
    <cellStyle name="Normal 29" xfId="78"/>
    <cellStyle name="Normal 3" xfId="2"/>
    <cellStyle name="Normal 3 2" xfId="46"/>
    <cellStyle name="Normal 3 2 2" xfId="302"/>
    <cellStyle name="Normal 3 2 2 10" xfId="16091"/>
    <cellStyle name="Normal 3 2 2 2" xfId="621"/>
    <cellStyle name="Normal 3 2 2 2 2" xfId="3109"/>
    <cellStyle name="Normal 3 2 2 2 2 2" xfId="12254"/>
    <cellStyle name="Normal 3 2 2 2 2 2 2" xfId="22472"/>
    <cellStyle name="Normal 3 2 2 2 2 3" xfId="8676"/>
    <cellStyle name="Normal 3 2 2 2 2 4" xfId="17465"/>
    <cellStyle name="Normal 3 2 2 2 3" xfId="4607"/>
    <cellStyle name="Normal 3 2 2 2 3 2" xfId="13447"/>
    <cellStyle name="Normal 3 2 2 2 3 2 2" xfId="23698"/>
    <cellStyle name="Normal 3 2 2 2 3 3" xfId="9868"/>
    <cellStyle name="Normal 3 2 2 2 3 4" xfId="18691"/>
    <cellStyle name="Normal 3 2 2 2 4" xfId="2218"/>
    <cellStyle name="Normal 3 2 2 2 4 2" xfId="11585"/>
    <cellStyle name="Normal 3 2 2 2 4 3" xfId="21589"/>
    <cellStyle name="Normal 3 2 2 2 5" xfId="6065"/>
    <cellStyle name="Normal 3 2 2 2 5 2" xfId="14892"/>
    <cellStyle name="Normal 3 2 2 2 5 3" xfId="25143"/>
    <cellStyle name="Normal 3 2 2 2 6" xfId="7510"/>
    <cellStyle name="Normal 3 2 2 2 6 2" xfId="20071"/>
    <cellStyle name="Normal 3 2 2 2 7" xfId="16582"/>
    <cellStyle name="Normal 3 2 2 3" xfId="791"/>
    <cellStyle name="Normal 3 2 2 3 2" xfId="3278"/>
    <cellStyle name="Normal 3 2 2 3 2 2" xfId="12422"/>
    <cellStyle name="Normal 3 2 2 3 2 2 2" xfId="22641"/>
    <cellStyle name="Normal 3 2 2 3 2 3" xfId="8844"/>
    <cellStyle name="Normal 3 2 2 3 2 4" xfId="17634"/>
    <cellStyle name="Normal 3 2 2 3 3" xfId="4956"/>
    <cellStyle name="Normal 3 2 2 3 3 2" xfId="13795"/>
    <cellStyle name="Normal 3 2 2 3 3 2 2" xfId="24046"/>
    <cellStyle name="Normal 3 2 2 3 3 3" xfId="10216"/>
    <cellStyle name="Normal 3 2 2 3 3 4" xfId="19039"/>
    <cellStyle name="Normal 3 2 2 3 4" xfId="2387"/>
    <cellStyle name="Normal 3 2 2 3 4 2" xfId="11754"/>
    <cellStyle name="Normal 3 2 2 3 4 3" xfId="21758"/>
    <cellStyle name="Normal 3 2 2 3 5" xfId="6413"/>
    <cellStyle name="Normal 3 2 2 3 5 2" xfId="15240"/>
    <cellStyle name="Normal 3 2 2 3 5 3" xfId="25491"/>
    <cellStyle name="Normal 3 2 2 3 6" xfId="7859"/>
    <cellStyle name="Normal 3 2 2 3 6 2" xfId="20240"/>
    <cellStyle name="Normal 3 2 2 3 7" xfId="16751"/>
    <cellStyle name="Normal 3 2 2 4" xfId="1393"/>
    <cellStyle name="Normal 3 2 2 4 2" xfId="3824"/>
    <cellStyle name="Normal 3 2 2 4 2 2" xfId="12962"/>
    <cellStyle name="Normal 3 2 2 4 2 2 2" xfId="23181"/>
    <cellStyle name="Normal 3 2 2 4 2 3" xfId="9383"/>
    <cellStyle name="Normal 3 2 2 4 2 4" xfId="18174"/>
    <cellStyle name="Normal 3 2 2 4 3" xfId="5487"/>
    <cellStyle name="Normal 3 2 2 4 3 2" xfId="14326"/>
    <cellStyle name="Normal 3 2 2 4 3 2 2" xfId="24577"/>
    <cellStyle name="Normal 3 2 2 4 3 3" xfId="10747"/>
    <cellStyle name="Normal 3 2 2 4 3 4" xfId="19570"/>
    <cellStyle name="Normal 3 2 2 4 4" xfId="1899"/>
    <cellStyle name="Normal 3 2 2 4 4 2" xfId="11268"/>
    <cellStyle name="Normal 3 2 2 4 4 3" xfId="21272"/>
    <cellStyle name="Normal 3 2 2 4 5" xfId="6944"/>
    <cellStyle name="Normal 3 2 2 4 5 2" xfId="15771"/>
    <cellStyle name="Normal 3 2 2 4 5 3" xfId="26022"/>
    <cellStyle name="Normal 3 2 2 4 6" xfId="8390"/>
    <cellStyle name="Normal 3 2 2 4 6 2" xfId="20780"/>
    <cellStyle name="Normal 3 2 2 4 7" xfId="16265"/>
    <cellStyle name="Normal 3 2 2 5" xfId="2792"/>
    <cellStyle name="Normal 3 2 2 5 2" xfId="12111"/>
    <cellStyle name="Normal 3 2 2 5 2 2" xfId="22155"/>
    <cellStyle name="Normal 3 2 2 5 3" xfId="8417"/>
    <cellStyle name="Normal 3 2 2 5 4" xfId="17148"/>
    <cellStyle name="Normal 3 2 2 6" xfId="4443"/>
    <cellStyle name="Normal 3 2 2 6 2" xfId="13283"/>
    <cellStyle name="Normal 3 2 2 6 2 2" xfId="23534"/>
    <cellStyle name="Normal 3 2 2 6 3" xfId="9704"/>
    <cellStyle name="Normal 3 2 2 6 4" xfId="18527"/>
    <cellStyle name="Normal 3 2 2 7" xfId="1715"/>
    <cellStyle name="Normal 3 2 2 7 2" xfId="11094"/>
    <cellStyle name="Normal 3 2 2 7 3" xfId="21098"/>
    <cellStyle name="Normal 3 2 2 8" xfId="5901"/>
    <cellStyle name="Normal 3 2 2 8 2" xfId="14728"/>
    <cellStyle name="Normal 3 2 2 8 3" xfId="24979"/>
    <cellStyle name="Normal 3 2 2 9" xfId="7345"/>
    <cellStyle name="Normal 3 2 2 9 2" xfId="19754"/>
    <cellStyle name="Normal 3 2 2_Degree data" xfId="2615"/>
    <cellStyle name="Normal 3 3" xfId="158"/>
    <cellStyle name="Normal 30" xfId="79"/>
    <cellStyle name="Normal 31" xfId="80"/>
    <cellStyle name="Normal 32" xfId="81"/>
    <cellStyle name="Normal 33" xfId="82"/>
    <cellStyle name="Normal 34" xfId="83"/>
    <cellStyle name="Normal 35" xfId="84"/>
    <cellStyle name="Normal 36" xfId="85"/>
    <cellStyle name="Normal 37" xfId="86"/>
    <cellStyle name="Normal 38" xfId="18"/>
    <cellStyle name="Normal 39" xfId="87"/>
    <cellStyle name="Normal 4" xfId="28"/>
    <cellStyle name="Normal 4 2" xfId="118"/>
    <cellStyle name="Normal 4 2 2" xfId="301"/>
    <cellStyle name="Normal 4 3" xfId="29"/>
    <cellStyle name="Normal 4 4" xfId="296"/>
    <cellStyle name="Normal 4 4 10" xfId="16088"/>
    <cellStyle name="Normal 4 4 2" xfId="618"/>
    <cellStyle name="Normal 4 4 2 2" xfId="3106"/>
    <cellStyle name="Normal 4 4 2 2 2" xfId="12251"/>
    <cellStyle name="Normal 4 4 2 2 2 2" xfId="22469"/>
    <cellStyle name="Normal 4 4 2 2 3" xfId="8673"/>
    <cellStyle name="Normal 4 4 2 2 4" xfId="17462"/>
    <cellStyle name="Normal 4 4 2 3" xfId="4608"/>
    <cellStyle name="Normal 4 4 2 3 2" xfId="13448"/>
    <cellStyle name="Normal 4 4 2 3 2 2" xfId="23699"/>
    <cellStyle name="Normal 4 4 2 3 3" xfId="9869"/>
    <cellStyle name="Normal 4 4 2 3 4" xfId="18692"/>
    <cellStyle name="Normal 4 4 2 4" xfId="2215"/>
    <cellStyle name="Normal 4 4 2 4 2" xfId="11582"/>
    <cellStyle name="Normal 4 4 2 4 3" xfId="21586"/>
    <cellStyle name="Normal 4 4 2 5" xfId="6066"/>
    <cellStyle name="Normal 4 4 2 5 2" xfId="14893"/>
    <cellStyle name="Normal 4 4 2 5 3" xfId="25144"/>
    <cellStyle name="Normal 4 4 2 6" xfId="7511"/>
    <cellStyle name="Normal 4 4 2 6 2" xfId="20068"/>
    <cellStyle name="Normal 4 4 2 7" xfId="16579"/>
    <cellStyle name="Normal 4 4 3" xfId="792"/>
    <cellStyle name="Normal 4 4 3 2" xfId="3279"/>
    <cellStyle name="Normal 4 4 3 2 2" xfId="12423"/>
    <cellStyle name="Normal 4 4 3 2 2 2" xfId="22642"/>
    <cellStyle name="Normal 4 4 3 2 3" xfId="8845"/>
    <cellStyle name="Normal 4 4 3 2 4" xfId="17635"/>
    <cellStyle name="Normal 4 4 3 3" xfId="4957"/>
    <cellStyle name="Normal 4 4 3 3 2" xfId="13796"/>
    <cellStyle name="Normal 4 4 3 3 2 2" xfId="24047"/>
    <cellStyle name="Normal 4 4 3 3 3" xfId="10217"/>
    <cellStyle name="Normal 4 4 3 3 4" xfId="19040"/>
    <cellStyle name="Normal 4 4 3 4" xfId="2388"/>
    <cellStyle name="Normal 4 4 3 4 2" xfId="11755"/>
    <cellStyle name="Normal 4 4 3 4 3" xfId="21759"/>
    <cellStyle name="Normal 4 4 3 5" xfId="6414"/>
    <cellStyle name="Normal 4 4 3 5 2" xfId="15241"/>
    <cellStyle name="Normal 4 4 3 5 3" xfId="25492"/>
    <cellStyle name="Normal 4 4 3 6" xfId="7860"/>
    <cellStyle name="Normal 4 4 3 6 2" xfId="20241"/>
    <cellStyle name="Normal 4 4 3 7" xfId="16752"/>
    <cellStyle name="Normal 4 4 4" xfId="1390"/>
    <cellStyle name="Normal 4 4 4 2" xfId="3821"/>
    <cellStyle name="Normal 4 4 4 2 2" xfId="12959"/>
    <cellStyle name="Normal 4 4 4 2 2 2" xfId="23178"/>
    <cellStyle name="Normal 4 4 4 2 3" xfId="9380"/>
    <cellStyle name="Normal 4 4 4 2 4" xfId="18171"/>
    <cellStyle name="Normal 4 4 4 3" xfId="5484"/>
    <cellStyle name="Normal 4 4 4 3 2" xfId="14323"/>
    <cellStyle name="Normal 4 4 4 3 2 2" xfId="24574"/>
    <cellStyle name="Normal 4 4 4 3 3" xfId="10744"/>
    <cellStyle name="Normal 4 4 4 3 4" xfId="19567"/>
    <cellStyle name="Normal 4 4 4 4" xfId="1895"/>
    <cellStyle name="Normal 4 4 4 4 2" xfId="11265"/>
    <cellStyle name="Normal 4 4 4 4 3" xfId="21269"/>
    <cellStyle name="Normal 4 4 4 5" xfId="6941"/>
    <cellStyle name="Normal 4 4 4 5 2" xfId="15768"/>
    <cellStyle name="Normal 4 4 4 5 3" xfId="26019"/>
    <cellStyle name="Normal 4 4 4 6" xfId="8387"/>
    <cellStyle name="Normal 4 4 4 6 2" xfId="20777"/>
    <cellStyle name="Normal 4 4 4 7" xfId="16262"/>
    <cellStyle name="Normal 4 4 5" xfId="2789"/>
    <cellStyle name="Normal 4 4 5 2" xfId="12108"/>
    <cellStyle name="Normal 4 4 5 2 2" xfId="22152"/>
    <cellStyle name="Normal 4 4 5 3" xfId="8550"/>
    <cellStyle name="Normal 4 4 5 4" xfId="17145"/>
    <cellStyle name="Normal 4 4 6" xfId="4440"/>
    <cellStyle name="Normal 4 4 6 2" xfId="13280"/>
    <cellStyle name="Normal 4 4 6 2 2" xfId="23531"/>
    <cellStyle name="Normal 4 4 6 3" xfId="9701"/>
    <cellStyle name="Normal 4 4 6 4" xfId="18524"/>
    <cellStyle name="Normal 4 4 7" xfId="1712"/>
    <cellStyle name="Normal 4 4 7 2" xfId="11091"/>
    <cellStyle name="Normal 4 4 7 3" xfId="21095"/>
    <cellStyle name="Normal 4 4 8" xfId="5898"/>
    <cellStyle name="Normal 4 4 8 2" xfId="14725"/>
    <cellStyle name="Normal 4 4 8 3" xfId="24976"/>
    <cellStyle name="Normal 4 4 9" xfId="7342"/>
    <cellStyle name="Normal 4 4 9 2" xfId="19751"/>
    <cellStyle name="Normal 4 4_Degree data" xfId="3929"/>
    <cellStyle name="Normal 40" xfId="88"/>
    <cellStyle name="Normal 41" xfId="89"/>
    <cellStyle name="Normal 42" xfId="90"/>
    <cellStyle name="Normal 43" xfId="91"/>
    <cellStyle name="Normal 44" xfId="92"/>
    <cellStyle name="Normal 45" xfId="93"/>
    <cellStyle name="Normal 46" xfId="94"/>
    <cellStyle name="Normal 47" xfId="95"/>
    <cellStyle name="Normal 48" xfId="96"/>
    <cellStyle name="Normal 49" xfId="100"/>
    <cellStyle name="Normal 5" xfId="3"/>
    <cellStyle name="Normal 5 10" xfId="1050"/>
    <cellStyle name="Normal 5 10 2" xfId="3481"/>
    <cellStyle name="Normal 5 10 2 2" xfId="12619"/>
    <cellStyle name="Normal 5 10 2 2 2" xfId="22838"/>
    <cellStyle name="Normal 5 10 2 3" xfId="9041"/>
    <cellStyle name="Normal 5 10 2 4" xfId="17831"/>
    <cellStyle name="Normal 5 10 3" xfId="4958"/>
    <cellStyle name="Normal 5 10 3 2" xfId="13797"/>
    <cellStyle name="Normal 5 10 3 2 2" xfId="24048"/>
    <cellStyle name="Normal 5 10 3 3" xfId="10218"/>
    <cellStyle name="Normal 5 10 3 4" xfId="19041"/>
    <cellStyle name="Normal 5 10 4" xfId="2588"/>
    <cellStyle name="Normal 5 10 4 2" xfId="11954"/>
    <cellStyle name="Normal 5 10 4 3" xfId="21958"/>
    <cellStyle name="Normal 5 10 5" xfId="6415"/>
    <cellStyle name="Normal 5 10 5 2" xfId="15242"/>
    <cellStyle name="Normal 5 10 5 3" xfId="25493"/>
    <cellStyle name="Normal 5 10 6" xfId="7861"/>
    <cellStyle name="Normal 5 10 6 2" xfId="20437"/>
    <cellStyle name="Normal 5 10 7" xfId="16951"/>
    <cellStyle name="Normal 5 11" xfId="3901"/>
    <cellStyle name="Normal 5 11 2" xfId="5144"/>
    <cellStyle name="Normal 5 11 2 2" xfId="13983"/>
    <cellStyle name="Normal 5 11 2 2 2" xfId="24234"/>
    <cellStyle name="Normal 5 11 2 3" xfId="10404"/>
    <cellStyle name="Normal 5 11 2 4" xfId="19227"/>
    <cellStyle name="Normal 5 11 3" xfId="6601"/>
    <cellStyle name="Normal 5 11 3 2" xfId="15428"/>
    <cellStyle name="Normal 5 11 3 3" xfId="25679"/>
    <cellStyle name="Normal 5 11 4" xfId="8047"/>
    <cellStyle name="Normal 5 11 4 2" xfId="23184"/>
    <cellStyle name="Normal 5 11 5" xfId="18177"/>
    <cellStyle name="Normal 5 12" xfId="4097"/>
    <cellStyle name="Normal 5 12 2" xfId="5558"/>
    <cellStyle name="Normal 5 12 2 2" xfId="14385"/>
    <cellStyle name="Normal 5 12 2 3" xfId="24636"/>
    <cellStyle name="Normal 5 12 3" xfId="7002"/>
    <cellStyle name="Normal 5 12 3 2" xfId="23188"/>
    <cellStyle name="Normal 5 12 4" xfId="18181"/>
    <cellStyle name="Normal 5 13" xfId="1403"/>
    <cellStyle name="Normal 5 13 2" xfId="10783"/>
    <cellStyle name="Normal 5 13 3" xfId="20787"/>
    <cellStyle name="Normal 5 14" xfId="5512"/>
    <cellStyle name="Normal 5 14 2" xfId="14341"/>
    <cellStyle name="Normal 5 14 3" xfId="24592"/>
    <cellStyle name="Normal 5 15" xfId="6952"/>
    <cellStyle name="Normal 5 16" xfId="15780"/>
    <cellStyle name="Normal 5 2" xfId="116"/>
    <cellStyle name="Normal 5 2 10" xfId="5516"/>
    <cellStyle name="Normal 5 2 10 2" xfId="14345"/>
    <cellStyle name="Normal 5 2 10 3" xfId="24596"/>
    <cellStyle name="Normal 5 2 11" xfId="6957"/>
    <cellStyle name="Normal 5 2 11 2" xfId="19595"/>
    <cellStyle name="Normal 5 2 2" xfId="129"/>
    <cellStyle name="Normal 5 2 2 10" xfId="5547"/>
    <cellStyle name="Normal 5 2 2 10 2" xfId="14376"/>
    <cellStyle name="Normal 5 2 2 10 3" xfId="24627"/>
    <cellStyle name="Normal 5 2 2 11" xfId="6993"/>
    <cellStyle name="Normal 5 2 2 12" xfId="15814"/>
    <cellStyle name="Normal 5 2 2 2" xfId="171"/>
    <cellStyle name="Normal 5 2 2 2 10" xfId="5505"/>
    <cellStyle name="Normal 5 2 2 2 11" xfId="10763"/>
    <cellStyle name="Normal 5 2 2 2 11 2" xfId="19634"/>
    <cellStyle name="Normal 5 2 2 2 2" xfId="283"/>
    <cellStyle name="Normal 5 2 2 2 2 10" xfId="7125"/>
    <cellStyle name="Normal 5 2 2 2 2 10 2" xfId="19738"/>
    <cellStyle name="Normal 5 2 2 2 2 11" xfId="15871"/>
    <cellStyle name="Normal 5 2 2 2 2 2" xfId="605"/>
    <cellStyle name="Normal 5 2 2 2 2 2 2" xfId="796"/>
    <cellStyle name="Normal 5 2 2 2 2 2 2 2" xfId="3283"/>
    <cellStyle name="Normal 5 2 2 2 2 2 2 2 2" xfId="12427"/>
    <cellStyle name="Normal 5 2 2 2 2 2 2 2 2 2" xfId="22646"/>
    <cellStyle name="Normal 5 2 2 2 2 2 2 2 3" xfId="8849"/>
    <cellStyle name="Normal 5 2 2 2 2 2 2 2 4" xfId="17639"/>
    <cellStyle name="Normal 5 2 2 2 2 2 2 3" xfId="4612"/>
    <cellStyle name="Normal 5 2 2 2 2 2 2 3 2" xfId="13452"/>
    <cellStyle name="Normal 5 2 2 2 2 2 2 3 2 2" xfId="23703"/>
    <cellStyle name="Normal 5 2 2 2 2 2 2 3 3" xfId="9873"/>
    <cellStyle name="Normal 5 2 2 2 2 2 2 3 4" xfId="18696"/>
    <cellStyle name="Normal 5 2 2 2 2 2 2 4" xfId="2392"/>
    <cellStyle name="Normal 5 2 2 2 2 2 2 4 2" xfId="11759"/>
    <cellStyle name="Normal 5 2 2 2 2 2 2 4 3" xfId="21763"/>
    <cellStyle name="Normal 5 2 2 2 2 2 2 5" xfId="6070"/>
    <cellStyle name="Normal 5 2 2 2 2 2 2 5 2" xfId="14897"/>
    <cellStyle name="Normal 5 2 2 2 2 2 2 5 3" xfId="25148"/>
    <cellStyle name="Normal 5 2 2 2 2 2 2 6" xfId="7515"/>
    <cellStyle name="Normal 5 2 2 2 2 2 2 6 2" xfId="20245"/>
    <cellStyle name="Normal 5 2 2 2 2 2 2 7" xfId="16756"/>
    <cellStyle name="Normal 5 2 2 2 2 2 3" xfId="1377"/>
    <cellStyle name="Normal 5 2 2 2 2 2 3 2" xfId="3808"/>
    <cellStyle name="Normal 5 2 2 2 2 2 3 2 2" xfId="12946"/>
    <cellStyle name="Normal 5 2 2 2 2 2 3 2 2 2" xfId="23165"/>
    <cellStyle name="Normal 5 2 2 2 2 2 3 2 3" xfId="9367"/>
    <cellStyle name="Normal 5 2 2 2 2 2 3 2 4" xfId="18158"/>
    <cellStyle name="Normal 5 2 2 2 2 2 3 3" xfId="4961"/>
    <cellStyle name="Normal 5 2 2 2 2 2 3 3 2" xfId="13800"/>
    <cellStyle name="Normal 5 2 2 2 2 2 3 3 2 2" xfId="24051"/>
    <cellStyle name="Normal 5 2 2 2 2 2 3 3 3" xfId="10221"/>
    <cellStyle name="Normal 5 2 2 2 2 2 3 3 4" xfId="19044"/>
    <cellStyle name="Normal 5 2 2 2 2 2 3 4" xfId="2202"/>
    <cellStyle name="Normal 5 2 2 2 2 2 3 4 2" xfId="11569"/>
    <cellStyle name="Normal 5 2 2 2 2 2 3 4 3" xfId="21573"/>
    <cellStyle name="Normal 5 2 2 2 2 2 3 5" xfId="6418"/>
    <cellStyle name="Normal 5 2 2 2 2 2 3 5 2" xfId="15245"/>
    <cellStyle name="Normal 5 2 2 2 2 2 3 5 3" xfId="25496"/>
    <cellStyle name="Normal 5 2 2 2 2 2 3 6" xfId="7864"/>
    <cellStyle name="Normal 5 2 2 2 2 2 3 6 2" xfId="20764"/>
    <cellStyle name="Normal 5 2 2 2 2 2 3 7" xfId="16566"/>
    <cellStyle name="Normal 5 2 2 2 2 2 4" xfId="3093"/>
    <cellStyle name="Normal 5 2 2 2 2 2 4 2" xfId="5471"/>
    <cellStyle name="Normal 5 2 2 2 2 2 4 2 2" xfId="14310"/>
    <cellStyle name="Normal 5 2 2 2 2 2 4 2 2 2" xfId="24561"/>
    <cellStyle name="Normal 5 2 2 2 2 2 4 2 3" xfId="10731"/>
    <cellStyle name="Normal 5 2 2 2 2 2 4 2 4" xfId="19554"/>
    <cellStyle name="Normal 5 2 2 2 2 2 4 3" xfId="6928"/>
    <cellStyle name="Normal 5 2 2 2 2 2 4 3 2" xfId="15755"/>
    <cellStyle name="Normal 5 2 2 2 2 2 4 3 3" xfId="26006"/>
    <cellStyle name="Normal 5 2 2 2 2 2 4 4" xfId="8374"/>
    <cellStyle name="Normal 5 2 2 2 2 2 4 4 2" xfId="22456"/>
    <cellStyle name="Normal 5 2 2 2 2 2 4 5" xfId="17449"/>
    <cellStyle name="Normal 5 2 2 2 2 2 5" xfId="4427"/>
    <cellStyle name="Normal 5 2 2 2 2 2 5 2" xfId="13267"/>
    <cellStyle name="Normal 5 2 2 2 2 2 5 2 2" xfId="23518"/>
    <cellStyle name="Normal 5 2 2 2 2 2 5 3" xfId="9688"/>
    <cellStyle name="Normal 5 2 2 2 2 2 5 4" xfId="18511"/>
    <cellStyle name="Normal 5 2 2 2 2 2 6" xfId="1699"/>
    <cellStyle name="Normal 5 2 2 2 2 2 6 2" xfId="11078"/>
    <cellStyle name="Normal 5 2 2 2 2 2 6 3" xfId="21082"/>
    <cellStyle name="Normal 5 2 2 2 2 2 7" xfId="5885"/>
    <cellStyle name="Normal 5 2 2 2 2 2 7 2" xfId="14712"/>
    <cellStyle name="Normal 5 2 2 2 2 2 7 3" xfId="24963"/>
    <cellStyle name="Normal 5 2 2 2 2 2 8" xfId="7329"/>
    <cellStyle name="Normal 5 2 2 2 2 2 8 2" xfId="20055"/>
    <cellStyle name="Normal 5 2 2 2 2 2 9" xfId="16075"/>
    <cellStyle name="Normal 5 2 2 2 2 2_Degree data" xfId="3848"/>
    <cellStyle name="Normal 5 2 2 2 2 3" xfId="401"/>
    <cellStyle name="Normal 5 2 2 2 2 3 2" xfId="2889"/>
    <cellStyle name="Normal 5 2 2 2 2 3 2 2" xfId="12179"/>
    <cellStyle name="Normal 5 2 2 2 2 3 2 2 2" xfId="22252"/>
    <cellStyle name="Normal 5 2 2 2 2 3 2 3" xfId="8631"/>
    <cellStyle name="Normal 5 2 2 2 2 3 2 4" xfId="17245"/>
    <cellStyle name="Normal 5 2 2 2 2 3 3" xfId="4611"/>
    <cellStyle name="Normal 5 2 2 2 2 3 3 2" xfId="13451"/>
    <cellStyle name="Normal 5 2 2 2 2 3 3 2 2" xfId="23702"/>
    <cellStyle name="Normal 5 2 2 2 2 3 3 3" xfId="9872"/>
    <cellStyle name="Normal 5 2 2 2 2 3 3 4" xfId="18695"/>
    <cellStyle name="Normal 5 2 2 2 2 3 4" xfId="1998"/>
    <cellStyle name="Normal 5 2 2 2 2 3 4 2" xfId="11365"/>
    <cellStyle name="Normal 5 2 2 2 2 3 4 3" xfId="21369"/>
    <cellStyle name="Normal 5 2 2 2 2 3 5" xfId="6069"/>
    <cellStyle name="Normal 5 2 2 2 2 3 5 2" xfId="14896"/>
    <cellStyle name="Normal 5 2 2 2 2 3 5 3" xfId="25147"/>
    <cellStyle name="Normal 5 2 2 2 2 3 6" xfId="7514"/>
    <cellStyle name="Normal 5 2 2 2 2 3 6 2" xfId="19851"/>
    <cellStyle name="Normal 5 2 2 2 2 3 7" xfId="16362"/>
    <cellStyle name="Normal 5 2 2 2 2 4" xfId="795"/>
    <cellStyle name="Normal 5 2 2 2 2 4 2" xfId="3282"/>
    <cellStyle name="Normal 5 2 2 2 2 4 2 2" xfId="12426"/>
    <cellStyle name="Normal 5 2 2 2 2 4 2 2 2" xfId="22645"/>
    <cellStyle name="Normal 5 2 2 2 2 4 2 3" xfId="8848"/>
    <cellStyle name="Normal 5 2 2 2 2 4 2 4" xfId="17638"/>
    <cellStyle name="Normal 5 2 2 2 2 4 3" xfId="4960"/>
    <cellStyle name="Normal 5 2 2 2 2 4 3 2" xfId="13799"/>
    <cellStyle name="Normal 5 2 2 2 2 4 3 2 2" xfId="24050"/>
    <cellStyle name="Normal 5 2 2 2 2 4 3 3" xfId="10220"/>
    <cellStyle name="Normal 5 2 2 2 2 4 3 4" xfId="19043"/>
    <cellStyle name="Normal 5 2 2 2 2 4 4" xfId="2391"/>
    <cellStyle name="Normal 5 2 2 2 2 4 4 2" xfId="11758"/>
    <cellStyle name="Normal 5 2 2 2 2 4 4 3" xfId="21762"/>
    <cellStyle name="Normal 5 2 2 2 2 4 5" xfId="6417"/>
    <cellStyle name="Normal 5 2 2 2 2 4 5 2" xfId="15244"/>
    <cellStyle name="Normal 5 2 2 2 2 4 5 3" xfId="25495"/>
    <cellStyle name="Normal 5 2 2 2 2 4 6" xfId="7863"/>
    <cellStyle name="Normal 5 2 2 2 2 4 6 2" xfId="20244"/>
    <cellStyle name="Normal 5 2 2 2 2 4 7" xfId="16755"/>
    <cellStyle name="Normal 5 2 2 2 2 5" xfId="1173"/>
    <cellStyle name="Normal 5 2 2 2 2 5 2" xfId="3604"/>
    <cellStyle name="Normal 5 2 2 2 2 5 2 2" xfId="12742"/>
    <cellStyle name="Normal 5 2 2 2 2 5 2 2 2" xfId="22961"/>
    <cellStyle name="Normal 5 2 2 2 2 5 2 3" xfId="9163"/>
    <cellStyle name="Normal 5 2 2 2 2 5 2 4" xfId="17954"/>
    <cellStyle name="Normal 5 2 2 2 2 5 3" xfId="5267"/>
    <cellStyle name="Normal 5 2 2 2 2 5 3 2" xfId="14106"/>
    <cellStyle name="Normal 5 2 2 2 2 5 3 2 2" xfId="24357"/>
    <cellStyle name="Normal 5 2 2 2 2 5 3 3" xfId="10527"/>
    <cellStyle name="Normal 5 2 2 2 2 5 3 4" xfId="19350"/>
    <cellStyle name="Normal 5 2 2 2 2 5 4" xfId="1882"/>
    <cellStyle name="Normal 5 2 2 2 2 5 4 2" xfId="11252"/>
    <cellStyle name="Normal 5 2 2 2 2 5 4 3" xfId="21256"/>
    <cellStyle name="Normal 5 2 2 2 2 5 5" xfId="6724"/>
    <cellStyle name="Normal 5 2 2 2 2 5 5 2" xfId="15551"/>
    <cellStyle name="Normal 5 2 2 2 2 5 5 3" xfId="25802"/>
    <cellStyle name="Normal 5 2 2 2 2 5 6" xfId="8170"/>
    <cellStyle name="Normal 5 2 2 2 2 5 6 2" xfId="20560"/>
    <cellStyle name="Normal 5 2 2 2 2 5 7" xfId="16249"/>
    <cellStyle name="Normal 5 2 2 2 2 6" xfId="2776"/>
    <cellStyle name="Normal 5 2 2 2 2 6 2" xfId="12095"/>
    <cellStyle name="Normal 5 2 2 2 2 6 2 2" xfId="22139"/>
    <cellStyle name="Normal 5 2 2 2 2 6 3" xfId="8456"/>
    <cellStyle name="Normal 5 2 2 2 2 6 4" xfId="17132"/>
    <cellStyle name="Normal 5 2 2 2 2 7" xfId="4223"/>
    <cellStyle name="Normal 5 2 2 2 2 7 2" xfId="13063"/>
    <cellStyle name="Normal 5 2 2 2 2 7 2 2" xfId="23314"/>
    <cellStyle name="Normal 5 2 2 2 2 7 3" xfId="9484"/>
    <cellStyle name="Normal 5 2 2 2 2 7 4" xfId="18307"/>
    <cellStyle name="Normal 5 2 2 2 2 8" xfId="1495"/>
    <cellStyle name="Normal 5 2 2 2 2 8 2" xfId="10874"/>
    <cellStyle name="Normal 5 2 2 2 2 8 3" xfId="20878"/>
    <cellStyle name="Normal 5 2 2 2 2 9" xfId="5681"/>
    <cellStyle name="Normal 5 2 2 2 2 9 2" xfId="14508"/>
    <cellStyle name="Normal 5 2 2 2 2 9 3" xfId="24759"/>
    <cellStyle name="Normal 5 2 2 2 2_Degree data" xfId="3835"/>
    <cellStyle name="Normal 5 2 2 2 3" xfId="226"/>
    <cellStyle name="Normal 5 2 2 2 4" xfId="501"/>
    <cellStyle name="Normal 5 2 2 2 4 2" xfId="797"/>
    <cellStyle name="Normal 5 2 2 2 4 2 2" xfId="3284"/>
    <cellStyle name="Normal 5 2 2 2 4 2 2 2" xfId="12428"/>
    <cellStyle name="Normal 5 2 2 2 4 2 2 2 2" xfId="22647"/>
    <cellStyle name="Normal 5 2 2 2 4 2 2 3" xfId="8850"/>
    <cellStyle name="Normal 5 2 2 2 4 2 2 4" xfId="17640"/>
    <cellStyle name="Normal 5 2 2 2 4 2 3" xfId="4613"/>
    <cellStyle name="Normal 5 2 2 2 4 2 3 2" xfId="13453"/>
    <cellStyle name="Normal 5 2 2 2 4 2 3 2 2" xfId="23704"/>
    <cellStyle name="Normal 5 2 2 2 4 2 3 3" xfId="9874"/>
    <cellStyle name="Normal 5 2 2 2 4 2 3 4" xfId="18697"/>
    <cellStyle name="Normal 5 2 2 2 4 2 4" xfId="2393"/>
    <cellStyle name="Normal 5 2 2 2 4 2 4 2" xfId="11760"/>
    <cellStyle name="Normal 5 2 2 2 4 2 4 3" xfId="21764"/>
    <cellStyle name="Normal 5 2 2 2 4 2 5" xfId="6071"/>
    <cellStyle name="Normal 5 2 2 2 4 2 5 2" xfId="14898"/>
    <cellStyle name="Normal 5 2 2 2 4 2 5 3" xfId="25149"/>
    <cellStyle name="Normal 5 2 2 2 4 2 6" xfId="7516"/>
    <cellStyle name="Normal 5 2 2 2 4 2 6 2" xfId="20246"/>
    <cellStyle name="Normal 5 2 2 2 4 2 7" xfId="16757"/>
    <cellStyle name="Normal 5 2 2 2 4 3" xfId="1273"/>
    <cellStyle name="Normal 5 2 2 2 4 3 2" xfId="3704"/>
    <cellStyle name="Normal 5 2 2 2 4 3 2 2" xfId="12842"/>
    <cellStyle name="Normal 5 2 2 2 4 3 2 2 2" xfId="23061"/>
    <cellStyle name="Normal 5 2 2 2 4 3 2 3" xfId="9263"/>
    <cellStyle name="Normal 5 2 2 2 4 3 2 4" xfId="18054"/>
    <cellStyle name="Normal 5 2 2 2 4 3 3" xfId="4962"/>
    <cellStyle name="Normal 5 2 2 2 4 3 3 2" xfId="13801"/>
    <cellStyle name="Normal 5 2 2 2 4 3 3 2 2" xfId="24052"/>
    <cellStyle name="Normal 5 2 2 2 4 3 3 3" xfId="10222"/>
    <cellStyle name="Normal 5 2 2 2 4 3 3 4" xfId="19045"/>
    <cellStyle name="Normal 5 2 2 2 4 3 4" xfId="2098"/>
    <cellStyle name="Normal 5 2 2 2 4 3 4 2" xfId="11465"/>
    <cellStyle name="Normal 5 2 2 2 4 3 4 3" xfId="21469"/>
    <cellStyle name="Normal 5 2 2 2 4 3 5" xfId="6419"/>
    <cellStyle name="Normal 5 2 2 2 4 3 5 2" xfId="15246"/>
    <cellStyle name="Normal 5 2 2 2 4 3 5 3" xfId="25497"/>
    <cellStyle name="Normal 5 2 2 2 4 3 6" xfId="7865"/>
    <cellStyle name="Normal 5 2 2 2 4 3 6 2" xfId="20660"/>
    <cellStyle name="Normal 5 2 2 2 4 3 7" xfId="16462"/>
    <cellStyle name="Normal 5 2 2 2 4 4" xfId="2989"/>
    <cellStyle name="Normal 5 2 2 2 4 4 2" xfId="5367"/>
    <cellStyle name="Normal 5 2 2 2 4 4 2 2" xfId="14206"/>
    <cellStyle name="Normal 5 2 2 2 4 4 2 2 2" xfId="24457"/>
    <cellStyle name="Normal 5 2 2 2 4 4 2 3" xfId="10627"/>
    <cellStyle name="Normal 5 2 2 2 4 4 2 4" xfId="19450"/>
    <cellStyle name="Normal 5 2 2 2 4 4 3" xfId="6824"/>
    <cellStyle name="Normal 5 2 2 2 4 4 3 2" xfId="15651"/>
    <cellStyle name="Normal 5 2 2 2 4 4 3 3" xfId="25902"/>
    <cellStyle name="Normal 5 2 2 2 4 4 4" xfId="8270"/>
    <cellStyle name="Normal 5 2 2 2 4 4 4 2" xfId="22352"/>
    <cellStyle name="Normal 5 2 2 2 4 4 5" xfId="17345"/>
    <cellStyle name="Normal 5 2 2 2 4 5" xfId="4323"/>
    <cellStyle name="Normal 5 2 2 2 4 5 2" xfId="13163"/>
    <cellStyle name="Normal 5 2 2 2 4 5 2 2" xfId="23414"/>
    <cellStyle name="Normal 5 2 2 2 4 5 3" xfId="9584"/>
    <cellStyle name="Normal 5 2 2 2 4 5 4" xfId="18407"/>
    <cellStyle name="Normal 5 2 2 2 4 6" xfId="1595"/>
    <cellStyle name="Normal 5 2 2 2 4 6 2" xfId="10974"/>
    <cellStyle name="Normal 5 2 2 2 4 6 3" xfId="20978"/>
    <cellStyle name="Normal 5 2 2 2 4 7" xfId="5781"/>
    <cellStyle name="Normal 5 2 2 2 4 7 2" xfId="14608"/>
    <cellStyle name="Normal 5 2 2 2 4 7 3" xfId="24859"/>
    <cellStyle name="Normal 5 2 2 2 4 8" xfId="7225"/>
    <cellStyle name="Normal 5 2 2 2 4 8 2" xfId="19951"/>
    <cellStyle name="Normal 5 2 2 2 4 9" xfId="15971"/>
    <cellStyle name="Normal 5 2 2 2 4_Degree data" xfId="3863"/>
    <cellStyle name="Normal 5 2 2 2 5" xfId="1775"/>
    <cellStyle name="Normal 5 2 2 2 5 2" xfId="11148"/>
    <cellStyle name="Normal 5 2 2 2 5 2 2" xfId="21152"/>
    <cellStyle name="Normal 5 2 2 2 5 3" xfId="8610"/>
    <cellStyle name="Normal 5 2 2 2 5 4" xfId="16145"/>
    <cellStyle name="Normal 5 2 2 2 6" xfId="2672"/>
    <cellStyle name="Normal 5 2 2 2 6 2" xfId="11992"/>
    <cellStyle name="Normal 5 2 2 2 6 2 2" xfId="22035"/>
    <cellStyle name="Normal 5 2 2 2 6 3" xfId="8515"/>
    <cellStyle name="Normal 5 2 2 2 6 4" xfId="17028"/>
    <cellStyle name="Normal 5 2 2 2 7" xfId="1398"/>
    <cellStyle name="Normal 5 2 2 2 8" xfId="5506"/>
    <cellStyle name="Normal 5 2 2 2 9" xfId="5504"/>
    <cellStyle name="Normal 5 2 2 3" xfId="218"/>
    <cellStyle name="Normal 5 2 2 3 10" xfId="7168"/>
    <cellStyle name="Normal 5 2 2 3 10 2" xfId="19677"/>
    <cellStyle name="Normal 5 2 2 3 11" xfId="15914"/>
    <cellStyle name="Normal 5 2 2 3 2" xfId="544"/>
    <cellStyle name="Normal 5 2 2 3 2 2" xfId="799"/>
    <cellStyle name="Normal 5 2 2 3 2 2 2" xfId="3286"/>
    <cellStyle name="Normal 5 2 2 3 2 2 2 2" xfId="12430"/>
    <cellStyle name="Normal 5 2 2 3 2 2 2 2 2" xfId="22649"/>
    <cellStyle name="Normal 5 2 2 3 2 2 2 3" xfId="8852"/>
    <cellStyle name="Normal 5 2 2 3 2 2 2 4" xfId="17642"/>
    <cellStyle name="Normal 5 2 2 3 2 2 3" xfId="4615"/>
    <cellStyle name="Normal 5 2 2 3 2 2 3 2" xfId="13455"/>
    <cellStyle name="Normal 5 2 2 3 2 2 3 2 2" xfId="23706"/>
    <cellStyle name="Normal 5 2 2 3 2 2 3 3" xfId="9876"/>
    <cellStyle name="Normal 5 2 2 3 2 2 3 4" xfId="18699"/>
    <cellStyle name="Normal 5 2 2 3 2 2 4" xfId="2395"/>
    <cellStyle name="Normal 5 2 2 3 2 2 4 2" xfId="11762"/>
    <cellStyle name="Normal 5 2 2 3 2 2 4 3" xfId="21766"/>
    <cellStyle name="Normal 5 2 2 3 2 2 5" xfId="6073"/>
    <cellStyle name="Normal 5 2 2 3 2 2 5 2" xfId="14900"/>
    <cellStyle name="Normal 5 2 2 3 2 2 5 3" xfId="25151"/>
    <cellStyle name="Normal 5 2 2 3 2 2 6" xfId="7518"/>
    <cellStyle name="Normal 5 2 2 3 2 2 6 2" xfId="20248"/>
    <cellStyle name="Normal 5 2 2 3 2 2 7" xfId="16759"/>
    <cellStyle name="Normal 5 2 2 3 2 3" xfId="1316"/>
    <cellStyle name="Normal 5 2 2 3 2 3 2" xfId="3747"/>
    <cellStyle name="Normal 5 2 2 3 2 3 2 2" xfId="12885"/>
    <cellStyle name="Normal 5 2 2 3 2 3 2 2 2" xfId="23104"/>
    <cellStyle name="Normal 5 2 2 3 2 3 2 3" xfId="9306"/>
    <cellStyle name="Normal 5 2 2 3 2 3 2 4" xfId="18097"/>
    <cellStyle name="Normal 5 2 2 3 2 3 3" xfId="4964"/>
    <cellStyle name="Normal 5 2 2 3 2 3 3 2" xfId="13803"/>
    <cellStyle name="Normal 5 2 2 3 2 3 3 2 2" xfId="24054"/>
    <cellStyle name="Normal 5 2 2 3 2 3 3 3" xfId="10224"/>
    <cellStyle name="Normal 5 2 2 3 2 3 3 4" xfId="19047"/>
    <cellStyle name="Normal 5 2 2 3 2 3 4" xfId="2141"/>
    <cellStyle name="Normal 5 2 2 3 2 3 4 2" xfId="11508"/>
    <cellStyle name="Normal 5 2 2 3 2 3 4 3" xfId="21512"/>
    <cellStyle name="Normal 5 2 2 3 2 3 5" xfId="6421"/>
    <cellStyle name="Normal 5 2 2 3 2 3 5 2" xfId="15248"/>
    <cellStyle name="Normal 5 2 2 3 2 3 5 3" xfId="25499"/>
    <cellStyle name="Normal 5 2 2 3 2 3 6" xfId="7867"/>
    <cellStyle name="Normal 5 2 2 3 2 3 6 2" xfId="20703"/>
    <cellStyle name="Normal 5 2 2 3 2 3 7" xfId="16505"/>
    <cellStyle name="Normal 5 2 2 3 2 4" xfId="3032"/>
    <cellStyle name="Normal 5 2 2 3 2 4 2" xfId="5410"/>
    <cellStyle name="Normal 5 2 2 3 2 4 2 2" xfId="14249"/>
    <cellStyle name="Normal 5 2 2 3 2 4 2 2 2" xfId="24500"/>
    <cellStyle name="Normal 5 2 2 3 2 4 2 3" xfId="10670"/>
    <cellStyle name="Normal 5 2 2 3 2 4 2 4" xfId="19493"/>
    <cellStyle name="Normal 5 2 2 3 2 4 3" xfId="6867"/>
    <cellStyle name="Normal 5 2 2 3 2 4 3 2" xfId="15694"/>
    <cellStyle name="Normal 5 2 2 3 2 4 3 3" xfId="25945"/>
    <cellStyle name="Normal 5 2 2 3 2 4 4" xfId="8313"/>
    <cellStyle name="Normal 5 2 2 3 2 4 4 2" xfId="22395"/>
    <cellStyle name="Normal 5 2 2 3 2 4 5" xfId="17388"/>
    <cellStyle name="Normal 5 2 2 3 2 5" xfId="4366"/>
    <cellStyle name="Normal 5 2 2 3 2 5 2" xfId="13206"/>
    <cellStyle name="Normal 5 2 2 3 2 5 2 2" xfId="23457"/>
    <cellStyle name="Normal 5 2 2 3 2 5 3" xfId="9627"/>
    <cellStyle name="Normal 5 2 2 3 2 5 4" xfId="18450"/>
    <cellStyle name="Normal 5 2 2 3 2 6" xfId="1638"/>
    <cellStyle name="Normal 5 2 2 3 2 6 2" xfId="11017"/>
    <cellStyle name="Normal 5 2 2 3 2 6 3" xfId="21021"/>
    <cellStyle name="Normal 5 2 2 3 2 7" xfId="5824"/>
    <cellStyle name="Normal 5 2 2 3 2 7 2" xfId="14651"/>
    <cellStyle name="Normal 5 2 2 3 2 7 3" xfId="24902"/>
    <cellStyle name="Normal 5 2 2 3 2 8" xfId="7268"/>
    <cellStyle name="Normal 5 2 2 3 2 8 2" xfId="19994"/>
    <cellStyle name="Normal 5 2 2 3 2 9" xfId="16014"/>
    <cellStyle name="Normal 5 2 2 3 2_Degree data" xfId="3940"/>
    <cellStyle name="Normal 5 2 2 3 3" xfId="444"/>
    <cellStyle name="Normal 5 2 2 3 3 2" xfId="2932"/>
    <cellStyle name="Normal 5 2 2 3 3 2 2" xfId="12222"/>
    <cellStyle name="Normal 5 2 2 3 3 2 2 2" xfId="22295"/>
    <cellStyle name="Normal 5 2 2 3 3 2 3" xfId="8629"/>
    <cellStyle name="Normal 5 2 2 3 3 2 4" xfId="17288"/>
    <cellStyle name="Normal 5 2 2 3 3 3" xfId="4614"/>
    <cellStyle name="Normal 5 2 2 3 3 3 2" xfId="13454"/>
    <cellStyle name="Normal 5 2 2 3 3 3 2 2" xfId="23705"/>
    <cellStyle name="Normal 5 2 2 3 3 3 3" xfId="9875"/>
    <cellStyle name="Normal 5 2 2 3 3 3 4" xfId="18698"/>
    <cellStyle name="Normal 5 2 2 3 3 4" xfId="2041"/>
    <cellStyle name="Normal 5 2 2 3 3 4 2" xfId="11408"/>
    <cellStyle name="Normal 5 2 2 3 3 4 3" xfId="21412"/>
    <cellStyle name="Normal 5 2 2 3 3 5" xfId="6072"/>
    <cellStyle name="Normal 5 2 2 3 3 5 2" xfId="14899"/>
    <cellStyle name="Normal 5 2 2 3 3 5 3" xfId="25150"/>
    <cellStyle name="Normal 5 2 2 3 3 6" xfId="7517"/>
    <cellStyle name="Normal 5 2 2 3 3 6 2" xfId="19894"/>
    <cellStyle name="Normal 5 2 2 3 3 7" xfId="16405"/>
    <cellStyle name="Normal 5 2 2 3 4" xfId="798"/>
    <cellStyle name="Normal 5 2 2 3 4 2" xfId="3285"/>
    <cellStyle name="Normal 5 2 2 3 4 2 2" xfId="12429"/>
    <cellStyle name="Normal 5 2 2 3 4 2 2 2" xfId="22648"/>
    <cellStyle name="Normal 5 2 2 3 4 2 3" xfId="8851"/>
    <cellStyle name="Normal 5 2 2 3 4 2 4" xfId="17641"/>
    <cellStyle name="Normal 5 2 2 3 4 3" xfId="4963"/>
    <cellStyle name="Normal 5 2 2 3 4 3 2" xfId="13802"/>
    <cellStyle name="Normal 5 2 2 3 4 3 2 2" xfId="24053"/>
    <cellStyle name="Normal 5 2 2 3 4 3 3" xfId="10223"/>
    <cellStyle name="Normal 5 2 2 3 4 3 4" xfId="19046"/>
    <cellStyle name="Normal 5 2 2 3 4 4" xfId="2394"/>
    <cellStyle name="Normal 5 2 2 3 4 4 2" xfId="11761"/>
    <cellStyle name="Normal 5 2 2 3 4 4 3" xfId="21765"/>
    <cellStyle name="Normal 5 2 2 3 4 5" xfId="6420"/>
    <cellStyle name="Normal 5 2 2 3 4 5 2" xfId="15247"/>
    <cellStyle name="Normal 5 2 2 3 4 5 3" xfId="25498"/>
    <cellStyle name="Normal 5 2 2 3 4 6" xfId="7866"/>
    <cellStyle name="Normal 5 2 2 3 4 6 2" xfId="20247"/>
    <cellStyle name="Normal 5 2 2 3 4 7" xfId="16758"/>
    <cellStyle name="Normal 5 2 2 3 5" xfId="1216"/>
    <cellStyle name="Normal 5 2 2 3 5 2" xfId="3647"/>
    <cellStyle name="Normal 5 2 2 3 5 2 2" xfId="12785"/>
    <cellStyle name="Normal 5 2 2 3 5 2 2 2" xfId="23004"/>
    <cellStyle name="Normal 5 2 2 3 5 2 3" xfId="9206"/>
    <cellStyle name="Normal 5 2 2 3 5 2 4" xfId="17997"/>
    <cellStyle name="Normal 5 2 2 3 5 3" xfId="5310"/>
    <cellStyle name="Normal 5 2 2 3 5 3 2" xfId="14149"/>
    <cellStyle name="Normal 5 2 2 3 5 3 2 2" xfId="24400"/>
    <cellStyle name="Normal 5 2 2 3 5 3 3" xfId="10570"/>
    <cellStyle name="Normal 5 2 2 3 5 3 4" xfId="19393"/>
    <cellStyle name="Normal 5 2 2 3 5 4" xfId="1821"/>
    <cellStyle name="Normal 5 2 2 3 5 4 2" xfId="11191"/>
    <cellStyle name="Normal 5 2 2 3 5 4 3" xfId="21195"/>
    <cellStyle name="Normal 5 2 2 3 5 5" xfId="6767"/>
    <cellStyle name="Normal 5 2 2 3 5 5 2" xfId="15594"/>
    <cellStyle name="Normal 5 2 2 3 5 5 3" xfId="25845"/>
    <cellStyle name="Normal 5 2 2 3 5 6" xfId="8213"/>
    <cellStyle name="Normal 5 2 2 3 5 6 2" xfId="20603"/>
    <cellStyle name="Normal 5 2 2 3 5 7" xfId="16188"/>
    <cellStyle name="Normal 5 2 2 3 6" xfId="2715"/>
    <cellStyle name="Normal 5 2 2 3 6 2" xfId="12034"/>
    <cellStyle name="Normal 5 2 2 3 6 2 2" xfId="22078"/>
    <cellStyle name="Normal 5 2 2 3 6 3" xfId="6982"/>
    <cellStyle name="Normal 5 2 2 3 6 4" xfId="17071"/>
    <cellStyle name="Normal 5 2 2 3 7" xfId="4266"/>
    <cellStyle name="Normal 5 2 2 3 7 2" xfId="13106"/>
    <cellStyle name="Normal 5 2 2 3 7 2 2" xfId="23357"/>
    <cellStyle name="Normal 5 2 2 3 7 3" xfId="9527"/>
    <cellStyle name="Normal 5 2 2 3 7 4" xfId="18350"/>
    <cellStyle name="Normal 5 2 2 3 8" xfId="1538"/>
    <cellStyle name="Normal 5 2 2 3 8 2" xfId="10917"/>
    <cellStyle name="Normal 5 2 2 3 8 3" xfId="20921"/>
    <cellStyle name="Normal 5 2 2 3 9" xfId="5724"/>
    <cellStyle name="Normal 5 2 2 3 9 2" xfId="14551"/>
    <cellStyle name="Normal 5 2 2 3 9 3" xfId="24802"/>
    <cellStyle name="Normal 5 2 2 3_Degree data" xfId="3941"/>
    <cellStyle name="Normal 5 2 2 4" xfId="344"/>
    <cellStyle name="Normal 5 2 2 4 2" xfId="800"/>
    <cellStyle name="Normal 5 2 2 4 2 2" xfId="3287"/>
    <cellStyle name="Normal 5 2 2 4 2 2 2" xfId="12431"/>
    <cellStyle name="Normal 5 2 2 4 2 2 2 2" xfId="22650"/>
    <cellStyle name="Normal 5 2 2 4 2 2 3" xfId="8853"/>
    <cellStyle name="Normal 5 2 2 4 2 2 4" xfId="17643"/>
    <cellStyle name="Normal 5 2 2 4 2 3" xfId="4616"/>
    <cellStyle name="Normal 5 2 2 4 2 3 2" xfId="13456"/>
    <cellStyle name="Normal 5 2 2 4 2 3 2 2" xfId="23707"/>
    <cellStyle name="Normal 5 2 2 4 2 3 3" xfId="9877"/>
    <cellStyle name="Normal 5 2 2 4 2 3 4" xfId="18700"/>
    <cellStyle name="Normal 5 2 2 4 2 4" xfId="2396"/>
    <cellStyle name="Normal 5 2 2 4 2 4 2" xfId="11763"/>
    <cellStyle name="Normal 5 2 2 4 2 4 3" xfId="21767"/>
    <cellStyle name="Normal 5 2 2 4 2 5" xfId="6074"/>
    <cellStyle name="Normal 5 2 2 4 2 5 2" xfId="14901"/>
    <cellStyle name="Normal 5 2 2 4 2 5 3" xfId="25152"/>
    <cellStyle name="Normal 5 2 2 4 2 6" xfId="7519"/>
    <cellStyle name="Normal 5 2 2 4 2 6 2" xfId="20249"/>
    <cellStyle name="Normal 5 2 2 4 2 7" xfId="16760"/>
    <cellStyle name="Normal 5 2 2 4 3" xfId="1116"/>
    <cellStyle name="Normal 5 2 2 4 3 2" xfId="3547"/>
    <cellStyle name="Normal 5 2 2 4 3 2 2" xfId="12685"/>
    <cellStyle name="Normal 5 2 2 4 3 2 2 2" xfId="22904"/>
    <cellStyle name="Normal 5 2 2 4 3 2 3" xfId="9106"/>
    <cellStyle name="Normal 5 2 2 4 3 2 4" xfId="17897"/>
    <cellStyle name="Normal 5 2 2 4 3 3" xfId="4965"/>
    <cellStyle name="Normal 5 2 2 4 3 3 2" xfId="13804"/>
    <cellStyle name="Normal 5 2 2 4 3 3 2 2" xfId="24055"/>
    <cellStyle name="Normal 5 2 2 4 3 3 3" xfId="10225"/>
    <cellStyle name="Normal 5 2 2 4 3 3 4" xfId="19048"/>
    <cellStyle name="Normal 5 2 2 4 3 4" xfId="2590"/>
    <cellStyle name="Normal 5 2 2 4 3 4 2" xfId="11956"/>
    <cellStyle name="Normal 5 2 2 4 3 4 3" xfId="21960"/>
    <cellStyle name="Normal 5 2 2 4 3 5" xfId="6422"/>
    <cellStyle name="Normal 5 2 2 4 3 5 2" xfId="15249"/>
    <cellStyle name="Normal 5 2 2 4 3 5 3" xfId="25500"/>
    <cellStyle name="Normal 5 2 2 4 3 6" xfId="7868"/>
    <cellStyle name="Normal 5 2 2 4 3 6 2" xfId="20503"/>
    <cellStyle name="Normal 5 2 2 4 3 7" xfId="16953"/>
    <cellStyle name="Normal 5 2 2 4 4" xfId="2832"/>
    <cellStyle name="Normal 5 2 2 4 4 2" xfId="5210"/>
    <cellStyle name="Normal 5 2 2 4 4 2 2" xfId="14049"/>
    <cellStyle name="Normal 5 2 2 4 4 2 2 2" xfId="24300"/>
    <cellStyle name="Normal 5 2 2 4 4 2 3" xfId="10470"/>
    <cellStyle name="Normal 5 2 2 4 4 2 4" xfId="19293"/>
    <cellStyle name="Normal 5 2 2 4 4 3" xfId="6667"/>
    <cellStyle name="Normal 5 2 2 4 4 3 2" xfId="15494"/>
    <cellStyle name="Normal 5 2 2 4 4 3 3" xfId="25745"/>
    <cellStyle name="Normal 5 2 2 4 4 4" xfId="8113"/>
    <cellStyle name="Normal 5 2 2 4 4 4 2" xfId="22195"/>
    <cellStyle name="Normal 5 2 2 4 4 5" xfId="17188"/>
    <cellStyle name="Normal 5 2 2 4 5" xfId="4164"/>
    <cellStyle name="Normal 5 2 2 4 5 2" xfId="13004"/>
    <cellStyle name="Normal 5 2 2 4 5 2 2" xfId="23255"/>
    <cellStyle name="Normal 5 2 2 4 5 3" xfId="9425"/>
    <cellStyle name="Normal 5 2 2 4 5 4" xfId="18248"/>
    <cellStyle name="Normal 5 2 2 4 6" xfId="1941"/>
    <cellStyle name="Normal 5 2 2 4 6 2" xfId="11308"/>
    <cellStyle name="Normal 5 2 2 4 6 3" xfId="21312"/>
    <cellStyle name="Normal 5 2 2 4 7" xfId="5624"/>
    <cellStyle name="Normal 5 2 2 4 7 2" xfId="14451"/>
    <cellStyle name="Normal 5 2 2 4 7 3" xfId="24702"/>
    <cellStyle name="Normal 5 2 2 4 8" xfId="7068"/>
    <cellStyle name="Normal 5 2 2 4 8 2" xfId="19794"/>
    <cellStyle name="Normal 5 2 2 4 9" xfId="16305"/>
    <cellStyle name="Normal 5 2 2 4_Degree data" xfId="3894"/>
    <cellStyle name="Normal 5 2 2 5" xfId="794"/>
    <cellStyle name="Normal 5 2 2 5 2" xfId="3281"/>
    <cellStyle name="Normal 5 2 2 5 2 2" xfId="12425"/>
    <cellStyle name="Normal 5 2 2 5 2 2 2" xfId="22644"/>
    <cellStyle name="Normal 5 2 2 5 2 3" xfId="8847"/>
    <cellStyle name="Normal 5 2 2 5 2 4" xfId="17637"/>
    <cellStyle name="Normal 5 2 2 5 3" xfId="4610"/>
    <cellStyle name="Normal 5 2 2 5 3 2" xfId="13450"/>
    <cellStyle name="Normal 5 2 2 5 3 2 2" xfId="23701"/>
    <cellStyle name="Normal 5 2 2 5 3 3" xfId="9871"/>
    <cellStyle name="Normal 5 2 2 5 3 4" xfId="18694"/>
    <cellStyle name="Normal 5 2 2 5 4" xfId="2390"/>
    <cellStyle name="Normal 5 2 2 5 4 2" xfId="11757"/>
    <cellStyle name="Normal 5 2 2 5 4 3" xfId="21761"/>
    <cellStyle name="Normal 5 2 2 5 5" xfId="6068"/>
    <cellStyle name="Normal 5 2 2 5 5 2" xfId="14895"/>
    <cellStyle name="Normal 5 2 2 5 5 3" xfId="25146"/>
    <cellStyle name="Normal 5 2 2 5 6" xfId="7513"/>
    <cellStyle name="Normal 5 2 2 5 6 2" xfId="20243"/>
    <cellStyle name="Normal 5 2 2 5 7" xfId="16754"/>
    <cellStyle name="Normal 5 2 2 6" xfId="1071"/>
    <cellStyle name="Normal 5 2 2 6 2" xfId="3502"/>
    <cellStyle name="Normal 5 2 2 6 2 2" xfId="12640"/>
    <cellStyle name="Normal 5 2 2 6 2 2 2" xfId="22859"/>
    <cellStyle name="Normal 5 2 2 6 2 3" xfId="9062"/>
    <cellStyle name="Normal 5 2 2 6 2 4" xfId="17852"/>
    <cellStyle name="Normal 5 2 2 6 3" xfId="4959"/>
    <cellStyle name="Normal 5 2 2 6 3 2" xfId="13798"/>
    <cellStyle name="Normal 5 2 2 6 3 2 2" xfId="24049"/>
    <cellStyle name="Normal 5 2 2 6 3 3" xfId="10219"/>
    <cellStyle name="Normal 5 2 2 6 3 4" xfId="19042"/>
    <cellStyle name="Normal 5 2 2 6 4" xfId="2598"/>
    <cellStyle name="Normal 5 2 2 6 4 2" xfId="11964"/>
    <cellStyle name="Normal 5 2 2 6 4 3" xfId="21968"/>
    <cellStyle name="Normal 5 2 2 6 5" xfId="6416"/>
    <cellStyle name="Normal 5 2 2 6 5 2" xfId="15243"/>
    <cellStyle name="Normal 5 2 2 6 5 3" xfId="25494"/>
    <cellStyle name="Normal 5 2 2 6 6" xfId="7862"/>
    <cellStyle name="Normal 5 2 2 6 6 2" xfId="20458"/>
    <cellStyle name="Normal 5 2 2 6 7" xfId="16961"/>
    <cellStyle name="Normal 5 2 2 7" xfId="2640"/>
    <cellStyle name="Normal 5 2 2 7 2" xfId="5165"/>
    <cellStyle name="Normal 5 2 2 7 2 2" xfId="14004"/>
    <cellStyle name="Normal 5 2 2 7 2 2 2" xfId="24255"/>
    <cellStyle name="Normal 5 2 2 7 2 3" xfId="10425"/>
    <cellStyle name="Normal 5 2 2 7 2 4" xfId="19248"/>
    <cellStyle name="Normal 5 2 2 7 3" xfId="6622"/>
    <cellStyle name="Normal 5 2 2 7 3 2" xfId="15449"/>
    <cellStyle name="Normal 5 2 2 7 3 3" xfId="25700"/>
    <cellStyle name="Normal 5 2 2 7 4" xfId="8068"/>
    <cellStyle name="Normal 5 2 2 7 4 2" xfId="22004"/>
    <cellStyle name="Normal 5 2 2 7 5" xfId="16997"/>
    <cellStyle name="Normal 5 2 2 8" xfId="4119"/>
    <cellStyle name="Normal 5 2 2 8 2" xfId="5579"/>
    <cellStyle name="Normal 5 2 2 8 2 2" xfId="14406"/>
    <cellStyle name="Normal 5 2 2 8 2 3" xfId="24657"/>
    <cellStyle name="Normal 5 2 2 8 3" xfId="7023"/>
    <cellStyle name="Normal 5 2 2 8 3 2" xfId="23210"/>
    <cellStyle name="Normal 5 2 2 8 4" xfId="18203"/>
    <cellStyle name="Normal 5 2 2 9" xfId="1438"/>
    <cellStyle name="Normal 5 2 2 9 2" xfId="10817"/>
    <cellStyle name="Normal 5 2 2 9 3" xfId="20821"/>
    <cellStyle name="Normal 5 2 2_Degree data" xfId="3853"/>
    <cellStyle name="Normal 5 2 3" xfId="208"/>
    <cellStyle name="Normal 5 2 4" xfId="189"/>
    <cellStyle name="Normal 5 2 4 10" xfId="7141"/>
    <cellStyle name="Normal 5 2 4 10 2" xfId="19650"/>
    <cellStyle name="Normal 5 2 4 11" xfId="15887"/>
    <cellStyle name="Normal 5 2 4 2" xfId="517"/>
    <cellStyle name="Normal 5 2 4 2 2" xfId="802"/>
    <cellStyle name="Normal 5 2 4 2 2 2" xfId="3289"/>
    <cellStyle name="Normal 5 2 4 2 2 2 2" xfId="12433"/>
    <cellStyle name="Normal 5 2 4 2 2 2 2 2" xfId="22652"/>
    <cellStyle name="Normal 5 2 4 2 2 2 3" xfId="8855"/>
    <cellStyle name="Normal 5 2 4 2 2 2 4" xfId="17645"/>
    <cellStyle name="Normal 5 2 4 2 2 3" xfId="4618"/>
    <cellStyle name="Normal 5 2 4 2 2 3 2" xfId="13458"/>
    <cellStyle name="Normal 5 2 4 2 2 3 2 2" xfId="23709"/>
    <cellStyle name="Normal 5 2 4 2 2 3 3" xfId="9879"/>
    <cellStyle name="Normal 5 2 4 2 2 3 4" xfId="18702"/>
    <cellStyle name="Normal 5 2 4 2 2 4" xfId="2398"/>
    <cellStyle name="Normal 5 2 4 2 2 4 2" xfId="11765"/>
    <cellStyle name="Normal 5 2 4 2 2 4 3" xfId="21769"/>
    <cellStyle name="Normal 5 2 4 2 2 5" xfId="6076"/>
    <cellStyle name="Normal 5 2 4 2 2 5 2" xfId="14903"/>
    <cellStyle name="Normal 5 2 4 2 2 5 3" xfId="25154"/>
    <cellStyle name="Normal 5 2 4 2 2 6" xfId="7521"/>
    <cellStyle name="Normal 5 2 4 2 2 6 2" xfId="20251"/>
    <cellStyle name="Normal 5 2 4 2 2 7" xfId="16762"/>
    <cellStyle name="Normal 5 2 4 2 3" xfId="1289"/>
    <cellStyle name="Normal 5 2 4 2 3 2" xfId="3720"/>
    <cellStyle name="Normal 5 2 4 2 3 2 2" xfId="12858"/>
    <cellStyle name="Normal 5 2 4 2 3 2 2 2" xfId="23077"/>
    <cellStyle name="Normal 5 2 4 2 3 2 3" xfId="9279"/>
    <cellStyle name="Normal 5 2 4 2 3 2 4" xfId="18070"/>
    <cellStyle name="Normal 5 2 4 2 3 3" xfId="4967"/>
    <cellStyle name="Normal 5 2 4 2 3 3 2" xfId="13806"/>
    <cellStyle name="Normal 5 2 4 2 3 3 2 2" xfId="24057"/>
    <cellStyle name="Normal 5 2 4 2 3 3 3" xfId="10227"/>
    <cellStyle name="Normal 5 2 4 2 3 3 4" xfId="19050"/>
    <cellStyle name="Normal 5 2 4 2 3 4" xfId="2114"/>
    <cellStyle name="Normal 5 2 4 2 3 4 2" xfId="11481"/>
    <cellStyle name="Normal 5 2 4 2 3 4 3" xfId="21485"/>
    <cellStyle name="Normal 5 2 4 2 3 5" xfId="6424"/>
    <cellStyle name="Normal 5 2 4 2 3 5 2" xfId="15251"/>
    <cellStyle name="Normal 5 2 4 2 3 5 3" xfId="25502"/>
    <cellStyle name="Normal 5 2 4 2 3 6" xfId="7870"/>
    <cellStyle name="Normal 5 2 4 2 3 6 2" xfId="20676"/>
    <cellStyle name="Normal 5 2 4 2 3 7" xfId="16478"/>
    <cellStyle name="Normal 5 2 4 2 4" xfId="3005"/>
    <cellStyle name="Normal 5 2 4 2 4 2" xfId="5383"/>
    <cellStyle name="Normal 5 2 4 2 4 2 2" xfId="14222"/>
    <cellStyle name="Normal 5 2 4 2 4 2 2 2" xfId="24473"/>
    <cellStyle name="Normal 5 2 4 2 4 2 3" xfId="10643"/>
    <cellStyle name="Normal 5 2 4 2 4 2 4" xfId="19466"/>
    <cellStyle name="Normal 5 2 4 2 4 3" xfId="6840"/>
    <cellStyle name="Normal 5 2 4 2 4 3 2" xfId="15667"/>
    <cellStyle name="Normal 5 2 4 2 4 3 3" xfId="25918"/>
    <cellStyle name="Normal 5 2 4 2 4 4" xfId="8286"/>
    <cellStyle name="Normal 5 2 4 2 4 4 2" xfId="22368"/>
    <cellStyle name="Normal 5 2 4 2 4 5" xfId="17361"/>
    <cellStyle name="Normal 5 2 4 2 5" xfId="4339"/>
    <cellStyle name="Normal 5 2 4 2 5 2" xfId="13179"/>
    <cellStyle name="Normal 5 2 4 2 5 2 2" xfId="23430"/>
    <cellStyle name="Normal 5 2 4 2 5 3" xfId="9600"/>
    <cellStyle name="Normal 5 2 4 2 5 4" xfId="18423"/>
    <cellStyle name="Normal 5 2 4 2 6" xfId="1611"/>
    <cellStyle name="Normal 5 2 4 2 6 2" xfId="10990"/>
    <cellStyle name="Normal 5 2 4 2 6 3" xfId="20994"/>
    <cellStyle name="Normal 5 2 4 2 7" xfId="5797"/>
    <cellStyle name="Normal 5 2 4 2 7 2" xfId="14624"/>
    <cellStyle name="Normal 5 2 4 2 7 3" xfId="24875"/>
    <cellStyle name="Normal 5 2 4 2 8" xfId="7241"/>
    <cellStyle name="Normal 5 2 4 2 8 2" xfId="19967"/>
    <cellStyle name="Normal 5 2 4 2 9" xfId="15987"/>
    <cellStyle name="Normal 5 2 4 2_Degree data" xfId="3845"/>
    <cellStyle name="Normal 5 2 4 3" xfId="417"/>
    <cellStyle name="Normal 5 2 4 3 2" xfId="2905"/>
    <cellStyle name="Normal 5 2 4 3 2 2" xfId="12195"/>
    <cellStyle name="Normal 5 2 4 3 2 2 2" xfId="22268"/>
    <cellStyle name="Normal 5 2 4 3 2 3" xfId="8529"/>
    <cellStyle name="Normal 5 2 4 3 2 4" xfId="17261"/>
    <cellStyle name="Normal 5 2 4 3 3" xfId="4617"/>
    <cellStyle name="Normal 5 2 4 3 3 2" xfId="13457"/>
    <cellStyle name="Normal 5 2 4 3 3 2 2" xfId="23708"/>
    <cellStyle name="Normal 5 2 4 3 3 3" xfId="9878"/>
    <cellStyle name="Normal 5 2 4 3 3 4" xfId="18701"/>
    <cellStyle name="Normal 5 2 4 3 4" xfId="2014"/>
    <cellStyle name="Normal 5 2 4 3 4 2" xfId="11381"/>
    <cellStyle name="Normal 5 2 4 3 4 3" xfId="21385"/>
    <cellStyle name="Normal 5 2 4 3 5" xfId="6075"/>
    <cellStyle name="Normal 5 2 4 3 5 2" xfId="14902"/>
    <cellStyle name="Normal 5 2 4 3 5 3" xfId="25153"/>
    <cellStyle name="Normal 5 2 4 3 6" xfId="7520"/>
    <cellStyle name="Normal 5 2 4 3 6 2" xfId="19867"/>
    <cellStyle name="Normal 5 2 4 3 7" xfId="16378"/>
    <cellStyle name="Normal 5 2 4 4" xfId="801"/>
    <cellStyle name="Normal 5 2 4 4 2" xfId="3288"/>
    <cellStyle name="Normal 5 2 4 4 2 2" xfId="12432"/>
    <cellStyle name="Normal 5 2 4 4 2 2 2" xfId="22651"/>
    <cellStyle name="Normal 5 2 4 4 2 3" xfId="8854"/>
    <cellStyle name="Normal 5 2 4 4 2 4" xfId="17644"/>
    <cellStyle name="Normal 5 2 4 4 3" xfId="4966"/>
    <cellStyle name="Normal 5 2 4 4 3 2" xfId="13805"/>
    <cellStyle name="Normal 5 2 4 4 3 2 2" xfId="24056"/>
    <cellStyle name="Normal 5 2 4 4 3 3" xfId="10226"/>
    <cellStyle name="Normal 5 2 4 4 3 4" xfId="19049"/>
    <cellStyle name="Normal 5 2 4 4 4" xfId="2397"/>
    <cellStyle name="Normal 5 2 4 4 4 2" xfId="11764"/>
    <cellStyle name="Normal 5 2 4 4 4 3" xfId="21768"/>
    <cellStyle name="Normal 5 2 4 4 5" xfId="6423"/>
    <cellStyle name="Normal 5 2 4 4 5 2" xfId="15250"/>
    <cellStyle name="Normal 5 2 4 4 5 3" xfId="25501"/>
    <cellStyle name="Normal 5 2 4 4 6" xfId="7869"/>
    <cellStyle name="Normal 5 2 4 4 6 2" xfId="20250"/>
    <cellStyle name="Normal 5 2 4 4 7" xfId="16761"/>
    <cellStyle name="Normal 5 2 4 5" xfId="1189"/>
    <cellStyle name="Normal 5 2 4 5 2" xfId="3620"/>
    <cellStyle name="Normal 5 2 4 5 2 2" xfId="12758"/>
    <cellStyle name="Normal 5 2 4 5 2 2 2" xfId="22977"/>
    <cellStyle name="Normal 5 2 4 5 2 3" xfId="9179"/>
    <cellStyle name="Normal 5 2 4 5 2 4" xfId="17970"/>
    <cellStyle name="Normal 5 2 4 5 3" xfId="5283"/>
    <cellStyle name="Normal 5 2 4 5 3 2" xfId="14122"/>
    <cellStyle name="Normal 5 2 4 5 3 2 2" xfId="24373"/>
    <cellStyle name="Normal 5 2 4 5 3 3" xfId="10543"/>
    <cellStyle name="Normal 5 2 4 5 3 4" xfId="19366"/>
    <cellStyle name="Normal 5 2 4 5 4" xfId="1793"/>
    <cellStyle name="Normal 5 2 4 5 4 2" xfId="11164"/>
    <cellStyle name="Normal 5 2 4 5 4 3" xfId="21168"/>
    <cellStyle name="Normal 5 2 4 5 5" xfId="6740"/>
    <cellStyle name="Normal 5 2 4 5 5 2" xfId="15567"/>
    <cellStyle name="Normal 5 2 4 5 5 3" xfId="25818"/>
    <cellStyle name="Normal 5 2 4 5 6" xfId="8186"/>
    <cellStyle name="Normal 5 2 4 5 6 2" xfId="20576"/>
    <cellStyle name="Normal 5 2 4 5 7" xfId="16161"/>
    <cellStyle name="Normal 5 2 4 6" xfId="2688"/>
    <cellStyle name="Normal 5 2 4 6 2" xfId="12007"/>
    <cellStyle name="Normal 5 2 4 6 2 2" xfId="22051"/>
    <cellStyle name="Normal 5 2 4 6 3" xfId="8567"/>
    <cellStyle name="Normal 5 2 4 6 4" xfId="17044"/>
    <cellStyle name="Normal 5 2 4 7" xfId="4239"/>
    <cellStyle name="Normal 5 2 4 7 2" xfId="13079"/>
    <cellStyle name="Normal 5 2 4 7 2 2" xfId="23330"/>
    <cellStyle name="Normal 5 2 4 7 3" xfId="9500"/>
    <cellStyle name="Normal 5 2 4 7 4" xfId="18323"/>
    <cellStyle name="Normal 5 2 4 8" xfId="1511"/>
    <cellStyle name="Normal 5 2 4 8 2" xfId="10890"/>
    <cellStyle name="Normal 5 2 4 8 3" xfId="20894"/>
    <cellStyle name="Normal 5 2 4 9" xfId="5697"/>
    <cellStyle name="Normal 5 2 4 9 2" xfId="14524"/>
    <cellStyle name="Normal 5 2 4 9 3" xfId="24775"/>
    <cellStyle name="Normal 5 2 4_Degree data" xfId="3885"/>
    <cellStyle name="Normal 5 2 5" xfId="244"/>
    <cellStyle name="Normal 5 2 5 10" xfId="7086"/>
    <cellStyle name="Normal 5 2 5 10 2" xfId="19700"/>
    <cellStyle name="Normal 5 2 5 11" xfId="15832"/>
    <cellStyle name="Normal 5 2 5 2" xfId="567"/>
    <cellStyle name="Normal 5 2 5 2 2" xfId="804"/>
    <cellStyle name="Normal 5 2 5 2 2 2" xfId="3291"/>
    <cellStyle name="Normal 5 2 5 2 2 2 2" xfId="12435"/>
    <cellStyle name="Normal 5 2 5 2 2 2 2 2" xfId="22654"/>
    <cellStyle name="Normal 5 2 5 2 2 2 3" xfId="8857"/>
    <cellStyle name="Normal 5 2 5 2 2 2 4" xfId="17647"/>
    <cellStyle name="Normal 5 2 5 2 2 3" xfId="4620"/>
    <cellStyle name="Normal 5 2 5 2 2 3 2" xfId="13460"/>
    <cellStyle name="Normal 5 2 5 2 2 3 2 2" xfId="23711"/>
    <cellStyle name="Normal 5 2 5 2 2 3 3" xfId="9881"/>
    <cellStyle name="Normal 5 2 5 2 2 3 4" xfId="18704"/>
    <cellStyle name="Normal 5 2 5 2 2 4" xfId="2400"/>
    <cellStyle name="Normal 5 2 5 2 2 4 2" xfId="11767"/>
    <cellStyle name="Normal 5 2 5 2 2 4 3" xfId="21771"/>
    <cellStyle name="Normal 5 2 5 2 2 5" xfId="6078"/>
    <cellStyle name="Normal 5 2 5 2 2 5 2" xfId="14905"/>
    <cellStyle name="Normal 5 2 5 2 2 5 3" xfId="25156"/>
    <cellStyle name="Normal 5 2 5 2 2 6" xfId="7523"/>
    <cellStyle name="Normal 5 2 5 2 2 6 2" xfId="20253"/>
    <cellStyle name="Normal 5 2 5 2 2 7" xfId="16764"/>
    <cellStyle name="Normal 5 2 5 2 3" xfId="1339"/>
    <cellStyle name="Normal 5 2 5 2 3 2" xfId="3770"/>
    <cellStyle name="Normal 5 2 5 2 3 2 2" xfId="12908"/>
    <cellStyle name="Normal 5 2 5 2 3 2 2 2" xfId="23127"/>
    <cellStyle name="Normal 5 2 5 2 3 2 3" xfId="9329"/>
    <cellStyle name="Normal 5 2 5 2 3 2 4" xfId="18120"/>
    <cellStyle name="Normal 5 2 5 2 3 3" xfId="4969"/>
    <cellStyle name="Normal 5 2 5 2 3 3 2" xfId="13808"/>
    <cellStyle name="Normal 5 2 5 2 3 3 2 2" xfId="24059"/>
    <cellStyle name="Normal 5 2 5 2 3 3 3" xfId="10229"/>
    <cellStyle name="Normal 5 2 5 2 3 3 4" xfId="19052"/>
    <cellStyle name="Normal 5 2 5 2 3 4" xfId="2164"/>
    <cellStyle name="Normal 5 2 5 2 3 4 2" xfId="11531"/>
    <cellStyle name="Normal 5 2 5 2 3 4 3" xfId="21535"/>
    <cellStyle name="Normal 5 2 5 2 3 5" xfId="6426"/>
    <cellStyle name="Normal 5 2 5 2 3 5 2" xfId="15253"/>
    <cellStyle name="Normal 5 2 5 2 3 5 3" xfId="25504"/>
    <cellStyle name="Normal 5 2 5 2 3 6" xfId="7872"/>
    <cellStyle name="Normal 5 2 5 2 3 6 2" xfId="20726"/>
    <cellStyle name="Normal 5 2 5 2 3 7" xfId="16528"/>
    <cellStyle name="Normal 5 2 5 2 4" xfId="3055"/>
    <cellStyle name="Normal 5 2 5 2 4 2" xfId="5433"/>
    <cellStyle name="Normal 5 2 5 2 4 2 2" xfId="14272"/>
    <cellStyle name="Normal 5 2 5 2 4 2 2 2" xfId="24523"/>
    <cellStyle name="Normal 5 2 5 2 4 2 3" xfId="10693"/>
    <cellStyle name="Normal 5 2 5 2 4 2 4" xfId="19516"/>
    <cellStyle name="Normal 5 2 5 2 4 3" xfId="6890"/>
    <cellStyle name="Normal 5 2 5 2 4 3 2" xfId="15717"/>
    <cellStyle name="Normal 5 2 5 2 4 3 3" xfId="25968"/>
    <cellStyle name="Normal 5 2 5 2 4 4" xfId="8336"/>
    <cellStyle name="Normal 5 2 5 2 4 4 2" xfId="22418"/>
    <cellStyle name="Normal 5 2 5 2 4 5" xfId="17411"/>
    <cellStyle name="Normal 5 2 5 2 5" xfId="4389"/>
    <cellStyle name="Normal 5 2 5 2 5 2" xfId="13229"/>
    <cellStyle name="Normal 5 2 5 2 5 2 2" xfId="23480"/>
    <cellStyle name="Normal 5 2 5 2 5 3" xfId="9650"/>
    <cellStyle name="Normal 5 2 5 2 5 4" xfId="18473"/>
    <cellStyle name="Normal 5 2 5 2 6" xfId="1661"/>
    <cellStyle name="Normal 5 2 5 2 6 2" xfId="11040"/>
    <cellStyle name="Normal 5 2 5 2 6 3" xfId="21044"/>
    <cellStyle name="Normal 5 2 5 2 7" xfId="5847"/>
    <cellStyle name="Normal 5 2 5 2 7 2" xfId="14674"/>
    <cellStyle name="Normal 5 2 5 2 7 3" xfId="24925"/>
    <cellStyle name="Normal 5 2 5 2 8" xfId="7291"/>
    <cellStyle name="Normal 5 2 5 2 8 2" xfId="20017"/>
    <cellStyle name="Normal 5 2 5 2 9" xfId="16037"/>
    <cellStyle name="Normal 5 2 5 2_Degree data" xfId="3857"/>
    <cellStyle name="Normal 5 2 5 3" xfId="362"/>
    <cellStyle name="Normal 5 2 5 3 2" xfId="2850"/>
    <cellStyle name="Normal 5 2 5 3 2 2" xfId="12140"/>
    <cellStyle name="Normal 5 2 5 3 2 2 2" xfId="22213"/>
    <cellStyle name="Normal 5 2 5 3 2 3" xfId="8481"/>
    <cellStyle name="Normal 5 2 5 3 2 4" xfId="17206"/>
    <cellStyle name="Normal 5 2 5 3 3" xfId="4619"/>
    <cellStyle name="Normal 5 2 5 3 3 2" xfId="13459"/>
    <cellStyle name="Normal 5 2 5 3 3 2 2" xfId="23710"/>
    <cellStyle name="Normal 5 2 5 3 3 3" xfId="9880"/>
    <cellStyle name="Normal 5 2 5 3 3 4" xfId="18703"/>
    <cellStyle name="Normal 5 2 5 3 4" xfId="1959"/>
    <cellStyle name="Normal 5 2 5 3 4 2" xfId="11326"/>
    <cellStyle name="Normal 5 2 5 3 4 3" xfId="21330"/>
    <cellStyle name="Normal 5 2 5 3 5" xfId="6077"/>
    <cellStyle name="Normal 5 2 5 3 5 2" xfId="14904"/>
    <cellStyle name="Normal 5 2 5 3 5 3" xfId="25155"/>
    <cellStyle name="Normal 5 2 5 3 6" xfId="7522"/>
    <cellStyle name="Normal 5 2 5 3 6 2" xfId="19812"/>
    <cellStyle name="Normal 5 2 5 3 7" xfId="16323"/>
    <cellStyle name="Normal 5 2 5 4" xfId="803"/>
    <cellStyle name="Normal 5 2 5 4 2" xfId="3290"/>
    <cellStyle name="Normal 5 2 5 4 2 2" xfId="12434"/>
    <cellStyle name="Normal 5 2 5 4 2 2 2" xfId="22653"/>
    <cellStyle name="Normal 5 2 5 4 2 3" xfId="8856"/>
    <cellStyle name="Normal 5 2 5 4 2 4" xfId="17646"/>
    <cellStyle name="Normal 5 2 5 4 3" xfId="4968"/>
    <cellStyle name="Normal 5 2 5 4 3 2" xfId="13807"/>
    <cellStyle name="Normal 5 2 5 4 3 2 2" xfId="24058"/>
    <cellStyle name="Normal 5 2 5 4 3 3" xfId="10228"/>
    <cellStyle name="Normal 5 2 5 4 3 4" xfId="19051"/>
    <cellStyle name="Normal 5 2 5 4 4" xfId="2399"/>
    <cellStyle name="Normal 5 2 5 4 4 2" xfId="11766"/>
    <cellStyle name="Normal 5 2 5 4 4 3" xfId="21770"/>
    <cellStyle name="Normal 5 2 5 4 5" xfId="6425"/>
    <cellStyle name="Normal 5 2 5 4 5 2" xfId="15252"/>
    <cellStyle name="Normal 5 2 5 4 5 3" xfId="25503"/>
    <cellStyle name="Normal 5 2 5 4 6" xfId="7871"/>
    <cellStyle name="Normal 5 2 5 4 6 2" xfId="20252"/>
    <cellStyle name="Normal 5 2 5 4 7" xfId="16763"/>
    <cellStyle name="Normal 5 2 5 5" xfId="1134"/>
    <cellStyle name="Normal 5 2 5 5 2" xfId="3565"/>
    <cellStyle name="Normal 5 2 5 5 2 2" xfId="12703"/>
    <cellStyle name="Normal 5 2 5 5 2 2 2" xfId="22922"/>
    <cellStyle name="Normal 5 2 5 5 2 3" xfId="9124"/>
    <cellStyle name="Normal 5 2 5 5 2 4" xfId="17915"/>
    <cellStyle name="Normal 5 2 5 5 3" xfId="5228"/>
    <cellStyle name="Normal 5 2 5 5 3 2" xfId="14067"/>
    <cellStyle name="Normal 5 2 5 5 3 2 2" xfId="24318"/>
    <cellStyle name="Normal 5 2 5 5 3 3" xfId="10488"/>
    <cellStyle name="Normal 5 2 5 5 3 4" xfId="19311"/>
    <cellStyle name="Normal 5 2 5 5 4" xfId="1844"/>
    <cellStyle name="Normal 5 2 5 5 4 2" xfId="11214"/>
    <cellStyle name="Normal 5 2 5 5 4 3" xfId="21218"/>
    <cellStyle name="Normal 5 2 5 5 5" xfId="6685"/>
    <cellStyle name="Normal 5 2 5 5 5 2" xfId="15512"/>
    <cellStyle name="Normal 5 2 5 5 5 3" xfId="25763"/>
    <cellStyle name="Normal 5 2 5 5 6" xfId="8131"/>
    <cellStyle name="Normal 5 2 5 5 6 2" xfId="20521"/>
    <cellStyle name="Normal 5 2 5 5 7" xfId="16211"/>
    <cellStyle name="Normal 5 2 5 6" xfId="2738"/>
    <cellStyle name="Normal 5 2 5 6 2" xfId="12057"/>
    <cellStyle name="Normal 5 2 5 6 2 2" xfId="22101"/>
    <cellStyle name="Normal 5 2 5 6 3" xfId="8410"/>
    <cellStyle name="Normal 5 2 5 6 4" xfId="17094"/>
    <cellStyle name="Normal 5 2 5 7" xfId="4184"/>
    <cellStyle name="Normal 5 2 5 7 2" xfId="13024"/>
    <cellStyle name="Normal 5 2 5 7 2 2" xfId="23275"/>
    <cellStyle name="Normal 5 2 5 7 3" xfId="9445"/>
    <cellStyle name="Normal 5 2 5 7 4" xfId="18268"/>
    <cellStyle name="Normal 5 2 5 8" xfId="1456"/>
    <cellStyle name="Normal 5 2 5 8 2" xfId="10835"/>
    <cellStyle name="Normal 5 2 5 8 3" xfId="20839"/>
    <cellStyle name="Normal 5 2 5 9" xfId="5642"/>
    <cellStyle name="Normal 5 2 5 9 2" xfId="14469"/>
    <cellStyle name="Normal 5 2 5 9 3" xfId="24720"/>
    <cellStyle name="Normal 5 2 5_Degree data" xfId="3882"/>
    <cellStyle name="Normal 5 2 6" xfId="303"/>
    <cellStyle name="Normal 5 2 6 10" xfId="16092"/>
    <cellStyle name="Normal 5 2 6 2" xfId="622"/>
    <cellStyle name="Normal 5 2 6 2 2" xfId="3110"/>
    <cellStyle name="Normal 5 2 6 2 2 2" xfId="12255"/>
    <cellStyle name="Normal 5 2 6 2 2 2 2" xfId="22473"/>
    <cellStyle name="Normal 5 2 6 2 2 3" xfId="8677"/>
    <cellStyle name="Normal 5 2 6 2 2 4" xfId="17466"/>
    <cellStyle name="Normal 5 2 6 2 3" xfId="4621"/>
    <cellStyle name="Normal 5 2 6 2 3 2" xfId="13461"/>
    <cellStyle name="Normal 5 2 6 2 3 2 2" xfId="23712"/>
    <cellStyle name="Normal 5 2 6 2 3 3" xfId="9882"/>
    <cellStyle name="Normal 5 2 6 2 3 4" xfId="18705"/>
    <cellStyle name="Normal 5 2 6 2 4" xfId="2219"/>
    <cellStyle name="Normal 5 2 6 2 4 2" xfId="11586"/>
    <cellStyle name="Normal 5 2 6 2 4 3" xfId="21590"/>
    <cellStyle name="Normal 5 2 6 2 5" xfId="6079"/>
    <cellStyle name="Normal 5 2 6 2 5 2" xfId="14906"/>
    <cellStyle name="Normal 5 2 6 2 5 3" xfId="25157"/>
    <cellStyle name="Normal 5 2 6 2 6" xfId="7524"/>
    <cellStyle name="Normal 5 2 6 2 6 2" xfId="20072"/>
    <cellStyle name="Normal 5 2 6 2 7" xfId="16583"/>
    <cellStyle name="Normal 5 2 6 3" xfId="805"/>
    <cellStyle name="Normal 5 2 6 3 2" xfId="3292"/>
    <cellStyle name="Normal 5 2 6 3 2 2" xfId="12436"/>
    <cellStyle name="Normal 5 2 6 3 2 2 2" xfId="22655"/>
    <cellStyle name="Normal 5 2 6 3 2 3" xfId="8858"/>
    <cellStyle name="Normal 5 2 6 3 2 4" xfId="17648"/>
    <cellStyle name="Normal 5 2 6 3 3" xfId="4970"/>
    <cellStyle name="Normal 5 2 6 3 3 2" xfId="13809"/>
    <cellStyle name="Normal 5 2 6 3 3 2 2" xfId="24060"/>
    <cellStyle name="Normal 5 2 6 3 3 3" xfId="10230"/>
    <cellStyle name="Normal 5 2 6 3 3 4" xfId="19053"/>
    <cellStyle name="Normal 5 2 6 3 4" xfId="2401"/>
    <cellStyle name="Normal 5 2 6 3 4 2" xfId="11768"/>
    <cellStyle name="Normal 5 2 6 3 4 3" xfId="21772"/>
    <cellStyle name="Normal 5 2 6 3 5" xfId="6427"/>
    <cellStyle name="Normal 5 2 6 3 5 2" xfId="15254"/>
    <cellStyle name="Normal 5 2 6 3 5 3" xfId="25505"/>
    <cellStyle name="Normal 5 2 6 3 6" xfId="7873"/>
    <cellStyle name="Normal 5 2 6 3 6 2" xfId="20254"/>
    <cellStyle name="Normal 5 2 6 3 7" xfId="16765"/>
    <cellStyle name="Normal 5 2 6 4" xfId="1394"/>
    <cellStyle name="Normal 5 2 6 4 2" xfId="3825"/>
    <cellStyle name="Normal 5 2 6 4 2 2" xfId="12963"/>
    <cellStyle name="Normal 5 2 6 4 2 2 2" xfId="23182"/>
    <cellStyle name="Normal 5 2 6 4 2 3" xfId="9384"/>
    <cellStyle name="Normal 5 2 6 4 2 4" xfId="18175"/>
    <cellStyle name="Normal 5 2 6 4 3" xfId="5488"/>
    <cellStyle name="Normal 5 2 6 4 3 2" xfId="14327"/>
    <cellStyle name="Normal 5 2 6 4 3 2 2" xfId="24578"/>
    <cellStyle name="Normal 5 2 6 4 3 3" xfId="10748"/>
    <cellStyle name="Normal 5 2 6 4 3 4" xfId="19571"/>
    <cellStyle name="Normal 5 2 6 4 4" xfId="1900"/>
    <cellStyle name="Normal 5 2 6 4 4 2" xfId="11269"/>
    <cellStyle name="Normal 5 2 6 4 4 3" xfId="21273"/>
    <cellStyle name="Normal 5 2 6 4 5" xfId="6945"/>
    <cellStyle name="Normal 5 2 6 4 5 2" xfId="15772"/>
    <cellStyle name="Normal 5 2 6 4 5 3" xfId="26023"/>
    <cellStyle name="Normal 5 2 6 4 6" xfId="8391"/>
    <cellStyle name="Normal 5 2 6 4 6 2" xfId="20781"/>
    <cellStyle name="Normal 5 2 6 4 7" xfId="16266"/>
    <cellStyle name="Normal 5 2 6 5" xfId="2793"/>
    <cellStyle name="Normal 5 2 6 5 2" xfId="12112"/>
    <cellStyle name="Normal 5 2 6 5 2 2" xfId="22156"/>
    <cellStyle name="Normal 5 2 6 5 3" xfId="8400"/>
    <cellStyle name="Normal 5 2 6 5 4" xfId="17149"/>
    <cellStyle name="Normal 5 2 6 6" xfId="4444"/>
    <cellStyle name="Normal 5 2 6 6 2" xfId="13284"/>
    <cellStyle name="Normal 5 2 6 6 2 2" xfId="23535"/>
    <cellStyle name="Normal 5 2 6 6 3" xfId="9705"/>
    <cellStyle name="Normal 5 2 6 6 4" xfId="18528"/>
    <cellStyle name="Normal 5 2 6 7" xfId="1716"/>
    <cellStyle name="Normal 5 2 6 7 2" xfId="11095"/>
    <cellStyle name="Normal 5 2 6 7 3" xfId="21099"/>
    <cellStyle name="Normal 5 2 6 8" xfId="5902"/>
    <cellStyle name="Normal 5 2 6 8 2" xfId="14729"/>
    <cellStyle name="Normal 5 2 6 8 3" xfId="24980"/>
    <cellStyle name="Normal 5 2 6 9" xfId="7346"/>
    <cellStyle name="Normal 5 2 6 9 2" xfId="19755"/>
    <cellStyle name="Normal 5 2 6_Degree data" xfId="3928"/>
    <cellStyle name="Normal 5 2 7" xfId="462"/>
    <cellStyle name="Normal 5 2 7 2" xfId="806"/>
    <cellStyle name="Normal 5 2 7 2 2" xfId="3293"/>
    <cellStyle name="Normal 5 2 7 2 2 2" xfId="12437"/>
    <cellStyle name="Normal 5 2 7 2 2 2 2" xfId="22656"/>
    <cellStyle name="Normal 5 2 7 2 2 3" xfId="8859"/>
    <cellStyle name="Normal 5 2 7 2 2 4" xfId="17649"/>
    <cellStyle name="Normal 5 2 7 2 3" xfId="4622"/>
    <cellStyle name="Normal 5 2 7 2 3 2" xfId="13462"/>
    <cellStyle name="Normal 5 2 7 2 3 2 2" xfId="23713"/>
    <cellStyle name="Normal 5 2 7 2 3 3" xfId="9883"/>
    <cellStyle name="Normal 5 2 7 2 3 4" xfId="18706"/>
    <cellStyle name="Normal 5 2 7 2 4" xfId="2402"/>
    <cellStyle name="Normal 5 2 7 2 4 2" xfId="11769"/>
    <cellStyle name="Normal 5 2 7 2 4 3" xfId="21773"/>
    <cellStyle name="Normal 5 2 7 2 5" xfId="6080"/>
    <cellStyle name="Normal 5 2 7 2 5 2" xfId="14907"/>
    <cellStyle name="Normal 5 2 7 2 5 3" xfId="25158"/>
    <cellStyle name="Normal 5 2 7 2 6" xfId="7525"/>
    <cellStyle name="Normal 5 2 7 2 6 2" xfId="20255"/>
    <cellStyle name="Normal 5 2 7 2 7" xfId="16766"/>
    <cellStyle name="Normal 5 2 7 3" xfId="1234"/>
    <cellStyle name="Normal 5 2 7 3 2" xfId="3665"/>
    <cellStyle name="Normal 5 2 7 3 2 2" xfId="12803"/>
    <cellStyle name="Normal 5 2 7 3 2 2 2" xfId="23022"/>
    <cellStyle name="Normal 5 2 7 3 2 3" xfId="9224"/>
    <cellStyle name="Normal 5 2 7 3 2 4" xfId="18015"/>
    <cellStyle name="Normal 5 2 7 3 3" xfId="4971"/>
    <cellStyle name="Normal 5 2 7 3 3 2" xfId="13810"/>
    <cellStyle name="Normal 5 2 7 3 3 2 2" xfId="24061"/>
    <cellStyle name="Normal 5 2 7 3 3 3" xfId="10231"/>
    <cellStyle name="Normal 5 2 7 3 3 4" xfId="19054"/>
    <cellStyle name="Normal 5 2 7 3 4" xfId="2059"/>
    <cellStyle name="Normal 5 2 7 3 4 2" xfId="11426"/>
    <cellStyle name="Normal 5 2 7 3 4 3" xfId="21430"/>
    <cellStyle name="Normal 5 2 7 3 5" xfId="6428"/>
    <cellStyle name="Normal 5 2 7 3 5 2" xfId="15255"/>
    <cellStyle name="Normal 5 2 7 3 5 3" xfId="25506"/>
    <cellStyle name="Normal 5 2 7 3 6" xfId="7874"/>
    <cellStyle name="Normal 5 2 7 3 6 2" xfId="20621"/>
    <cellStyle name="Normal 5 2 7 3 7" xfId="16423"/>
    <cellStyle name="Normal 5 2 7 4" xfId="2950"/>
    <cellStyle name="Normal 5 2 7 4 2" xfId="5328"/>
    <cellStyle name="Normal 5 2 7 4 2 2" xfId="14167"/>
    <cellStyle name="Normal 5 2 7 4 2 2 2" xfId="24418"/>
    <cellStyle name="Normal 5 2 7 4 2 3" xfId="10588"/>
    <cellStyle name="Normal 5 2 7 4 2 4" xfId="19411"/>
    <cellStyle name="Normal 5 2 7 4 3" xfId="6785"/>
    <cellStyle name="Normal 5 2 7 4 3 2" xfId="15612"/>
    <cellStyle name="Normal 5 2 7 4 3 3" xfId="25863"/>
    <cellStyle name="Normal 5 2 7 4 4" xfId="8231"/>
    <cellStyle name="Normal 5 2 7 4 4 2" xfId="22313"/>
    <cellStyle name="Normal 5 2 7 4 5" xfId="17306"/>
    <cellStyle name="Normal 5 2 7 5" xfId="4284"/>
    <cellStyle name="Normal 5 2 7 5 2" xfId="13124"/>
    <cellStyle name="Normal 5 2 7 5 2 2" xfId="23375"/>
    <cellStyle name="Normal 5 2 7 5 3" xfId="9545"/>
    <cellStyle name="Normal 5 2 7 5 4" xfId="18368"/>
    <cellStyle name="Normal 5 2 7 6" xfId="1556"/>
    <cellStyle name="Normal 5 2 7 6 2" xfId="10935"/>
    <cellStyle name="Normal 5 2 7 6 3" xfId="20939"/>
    <cellStyle name="Normal 5 2 7 7" xfId="5742"/>
    <cellStyle name="Normal 5 2 7 7 2" xfId="14569"/>
    <cellStyle name="Normal 5 2 7 7 3" xfId="24820"/>
    <cellStyle name="Normal 5 2 7 8" xfId="7186"/>
    <cellStyle name="Normal 5 2 7 8 2" xfId="19912"/>
    <cellStyle name="Normal 5 2 7 9" xfId="15932"/>
    <cellStyle name="Normal 5 2 7_Degree data" xfId="3830"/>
    <cellStyle name="Normal 5 2 8" xfId="1732"/>
    <cellStyle name="Normal 5 2 8 2" xfId="11108"/>
    <cellStyle name="Normal 5 2 8 2 2" xfId="21112"/>
    <cellStyle name="Normal 5 2 8 3" xfId="8451"/>
    <cellStyle name="Normal 5 2 8 4" xfId="16105"/>
    <cellStyle name="Normal 5 2 9" xfId="2630"/>
    <cellStyle name="Normal 5 2 9 2" xfId="11981"/>
    <cellStyle name="Normal 5 2 9 2 2" xfId="21995"/>
    <cellStyle name="Normal 5 2 9 3" xfId="8604"/>
    <cellStyle name="Normal 5 2 9 4" xfId="16988"/>
    <cellStyle name="Normal 5 3" xfId="105"/>
    <cellStyle name="Normal 5 3 10" xfId="4111"/>
    <cellStyle name="Normal 5 3 10 2" xfId="5571"/>
    <cellStyle name="Normal 5 3 10 2 2" xfId="14398"/>
    <cellStyle name="Normal 5 3 10 2 3" xfId="24649"/>
    <cellStyle name="Normal 5 3 10 3" xfId="7015"/>
    <cellStyle name="Normal 5 3 10 3 2" xfId="23202"/>
    <cellStyle name="Normal 5 3 10 4" xfId="18195"/>
    <cellStyle name="Normal 5 3 11" xfId="1405"/>
    <cellStyle name="Normal 5 3 11 2" xfId="10784"/>
    <cellStyle name="Normal 5 3 11 3" xfId="20788"/>
    <cellStyle name="Normal 5 3 12" xfId="5539"/>
    <cellStyle name="Normal 5 3 12 2" xfId="14368"/>
    <cellStyle name="Normal 5 3 12 3" xfId="24619"/>
    <cellStyle name="Normal 5 3 13" xfId="6985"/>
    <cellStyle name="Normal 5 3 13 2" xfId="19591"/>
    <cellStyle name="Normal 5 3 14" xfId="15781"/>
    <cellStyle name="Normal 5 3 2" xfId="163"/>
    <cellStyle name="Normal 5 3 2 10" xfId="1430"/>
    <cellStyle name="Normal 5 3 2 10 2" xfId="10809"/>
    <cellStyle name="Normal 5 3 2 10 3" xfId="20813"/>
    <cellStyle name="Normal 5 3 2 11" xfId="5616"/>
    <cellStyle name="Normal 5 3 2 11 2" xfId="14443"/>
    <cellStyle name="Normal 5 3 2 11 3" xfId="24694"/>
    <cellStyle name="Normal 5 3 2 12" xfId="7060"/>
    <cellStyle name="Normal 5 3 2 12 2" xfId="19626"/>
    <cellStyle name="Normal 5 3 2 13" xfId="15806"/>
    <cellStyle name="Normal 5 3 2 2" xfId="275"/>
    <cellStyle name="Normal 5 3 2 2 10" xfId="7117"/>
    <cellStyle name="Normal 5 3 2 2 10 2" xfId="19730"/>
    <cellStyle name="Normal 5 3 2 2 11" xfId="15863"/>
    <cellStyle name="Normal 5 3 2 2 2" xfId="597"/>
    <cellStyle name="Normal 5 3 2 2 2 2" xfId="810"/>
    <cellStyle name="Normal 5 3 2 2 2 2 2" xfId="3297"/>
    <cellStyle name="Normal 5 3 2 2 2 2 2 2" xfId="12441"/>
    <cellStyle name="Normal 5 3 2 2 2 2 2 2 2" xfId="22660"/>
    <cellStyle name="Normal 5 3 2 2 2 2 2 3" xfId="8863"/>
    <cellStyle name="Normal 5 3 2 2 2 2 2 4" xfId="17653"/>
    <cellStyle name="Normal 5 3 2 2 2 2 3" xfId="4626"/>
    <cellStyle name="Normal 5 3 2 2 2 2 3 2" xfId="13466"/>
    <cellStyle name="Normal 5 3 2 2 2 2 3 2 2" xfId="23717"/>
    <cellStyle name="Normal 5 3 2 2 2 2 3 3" xfId="9887"/>
    <cellStyle name="Normal 5 3 2 2 2 2 3 4" xfId="18710"/>
    <cellStyle name="Normal 5 3 2 2 2 2 4" xfId="2406"/>
    <cellStyle name="Normal 5 3 2 2 2 2 4 2" xfId="11773"/>
    <cellStyle name="Normal 5 3 2 2 2 2 4 3" xfId="21777"/>
    <cellStyle name="Normal 5 3 2 2 2 2 5" xfId="6084"/>
    <cellStyle name="Normal 5 3 2 2 2 2 5 2" xfId="14911"/>
    <cellStyle name="Normal 5 3 2 2 2 2 5 3" xfId="25162"/>
    <cellStyle name="Normal 5 3 2 2 2 2 6" xfId="7529"/>
    <cellStyle name="Normal 5 3 2 2 2 2 6 2" xfId="20259"/>
    <cellStyle name="Normal 5 3 2 2 2 2 7" xfId="16770"/>
    <cellStyle name="Normal 5 3 2 2 2 3" xfId="1369"/>
    <cellStyle name="Normal 5 3 2 2 2 3 2" xfId="3800"/>
    <cellStyle name="Normal 5 3 2 2 2 3 2 2" xfId="12938"/>
    <cellStyle name="Normal 5 3 2 2 2 3 2 2 2" xfId="23157"/>
    <cellStyle name="Normal 5 3 2 2 2 3 2 3" xfId="9359"/>
    <cellStyle name="Normal 5 3 2 2 2 3 2 4" xfId="18150"/>
    <cellStyle name="Normal 5 3 2 2 2 3 3" xfId="4975"/>
    <cellStyle name="Normal 5 3 2 2 2 3 3 2" xfId="13814"/>
    <cellStyle name="Normal 5 3 2 2 2 3 3 2 2" xfId="24065"/>
    <cellStyle name="Normal 5 3 2 2 2 3 3 3" xfId="10235"/>
    <cellStyle name="Normal 5 3 2 2 2 3 3 4" xfId="19058"/>
    <cellStyle name="Normal 5 3 2 2 2 3 4" xfId="2194"/>
    <cellStyle name="Normal 5 3 2 2 2 3 4 2" xfId="11561"/>
    <cellStyle name="Normal 5 3 2 2 2 3 4 3" xfId="21565"/>
    <cellStyle name="Normal 5 3 2 2 2 3 5" xfId="6432"/>
    <cellStyle name="Normal 5 3 2 2 2 3 5 2" xfId="15259"/>
    <cellStyle name="Normal 5 3 2 2 2 3 5 3" xfId="25510"/>
    <cellStyle name="Normal 5 3 2 2 2 3 6" xfId="7878"/>
    <cellStyle name="Normal 5 3 2 2 2 3 6 2" xfId="20756"/>
    <cellStyle name="Normal 5 3 2 2 2 3 7" xfId="16558"/>
    <cellStyle name="Normal 5 3 2 2 2 4" xfId="3085"/>
    <cellStyle name="Normal 5 3 2 2 2 4 2" xfId="5463"/>
    <cellStyle name="Normal 5 3 2 2 2 4 2 2" xfId="14302"/>
    <cellStyle name="Normal 5 3 2 2 2 4 2 2 2" xfId="24553"/>
    <cellStyle name="Normal 5 3 2 2 2 4 2 3" xfId="10723"/>
    <cellStyle name="Normal 5 3 2 2 2 4 2 4" xfId="19546"/>
    <cellStyle name="Normal 5 3 2 2 2 4 3" xfId="6920"/>
    <cellStyle name="Normal 5 3 2 2 2 4 3 2" xfId="15747"/>
    <cellStyle name="Normal 5 3 2 2 2 4 3 3" xfId="25998"/>
    <cellStyle name="Normal 5 3 2 2 2 4 4" xfId="8366"/>
    <cellStyle name="Normal 5 3 2 2 2 4 4 2" xfId="22448"/>
    <cellStyle name="Normal 5 3 2 2 2 4 5" xfId="17441"/>
    <cellStyle name="Normal 5 3 2 2 2 5" xfId="4419"/>
    <cellStyle name="Normal 5 3 2 2 2 5 2" xfId="13259"/>
    <cellStyle name="Normal 5 3 2 2 2 5 2 2" xfId="23510"/>
    <cellStyle name="Normal 5 3 2 2 2 5 3" xfId="9680"/>
    <cellStyle name="Normal 5 3 2 2 2 5 4" xfId="18503"/>
    <cellStyle name="Normal 5 3 2 2 2 6" xfId="1691"/>
    <cellStyle name="Normal 5 3 2 2 2 6 2" xfId="11070"/>
    <cellStyle name="Normal 5 3 2 2 2 6 3" xfId="21074"/>
    <cellStyle name="Normal 5 3 2 2 2 7" xfId="5877"/>
    <cellStyle name="Normal 5 3 2 2 2 7 2" xfId="14704"/>
    <cellStyle name="Normal 5 3 2 2 2 7 3" xfId="24955"/>
    <cellStyle name="Normal 5 3 2 2 2 8" xfId="7321"/>
    <cellStyle name="Normal 5 3 2 2 2 8 2" xfId="20047"/>
    <cellStyle name="Normal 5 3 2 2 2 9" xfId="16067"/>
    <cellStyle name="Normal 5 3 2 2 2_Degree data" xfId="3880"/>
    <cellStyle name="Normal 5 3 2 2 3" xfId="393"/>
    <cellStyle name="Normal 5 3 2 2 3 2" xfId="2881"/>
    <cellStyle name="Normal 5 3 2 2 3 2 2" xfId="12171"/>
    <cellStyle name="Normal 5 3 2 2 3 2 2 2" xfId="22244"/>
    <cellStyle name="Normal 5 3 2 2 3 2 3" xfId="8639"/>
    <cellStyle name="Normal 5 3 2 2 3 2 4" xfId="17237"/>
    <cellStyle name="Normal 5 3 2 2 3 3" xfId="4625"/>
    <cellStyle name="Normal 5 3 2 2 3 3 2" xfId="13465"/>
    <cellStyle name="Normal 5 3 2 2 3 3 2 2" xfId="23716"/>
    <cellStyle name="Normal 5 3 2 2 3 3 3" xfId="9886"/>
    <cellStyle name="Normal 5 3 2 2 3 3 4" xfId="18709"/>
    <cellStyle name="Normal 5 3 2 2 3 4" xfId="1990"/>
    <cellStyle name="Normal 5 3 2 2 3 4 2" xfId="11357"/>
    <cellStyle name="Normal 5 3 2 2 3 4 3" xfId="21361"/>
    <cellStyle name="Normal 5 3 2 2 3 5" xfId="6083"/>
    <cellStyle name="Normal 5 3 2 2 3 5 2" xfId="14910"/>
    <cellStyle name="Normal 5 3 2 2 3 5 3" xfId="25161"/>
    <cellStyle name="Normal 5 3 2 2 3 6" xfId="7528"/>
    <cellStyle name="Normal 5 3 2 2 3 6 2" xfId="19843"/>
    <cellStyle name="Normal 5 3 2 2 3 7" xfId="16354"/>
    <cellStyle name="Normal 5 3 2 2 4" xfId="809"/>
    <cellStyle name="Normal 5 3 2 2 4 2" xfId="3296"/>
    <cellStyle name="Normal 5 3 2 2 4 2 2" xfId="12440"/>
    <cellStyle name="Normal 5 3 2 2 4 2 2 2" xfId="22659"/>
    <cellStyle name="Normal 5 3 2 2 4 2 3" xfId="8862"/>
    <cellStyle name="Normal 5 3 2 2 4 2 4" xfId="17652"/>
    <cellStyle name="Normal 5 3 2 2 4 3" xfId="4974"/>
    <cellStyle name="Normal 5 3 2 2 4 3 2" xfId="13813"/>
    <cellStyle name="Normal 5 3 2 2 4 3 2 2" xfId="24064"/>
    <cellStyle name="Normal 5 3 2 2 4 3 3" xfId="10234"/>
    <cellStyle name="Normal 5 3 2 2 4 3 4" xfId="19057"/>
    <cellStyle name="Normal 5 3 2 2 4 4" xfId="2405"/>
    <cellStyle name="Normal 5 3 2 2 4 4 2" xfId="11772"/>
    <cellStyle name="Normal 5 3 2 2 4 4 3" xfId="21776"/>
    <cellStyle name="Normal 5 3 2 2 4 5" xfId="6431"/>
    <cellStyle name="Normal 5 3 2 2 4 5 2" xfId="15258"/>
    <cellStyle name="Normal 5 3 2 2 4 5 3" xfId="25509"/>
    <cellStyle name="Normal 5 3 2 2 4 6" xfId="7877"/>
    <cellStyle name="Normal 5 3 2 2 4 6 2" xfId="20258"/>
    <cellStyle name="Normal 5 3 2 2 4 7" xfId="16769"/>
    <cellStyle name="Normal 5 3 2 2 5" xfId="1165"/>
    <cellStyle name="Normal 5 3 2 2 5 2" xfId="3596"/>
    <cellStyle name="Normal 5 3 2 2 5 2 2" xfId="12734"/>
    <cellStyle name="Normal 5 3 2 2 5 2 2 2" xfId="22953"/>
    <cellStyle name="Normal 5 3 2 2 5 2 3" xfId="9155"/>
    <cellStyle name="Normal 5 3 2 2 5 2 4" xfId="17946"/>
    <cellStyle name="Normal 5 3 2 2 5 3" xfId="5259"/>
    <cellStyle name="Normal 5 3 2 2 5 3 2" xfId="14098"/>
    <cellStyle name="Normal 5 3 2 2 5 3 2 2" xfId="24349"/>
    <cellStyle name="Normal 5 3 2 2 5 3 3" xfId="10519"/>
    <cellStyle name="Normal 5 3 2 2 5 3 4" xfId="19342"/>
    <cellStyle name="Normal 5 3 2 2 5 4" xfId="1874"/>
    <cellStyle name="Normal 5 3 2 2 5 4 2" xfId="11244"/>
    <cellStyle name="Normal 5 3 2 2 5 4 3" xfId="21248"/>
    <cellStyle name="Normal 5 3 2 2 5 5" xfId="6716"/>
    <cellStyle name="Normal 5 3 2 2 5 5 2" xfId="15543"/>
    <cellStyle name="Normal 5 3 2 2 5 5 3" xfId="25794"/>
    <cellStyle name="Normal 5 3 2 2 5 6" xfId="8162"/>
    <cellStyle name="Normal 5 3 2 2 5 6 2" xfId="20552"/>
    <cellStyle name="Normal 5 3 2 2 5 7" xfId="16241"/>
    <cellStyle name="Normal 5 3 2 2 6" xfId="2768"/>
    <cellStyle name="Normal 5 3 2 2 6 2" xfId="12087"/>
    <cellStyle name="Normal 5 3 2 2 6 2 2" xfId="22131"/>
    <cellStyle name="Normal 5 3 2 2 6 3" xfId="6954"/>
    <cellStyle name="Normal 5 3 2 2 6 4" xfId="17124"/>
    <cellStyle name="Normal 5 3 2 2 7" xfId="4215"/>
    <cellStyle name="Normal 5 3 2 2 7 2" xfId="13055"/>
    <cellStyle name="Normal 5 3 2 2 7 2 2" xfId="23306"/>
    <cellStyle name="Normal 5 3 2 2 7 3" xfId="9476"/>
    <cellStyle name="Normal 5 3 2 2 7 4" xfId="18299"/>
    <cellStyle name="Normal 5 3 2 2 8" xfId="1487"/>
    <cellStyle name="Normal 5 3 2 2 8 2" xfId="10866"/>
    <cellStyle name="Normal 5 3 2 2 8 3" xfId="20870"/>
    <cellStyle name="Normal 5 3 2 2 9" xfId="5673"/>
    <cellStyle name="Normal 5 3 2 2 9 2" xfId="14500"/>
    <cellStyle name="Normal 5 3 2 2 9 3" xfId="24751"/>
    <cellStyle name="Normal 5 3 2 2_Degree data" xfId="3915"/>
    <cellStyle name="Normal 5 3 2 3" xfId="229"/>
    <cellStyle name="Normal 5 3 2 3 10" xfId="16024"/>
    <cellStyle name="Normal 5 3 2 3 2" xfId="554"/>
    <cellStyle name="Normal 5 3 2 3 2 2" xfId="3042"/>
    <cellStyle name="Normal 5 3 2 3 2 2 2" xfId="12232"/>
    <cellStyle name="Normal 5 3 2 3 2 2 2 2" xfId="22405"/>
    <cellStyle name="Normal 5 3 2 3 2 2 3" xfId="8520"/>
    <cellStyle name="Normal 5 3 2 3 2 2 4" xfId="17398"/>
    <cellStyle name="Normal 5 3 2 3 2 3" xfId="4627"/>
    <cellStyle name="Normal 5 3 2 3 2 3 2" xfId="13467"/>
    <cellStyle name="Normal 5 3 2 3 2 3 2 2" xfId="23718"/>
    <cellStyle name="Normal 5 3 2 3 2 3 3" xfId="9888"/>
    <cellStyle name="Normal 5 3 2 3 2 3 4" xfId="18711"/>
    <cellStyle name="Normal 5 3 2 3 2 4" xfId="2151"/>
    <cellStyle name="Normal 5 3 2 3 2 4 2" xfId="11518"/>
    <cellStyle name="Normal 5 3 2 3 2 4 3" xfId="21522"/>
    <cellStyle name="Normal 5 3 2 3 2 5" xfId="6085"/>
    <cellStyle name="Normal 5 3 2 3 2 5 2" xfId="14912"/>
    <cellStyle name="Normal 5 3 2 3 2 5 3" xfId="25163"/>
    <cellStyle name="Normal 5 3 2 3 2 6" xfId="7530"/>
    <cellStyle name="Normal 5 3 2 3 2 6 2" xfId="20004"/>
    <cellStyle name="Normal 5 3 2 3 2 7" xfId="16515"/>
    <cellStyle name="Normal 5 3 2 3 3" xfId="811"/>
    <cellStyle name="Normal 5 3 2 3 3 2" xfId="3298"/>
    <cellStyle name="Normal 5 3 2 3 3 2 2" xfId="12442"/>
    <cellStyle name="Normal 5 3 2 3 3 2 2 2" xfId="22661"/>
    <cellStyle name="Normal 5 3 2 3 3 2 3" xfId="8864"/>
    <cellStyle name="Normal 5 3 2 3 3 2 4" xfId="17654"/>
    <cellStyle name="Normal 5 3 2 3 3 3" xfId="4976"/>
    <cellStyle name="Normal 5 3 2 3 3 3 2" xfId="13815"/>
    <cellStyle name="Normal 5 3 2 3 3 3 2 2" xfId="24066"/>
    <cellStyle name="Normal 5 3 2 3 3 3 3" xfId="10236"/>
    <cellStyle name="Normal 5 3 2 3 3 3 4" xfId="19059"/>
    <cellStyle name="Normal 5 3 2 3 3 4" xfId="2407"/>
    <cellStyle name="Normal 5 3 2 3 3 4 2" xfId="11774"/>
    <cellStyle name="Normal 5 3 2 3 3 4 3" xfId="21778"/>
    <cellStyle name="Normal 5 3 2 3 3 5" xfId="6433"/>
    <cellStyle name="Normal 5 3 2 3 3 5 2" xfId="15260"/>
    <cellStyle name="Normal 5 3 2 3 3 5 3" xfId="25511"/>
    <cellStyle name="Normal 5 3 2 3 3 6" xfId="7879"/>
    <cellStyle name="Normal 5 3 2 3 3 6 2" xfId="20260"/>
    <cellStyle name="Normal 5 3 2 3 3 7" xfId="16771"/>
    <cellStyle name="Normal 5 3 2 3 4" xfId="1326"/>
    <cellStyle name="Normal 5 3 2 3 4 2" xfId="3757"/>
    <cellStyle name="Normal 5 3 2 3 4 2 2" xfId="12895"/>
    <cellStyle name="Normal 5 3 2 3 4 2 2 2" xfId="23114"/>
    <cellStyle name="Normal 5 3 2 3 4 2 3" xfId="9316"/>
    <cellStyle name="Normal 5 3 2 3 4 2 4" xfId="18107"/>
    <cellStyle name="Normal 5 3 2 3 4 3" xfId="5420"/>
    <cellStyle name="Normal 5 3 2 3 4 3 2" xfId="14259"/>
    <cellStyle name="Normal 5 3 2 3 4 3 2 2" xfId="24510"/>
    <cellStyle name="Normal 5 3 2 3 4 3 3" xfId="10680"/>
    <cellStyle name="Normal 5 3 2 3 4 3 4" xfId="19503"/>
    <cellStyle name="Normal 5 3 2 3 4 4" xfId="1831"/>
    <cellStyle name="Normal 5 3 2 3 4 4 2" xfId="11201"/>
    <cellStyle name="Normal 5 3 2 3 4 4 3" xfId="21205"/>
    <cellStyle name="Normal 5 3 2 3 4 5" xfId="6877"/>
    <cellStyle name="Normal 5 3 2 3 4 5 2" xfId="15704"/>
    <cellStyle name="Normal 5 3 2 3 4 5 3" xfId="25955"/>
    <cellStyle name="Normal 5 3 2 3 4 6" xfId="8323"/>
    <cellStyle name="Normal 5 3 2 3 4 6 2" xfId="20713"/>
    <cellStyle name="Normal 5 3 2 3 4 7" xfId="16198"/>
    <cellStyle name="Normal 5 3 2 3 5" xfId="2725"/>
    <cellStyle name="Normal 5 3 2 3 5 2" xfId="12044"/>
    <cellStyle name="Normal 5 3 2 3 5 2 2" xfId="22088"/>
    <cellStyle name="Normal 5 3 2 3 5 3" xfId="8505"/>
    <cellStyle name="Normal 5 3 2 3 5 4" xfId="17081"/>
    <cellStyle name="Normal 5 3 2 3 6" xfId="4376"/>
    <cellStyle name="Normal 5 3 2 3 6 2" xfId="13216"/>
    <cellStyle name="Normal 5 3 2 3 6 2 2" xfId="23467"/>
    <cellStyle name="Normal 5 3 2 3 6 3" xfId="9637"/>
    <cellStyle name="Normal 5 3 2 3 6 4" xfId="18460"/>
    <cellStyle name="Normal 5 3 2 3 7" xfId="1648"/>
    <cellStyle name="Normal 5 3 2 3 7 2" xfId="11027"/>
    <cellStyle name="Normal 5 3 2 3 7 3" xfId="21031"/>
    <cellStyle name="Normal 5 3 2 3 8" xfId="5834"/>
    <cellStyle name="Normal 5 3 2 3 8 2" xfId="14661"/>
    <cellStyle name="Normal 5 3 2 3 8 3" xfId="24912"/>
    <cellStyle name="Normal 5 3 2 3 9" xfId="7278"/>
    <cellStyle name="Normal 5 3 2 3 9 2" xfId="19687"/>
    <cellStyle name="Normal 5 3 2 3_Degree data" xfId="3874"/>
    <cellStyle name="Normal 5 3 2 4" xfId="493"/>
    <cellStyle name="Normal 5 3 2 4 2" xfId="812"/>
    <cellStyle name="Normal 5 3 2 4 2 2" xfId="3299"/>
    <cellStyle name="Normal 5 3 2 4 2 2 2" xfId="12443"/>
    <cellStyle name="Normal 5 3 2 4 2 2 2 2" xfId="22662"/>
    <cellStyle name="Normal 5 3 2 4 2 2 3" xfId="8865"/>
    <cellStyle name="Normal 5 3 2 4 2 2 4" xfId="17655"/>
    <cellStyle name="Normal 5 3 2 4 2 3" xfId="4628"/>
    <cellStyle name="Normal 5 3 2 4 2 3 2" xfId="13468"/>
    <cellStyle name="Normal 5 3 2 4 2 3 2 2" xfId="23719"/>
    <cellStyle name="Normal 5 3 2 4 2 3 3" xfId="9889"/>
    <cellStyle name="Normal 5 3 2 4 2 3 4" xfId="18712"/>
    <cellStyle name="Normal 5 3 2 4 2 4" xfId="2408"/>
    <cellStyle name="Normal 5 3 2 4 2 4 2" xfId="11775"/>
    <cellStyle name="Normal 5 3 2 4 2 4 3" xfId="21779"/>
    <cellStyle name="Normal 5 3 2 4 2 5" xfId="6086"/>
    <cellStyle name="Normal 5 3 2 4 2 5 2" xfId="14913"/>
    <cellStyle name="Normal 5 3 2 4 2 5 3" xfId="25164"/>
    <cellStyle name="Normal 5 3 2 4 2 6" xfId="7531"/>
    <cellStyle name="Normal 5 3 2 4 2 6 2" xfId="20261"/>
    <cellStyle name="Normal 5 3 2 4 2 7" xfId="16772"/>
    <cellStyle name="Normal 5 3 2 4 3" xfId="1265"/>
    <cellStyle name="Normal 5 3 2 4 3 2" xfId="3696"/>
    <cellStyle name="Normal 5 3 2 4 3 2 2" xfId="12834"/>
    <cellStyle name="Normal 5 3 2 4 3 2 2 2" xfId="23053"/>
    <cellStyle name="Normal 5 3 2 4 3 2 3" xfId="9255"/>
    <cellStyle name="Normal 5 3 2 4 3 2 4" xfId="18046"/>
    <cellStyle name="Normal 5 3 2 4 3 3" xfId="4977"/>
    <cellStyle name="Normal 5 3 2 4 3 3 2" xfId="13816"/>
    <cellStyle name="Normal 5 3 2 4 3 3 2 2" xfId="24067"/>
    <cellStyle name="Normal 5 3 2 4 3 3 3" xfId="10237"/>
    <cellStyle name="Normal 5 3 2 4 3 3 4" xfId="19060"/>
    <cellStyle name="Normal 5 3 2 4 3 4" xfId="2090"/>
    <cellStyle name="Normal 5 3 2 4 3 4 2" xfId="11457"/>
    <cellStyle name="Normal 5 3 2 4 3 4 3" xfId="21461"/>
    <cellStyle name="Normal 5 3 2 4 3 5" xfId="6434"/>
    <cellStyle name="Normal 5 3 2 4 3 5 2" xfId="15261"/>
    <cellStyle name="Normal 5 3 2 4 3 5 3" xfId="25512"/>
    <cellStyle name="Normal 5 3 2 4 3 6" xfId="7880"/>
    <cellStyle name="Normal 5 3 2 4 3 6 2" xfId="20652"/>
    <cellStyle name="Normal 5 3 2 4 3 7" xfId="16454"/>
    <cellStyle name="Normal 5 3 2 4 4" xfId="2981"/>
    <cellStyle name="Normal 5 3 2 4 4 2" xfId="5359"/>
    <cellStyle name="Normal 5 3 2 4 4 2 2" xfId="14198"/>
    <cellStyle name="Normal 5 3 2 4 4 2 2 2" xfId="24449"/>
    <cellStyle name="Normal 5 3 2 4 4 2 3" xfId="10619"/>
    <cellStyle name="Normal 5 3 2 4 4 2 4" xfId="19442"/>
    <cellStyle name="Normal 5 3 2 4 4 3" xfId="6816"/>
    <cellStyle name="Normal 5 3 2 4 4 3 2" xfId="15643"/>
    <cellStyle name="Normal 5 3 2 4 4 3 3" xfId="25894"/>
    <cellStyle name="Normal 5 3 2 4 4 4" xfId="8262"/>
    <cellStyle name="Normal 5 3 2 4 4 4 2" xfId="22344"/>
    <cellStyle name="Normal 5 3 2 4 4 5" xfId="17337"/>
    <cellStyle name="Normal 5 3 2 4 5" xfId="4315"/>
    <cellStyle name="Normal 5 3 2 4 5 2" xfId="13155"/>
    <cellStyle name="Normal 5 3 2 4 5 2 2" xfId="23406"/>
    <cellStyle name="Normal 5 3 2 4 5 3" xfId="9576"/>
    <cellStyle name="Normal 5 3 2 4 5 4" xfId="18399"/>
    <cellStyle name="Normal 5 3 2 4 6" xfId="1587"/>
    <cellStyle name="Normal 5 3 2 4 6 2" xfId="10966"/>
    <cellStyle name="Normal 5 3 2 4 6 3" xfId="20970"/>
    <cellStyle name="Normal 5 3 2 4 7" xfId="5773"/>
    <cellStyle name="Normal 5 3 2 4 7 2" xfId="14600"/>
    <cellStyle name="Normal 5 3 2 4 7 3" xfId="24851"/>
    <cellStyle name="Normal 5 3 2 4 8" xfId="7217"/>
    <cellStyle name="Normal 5 3 2 4 8 2" xfId="19943"/>
    <cellStyle name="Normal 5 3 2 4 9" xfId="15963"/>
    <cellStyle name="Normal 5 3 2 4_Degree data" xfId="3892"/>
    <cellStyle name="Normal 5 3 2 5" xfId="336"/>
    <cellStyle name="Normal 5 3 2 5 2" xfId="2824"/>
    <cellStyle name="Normal 5 3 2 5 2 2" xfId="12126"/>
    <cellStyle name="Normal 5 3 2 5 2 2 2" xfId="22187"/>
    <cellStyle name="Normal 5 3 2 5 2 3" xfId="8406"/>
    <cellStyle name="Normal 5 3 2 5 2 4" xfId="17180"/>
    <cellStyle name="Normal 5 3 2 5 3" xfId="4624"/>
    <cellStyle name="Normal 5 3 2 5 3 2" xfId="13464"/>
    <cellStyle name="Normal 5 3 2 5 3 2 2" xfId="23715"/>
    <cellStyle name="Normal 5 3 2 5 3 3" xfId="9885"/>
    <cellStyle name="Normal 5 3 2 5 3 4" xfId="18708"/>
    <cellStyle name="Normal 5 3 2 5 4" xfId="1933"/>
    <cellStyle name="Normal 5 3 2 5 4 2" xfId="11300"/>
    <cellStyle name="Normal 5 3 2 5 4 3" xfId="21304"/>
    <cellStyle name="Normal 5 3 2 5 5" xfId="6082"/>
    <cellStyle name="Normal 5 3 2 5 5 2" xfId="14909"/>
    <cellStyle name="Normal 5 3 2 5 5 3" xfId="25160"/>
    <cellStyle name="Normal 5 3 2 5 6" xfId="7527"/>
    <cellStyle name="Normal 5 3 2 5 6 2" xfId="19786"/>
    <cellStyle name="Normal 5 3 2 5 7" xfId="16297"/>
    <cellStyle name="Normal 5 3 2 6" xfId="808"/>
    <cellStyle name="Normal 5 3 2 6 2" xfId="3295"/>
    <cellStyle name="Normal 5 3 2 6 2 2" xfId="12439"/>
    <cellStyle name="Normal 5 3 2 6 2 2 2" xfId="22658"/>
    <cellStyle name="Normal 5 3 2 6 2 3" xfId="8861"/>
    <cellStyle name="Normal 5 3 2 6 2 4" xfId="17651"/>
    <cellStyle name="Normal 5 3 2 6 3" xfId="4973"/>
    <cellStyle name="Normal 5 3 2 6 3 2" xfId="13812"/>
    <cellStyle name="Normal 5 3 2 6 3 2 2" xfId="24063"/>
    <cellStyle name="Normal 5 3 2 6 3 3" xfId="10233"/>
    <cellStyle name="Normal 5 3 2 6 3 4" xfId="19056"/>
    <cellStyle name="Normal 5 3 2 6 4" xfId="2404"/>
    <cellStyle name="Normal 5 3 2 6 4 2" xfId="11771"/>
    <cellStyle name="Normal 5 3 2 6 4 3" xfId="21775"/>
    <cellStyle name="Normal 5 3 2 6 5" xfId="6430"/>
    <cellStyle name="Normal 5 3 2 6 5 2" xfId="15257"/>
    <cellStyle name="Normal 5 3 2 6 5 3" xfId="25508"/>
    <cellStyle name="Normal 5 3 2 6 6" xfId="7876"/>
    <cellStyle name="Normal 5 3 2 6 6 2" xfId="20257"/>
    <cellStyle name="Normal 5 3 2 6 7" xfId="16768"/>
    <cellStyle name="Normal 5 3 2 7" xfId="1108"/>
    <cellStyle name="Normal 5 3 2 7 2" xfId="3539"/>
    <cellStyle name="Normal 5 3 2 7 2 2" xfId="12677"/>
    <cellStyle name="Normal 5 3 2 7 2 2 2" xfId="22896"/>
    <cellStyle name="Normal 5 3 2 7 2 3" xfId="9098"/>
    <cellStyle name="Normal 5 3 2 7 2 4" xfId="17889"/>
    <cellStyle name="Normal 5 3 2 7 3" xfId="5202"/>
    <cellStyle name="Normal 5 3 2 7 3 2" xfId="14041"/>
    <cellStyle name="Normal 5 3 2 7 3 2 2" xfId="24292"/>
    <cellStyle name="Normal 5 3 2 7 3 3" xfId="10462"/>
    <cellStyle name="Normal 5 3 2 7 3 4" xfId="19285"/>
    <cellStyle name="Normal 5 3 2 7 4" xfId="1767"/>
    <cellStyle name="Normal 5 3 2 7 4 2" xfId="11140"/>
    <cellStyle name="Normal 5 3 2 7 4 3" xfId="21144"/>
    <cellStyle name="Normal 5 3 2 7 5" xfId="6659"/>
    <cellStyle name="Normal 5 3 2 7 5 2" xfId="15486"/>
    <cellStyle name="Normal 5 3 2 7 5 3" xfId="25737"/>
    <cellStyle name="Normal 5 3 2 7 6" xfId="8105"/>
    <cellStyle name="Normal 5 3 2 7 6 2" xfId="20495"/>
    <cellStyle name="Normal 5 3 2 7 7" xfId="16137"/>
    <cellStyle name="Normal 5 3 2 8" xfId="2664"/>
    <cellStyle name="Normal 5 3 2 8 2" xfId="11987"/>
    <cellStyle name="Normal 5 3 2 8 2 2" xfId="22027"/>
    <cellStyle name="Normal 5 3 2 8 3" xfId="8427"/>
    <cellStyle name="Normal 5 3 2 8 4" xfId="17020"/>
    <cellStyle name="Normal 5 3 2 9" xfId="4156"/>
    <cellStyle name="Normal 5 3 2 9 2" xfId="12996"/>
    <cellStyle name="Normal 5 3 2 9 2 2" xfId="23247"/>
    <cellStyle name="Normal 5 3 2 9 3" xfId="9417"/>
    <cellStyle name="Normal 5 3 2 9 4" xfId="18240"/>
    <cellStyle name="Normal 5 3 2_Degree data" xfId="3878"/>
    <cellStyle name="Normal 5 3 3" xfId="210"/>
    <cellStyle name="Normal 5 3 3 10" xfId="7160"/>
    <cellStyle name="Normal 5 3 3 10 2" xfId="19669"/>
    <cellStyle name="Normal 5 3 3 11" xfId="15906"/>
    <cellStyle name="Normal 5 3 3 2" xfId="536"/>
    <cellStyle name="Normal 5 3 3 2 2" xfId="814"/>
    <cellStyle name="Normal 5 3 3 2 2 2" xfId="3301"/>
    <cellStyle name="Normal 5 3 3 2 2 2 2" xfId="12445"/>
    <cellStyle name="Normal 5 3 3 2 2 2 2 2" xfId="22664"/>
    <cellStyle name="Normal 5 3 3 2 2 2 3" xfId="8867"/>
    <cellStyle name="Normal 5 3 3 2 2 2 4" xfId="17657"/>
    <cellStyle name="Normal 5 3 3 2 2 3" xfId="4630"/>
    <cellStyle name="Normal 5 3 3 2 2 3 2" xfId="13470"/>
    <cellStyle name="Normal 5 3 3 2 2 3 2 2" xfId="23721"/>
    <cellStyle name="Normal 5 3 3 2 2 3 3" xfId="9891"/>
    <cellStyle name="Normal 5 3 3 2 2 3 4" xfId="18714"/>
    <cellStyle name="Normal 5 3 3 2 2 4" xfId="2410"/>
    <cellStyle name="Normal 5 3 3 2 2 4 2" xfId="11777"/>
    <cellStyle name="Normal 5 3 3 2 2 4 3" xfId="21781"/>
    <cellStyle name="Normal 5 3 3 2 2 5" xfId="6088"/>
    <cellStyle name="Normal 5 3 3 2 2 5 2" xfId="14915"/>
    <cellStyle name="Normal 5 3 3 2 2 5 3" xfId="25166"/>
    <cellStyle name="Normal 5 3 3 2 2 6" xfId="7533"/>
    <cellStyle name="Normal 5 3 3 2 2 6 2" xfId="20263"/>
    <cellStyle name="Normal 5 3 3 2 2 7" xfId="16774"/>
    <cellStyle name="Normal 5 3 3 2 3" xfId="1308"/>
    <cellStyle name="Normal 5 3 3 2 3 2" xfId="3739"/>
    <cellStyle name="Normal 5 3 3 2 3 2 2" xfId="12877"/>
    <cellStyle name="Normal 5 3 3 2 3 2 2 2" xfId="23096"/>
    <cellStyle name="Normal 5 3 3 2 3 2 3" xfId="9298"/>
    <cellStyle name="Normal 5 3 3 2 3 2 4" xfId="18089"/>
    <cellStyle name="Normal 5 3 3 2 3 3" xfId="4979"/>
    <cellStyle name="Normal 5 3 3 2 3 3 2" xfId="13818"/>
    <cellStyle name="Normal 5 3 3 2 3 3 2 2" xfId="24069"/>
    <cellStyle name="Normal 5 3 3 2 3 3 3" xfId="10239"/>
    <cellStyle name="Normal 5 3 3 2 3 3 4" xfId="19062"/>
    <cellStyle name="Normal 5 3 3 2 3 4" xfId="2133"/>
    <cellStyle name="Normal 5 3 3 2 3 4 2" xfId="11500"/>
    <cellStyle name="Normal 5 3 3 2 3 4 3" xfId="21504"/>
    <cellStyle name="Normal 5 3 3 2 3 5" xfId="6436"/>
    <cellStyle name="Normal 5 3 3 2 3 5 2" xfId="15263"/>
    <cellStyle name="Normal 5 3 3 2 3 5 3" xfId="25514"/>
    <cellStyle name="Normal 5 3 3 2 3 6" xfId="7882"/>
    <cellStyle name="Normal 5 3 3 2 3 6 2" xfId="20695"/>
    <cellStyle name="Normal 5 3 3 2 3 7" xfId="16497"/>
    <cellStyle name="Normal 5 3 3 2 4" xfId="3024"/>
    <cellStyle name="Normal 5 3 3 2 4 2" xfId="5402"/>
    <cellStyle name="Normal 5 3 3 2 4 2 2" xfId="14241"/>
    <cellStyle name="Normal 5 3 3 2 4 2 2 2" xfId="24492"/>
    <cellStyle name="Normal 5 3 3 2 4 2 3" xfId="10662"/>
    <cellStyle name="Normal 5 3 3 2 4 2 4" xfId="19485"/>
    <cellStyle name="Normal 5 3 3 2 4 3" xfId="6859"/>
    <cellStyle name="Normal 5 3 3 2 4 3 2" xfId="15686"/>
    <cellStyle name="Normal 5 3 3 2 4 3 3" xfId="25937"/>
    <cellStyle name="Normal 5 3 3 2 4 4" xfId="8305"/>
    <cellStyle name="Normal 5 3 3 2 4 4 2" xfId="22387"/>
    <cellStyle name="Normal 5 3 3 2 4 5" xfId="17380"/>
    <cellStyle name="Normal 5 3 3 2 5" xfId="4358"/>
    <cellStyle name="Normal 5 3 3 2 5 2" xfId="13198"/>
    <cellStyle name="Normal 5 3 3 2 5 2 2" xfId="23449"/>
    <cellStyle name="Normal 5 3 3 2 5 3" xfId="9619"/>
    <cellStyle name="Normal 5 3 3 2 5 4" xfId="18442"/>
    <cellStyle name="Normal 5 3 3 2 6" xfId="1630"/>
    <cellStyle name="Normal 5 3 3 2 6 2" xfId="11009"/>
    <cellStyle name="Normal 5 3 3 2 6 3" xfId="21013"/>
    <cellStyle name="Normal 5 3 3 2 7" xfId="5816"/>
    <cellStyle name="Normal 5 3 3 2 7 2" xfId="14643"/>
    <cellStyle name="Normal 5 3 3 2 7 3" xfId="24894"/>
    <cellStyle name="Normal 5 3 3 2 8" xfId="7260"/>
    <cellStyle name="Normal 5 3 3 2 8 2" xfId="19986"/>
    <cellStyle name="Normal 5 3 3 2 9" xfId="16006"/>
    <cellStyle name="Normal 5 3 3 2_Degree data" xfId="3836"/>
    <cellStyle name="Normal 5 3 3 3" xfId="436"/>
    <cellStyle name="Normal 5 3 3 3 2" xfId="2924"/>
    <cellStyle name="Normal 5 3 3 3 2 2" xfId="12214"/>
    <cellStyle name="Normal 5 3 3 3 2 2 2" xfId="22287"/>
    <cellStyle name="Normal 5 3 3 3 2 3" xfId="8525"/>
    <cellStyle name="Normal 5 3 3 3 2 4" xfId="17280"/>
    <cellStyle name="Normal 5 3 3 3 3" xfId="4629"/>
    <cellStyle name="Normal 5 3 3 3 3 2" xfId="13469"/>
    <cellStyle name="Normal 5 3 3 3 3 2 2" xfId="23720"/>
    <cellStyle name="Normal 5 3 3 3 3 3" xfId="9890"/>
    <cellStyle name="Normal 5 3 3 3 3 4" xfId="18713"/>
    <cellStyle name="Normal 5 3 3 3 4" xfId="2033"/>
    <cellStyle name="Normal 5 3 3 3 4 2" xfId="11400"/>
    <cellStyle name="Normal 5 3 3 3 4 3" xfId="21404"/>
    <cellStyle name="Normal 5 3 3 3 5" xfId="6087"/>
    <cellStyle name="Normal 5 3 3 3 5 2" xfId="14914"/>
    <cellStyle name="Normal 5 3 3 3 5 3" xfId="25165"/>
    <cellStyle name="Normal 5 3 3 3 6" xfId="7532"/>
    <cellStyle name="Normal 5 3 3 3 6 2" xfId="19886"/>
    <cellStyle name="Normal 5 3 3 3 7" xfId="16397"/>
    <cellStyle name="Normal 5 3 3 4" xfId="813"/>
    <cellStyle name="Normal 5 3 3 4 2" xfId="3300"/>
    <cellStyle name="Normal 5 3 3 4 2 2" xfId="12444"/>
    <cellStyle name="Normal 5 3 3 4 2 2 2" xfId="22663"/>
    <cellStyle name="Normal 5 3 3 4 2 3" xfId="8866"/>
    <cellStyle name="Normal 5 3 3 4 2 4" xfId="17656"/>
    <cellStyle name="Normal 5 3 3 4 3" xfId="4978"/>
    <cellStyle name="Normal 5 3 3 4 3 2" xfId="13817"/>
    <cellStyle name="Normal 5 3 3 4 3 2 2" xfId="24068"/>
    <cellStyle name="Normal 5 3 3 4 3 3" xfId="10238"/>
    <cellStyle name="Normal 5 3 3 4 3 4" xfId="19061"/>
    <cellStyle name="Normal 5 3 3 4 4" xfId="2409"/>
    <cellStyle name="Normal 5 3 3 4 4 2" xfId="11776"/>
    <cellStyle name="Normal 5 3 3 4 4 3" xfId="21780"/>
    <cellStyle name="Normal 5 3 3 4 5" xfId="6435"/>
    <cellStyle name="Normal 5 3 3 4 5 2" xfId="15262"/>
    <cellStyle name="Normal 5 3 3 4 5 3" xfId="25513"/>
    <cellStyle name="Normal 5 3 3 4 6" xfId="7881"/>
    <cellStyle name="Normal 5 3 3 4 6 2" xfId="20262"/>
    <cellStyle name="Normal 5 3 3 4 7" xfId="16773"/>
    <cellStyle name="Normal 5 3 3 5" xfId="1208"/>
    <cellStyle name="Normal 5 3 3 5 2" xfId="3639"/>
    <cellStyle name="Normal 5 3 3 5 2 2" xfId="12777"/>
    <cellStyle name="Normal 5 3 3 5 2 2 2" xfId="22996"/>
    <cellStyle name="Normal 5 3 3 5 2 3" xfId="9198"/>
    <cellStyle name="Normal 5 3 3 5 2 4" xfId="17989"/>
    <cellStyle name="Normal 5 3 3 5 3" xfId="5302"/>
    <cellStyle name="Normal 5 3 3 5 3 2" xfId="14141"/>
    <cellStyle name="Normal 5 3 3 5 3 2 2" xfId="24392"/>
    <cellStyle name="Normal 5 3 3 5 3 3" xfId="10562"/>
    <cellStyle name="Normal 5 3 3 5 3 4" xfId="19385"/>
    <cellStyle name="Normal 5 3 3 5 4" xfId="1813"/>
    <cellStyle name="Normal 5 3 3 5 4 2" xfId="11183"/>
    <cellStyle name="Normal 5 3 3 5 4 3" xfId="21187"/>
    <cellStyle name="Normal 5 3 3 5 5" xfId="6759"/>
    <cellStyle name="Normal 5 3 3 5 5 2" xfId="15586"/>
    <cellStyle name="Normal 5 3 3 5 5 3" xfId="25837"/>
    <cellStyle name="Normal 5 3 3 5 6" xfId="8205"/>
    <cellStyle name="Normal 5 3 3 5 6 2" xfId="20595"/>
    <cellStyle name="Normal 5 3 3 5 7" xfId="16180"/>
    <cellStyle name="Normal 5 3 3 6" xfId="2707"/>
    <cellStyle name="Normal 5 3 3 6 2" xfId="12026"/>
    <cellStyle name="Normal 5 3 3 6 2 2" xfId="22070"/>
    <cellStyle name="Normal 5 3 3 6 3" xfId="8568"/>
    <cellStyle name="Normal 5 3 3 6 4" xfId="17063"/>
    <cellStyle name="Normal 5 3 3 7" xfId="4258"/>
    <cellStyle name="Normal 5 3 3 7 2" xfId="13098"/>
    <cellStyle name="Normal 5 3 3 7 2 2" xfId="23349"/>
    <cellStyle name="Normal 5 3 3 7 3" xfId="9519"/>
    <cellStyle name="Normal 5 3 3 7 4" xfId="18342"/>
    <cellStyle name="Normal 5 3 3 8" xfId="1530"/>
    <cellStyle name="Normal 5 3 3 8 2" xfId="10909"/>
    <cellStyle name="Normal 5 3 3 8 3" xfId="20913"/>
    <cellStyle name="Normal 5 3 3 9" xfId="5716"/>
    <cellStyle name="Normal 5 3 3 9 2" xfId="14543"/>
    <cellStyle name="Normal 5 3 3 9 3" xfId="24794"/>
    <cellStyle name="Normal 5 3 3_Degree data" xfId="3856"/>
    <cellStyle name="Normal 5 3 4" xfId="240"/>
    <cellStyle name="Normal 5 3 4 10" xfId="7082"/>
    <cellStyle name="Normal 5 3 4 10 2" xfId="19696"/>
    <cellStyle name="Normal 5 3 4 11" xfId="15828"/>
    <cellStyle name="Normal 5 3 4 2" xfId="563"/>
    <cellStyle name="Normal 5 3 4 2 2" xfId="816"/>
    <cellStyle name="Normal 5 3 4 2 2 2" xfId="3303"/>
    <cellStyle name="Normal 5 3 4 2 2 2 2" xfId="12447"/>
    <cellStyle name="Normal 5 3 4 2 2 2 2 2" xfId="22666"/>
    <cellStyle name="Normal 5 3 4 2 2 2 3" xfId="8869"/>
    <cellStyle name="Normal 5 3 4 2 2 2 4" xfId="17659"/>
    <cellStyle name="Normal 5 3 4 2 2 3" xfId="4632"/>
    <cellStyle name="Normal 5 3 4 2 2 3 2" xfId="13472"/>
    <cellStyle name="Normal 5 3 4 2 2 3 2 2" xfId="23723"/>
    <cellStyle name="Normal 5 3 4 2 2 3 3" xfId="9893"/>
    <cellStyle name="Normal 5 3 4 2 2 3 4" xfId="18716"/>
    <cellStyle name="Normal 5 3 4 2 2 4" xfId="2412"/>
    <cellStyle name="Normal 5 3 4 2 2 4 2" xfId="11779"/>
    <cellStyle name="Normal 5 3 4 2 2 4 3" xfId="21783"/>
    <cellStyle name="Normal 5 3 4 2 2 5" xfId="6090"/>
    <cellStyle name="Normal 5 3 4 2 2 5 2" xfId="14917"/>
    <cellStyle name="Normal 5 3 4 2 2 5 3" xfId="25168"/>
    <cellStyle name="Normal 5 3 4 2 2 6" xfId="7535"/>
    <cellStyle name="Normal 5 3 4 2 2 6 2" xfId="20265"/>
    <cellStyle name="Normal 5 3 4 2 2 7" xfId="16776"/>
    <cellStyle name="Normal 5 3 4 2 3" xfId="1335"/>
    <cellStyle name="Normal 5 3 4 2 3 2" xfId="3766"/>
    <cellStyle name="Normal 5 3 4 2 3 2 2" xfId="12904"/>
    <cellStyle name="Normal 5 3 4 2 3 2 2 2" xfId="23123"/>
    <cellStyle name="Normal 5 3 4 2 3 2 3" xfId="9325"/>
    <cellStyle name="Normal 5 3 4 2 3 2 4" xfId="18116"/>
    <cellStyle name="Normal 5 3 4 2 3 3" xfId="4981"/>
    <cellStyle name="Normal 5 3 4 2 3 3 2" xfId="13820"/>
    <cellStyle name="Normal 5 3 4 2 3 3 2 2" xfId="24071"/>
    <cellStyle name="Normal 5 3 4 2 3 3 3" xfId="10241"/>
    <cellStyle name="Normal 5 3 4 2 3 3 4" xfId="19064"/>
    <cellStyle name="Normal 5 3 4 2 3 4" xfId="2160"/>
    <cellStyle name="Normal 5 3 4 2 3 4 2" xfId="11527"/>
    <cellStyle name="Normal 5 3 4 2 3 4 3" xfId="21531"/>
    <cellStyle name="Normal 5 3 4 2 3 5" xfId="6438"/>
    <cellStyle name="Normal 5 3 4 2 3 5 2" xfId="15265"/>
    <cellStyle name="Normal 5 3 4 2 3 5 3" xfId="25516"/>
    <cellStyle name="Normal 5 3 4 2 3 6" xfId="7884"/>
    <cellStyle name="Normal 5 3 4 2 3 6 2" xfId="20722"/>
    <cellStyle name="Normal 5 3 4 2 3 7" xfId="16524"/>
    <cellStyle name="Normal 5 3 4 2 4" xfId="3051"/>
    <cellStyle name="Normal 5 3 4 2 4 2" xfId="5429"/>
    <cellStyle name="Normal 5 3 4 2 4 2 2" xfId="14268"/>
    <cellStyle name="Normal 5 3 4 2 4 2 2 2" xfId="24519"/>
    <cellStyle name="Normal 5 3 4 2 4 2 3" xfId="10689"/>
    <cellStyle name="Normal 5 3 4 2 4 2 4" xfId="19512"/>
    <cellStyle name="Normal 5 3 4 2 4 3" xfId="6886"/>
    <cellStyle name="Normal 5 3 4 2 4 3 2" xfId="15713"/>
    <cellStyle name="Normal 5 3 4 2 4 3 3" xfId="25964"/>
    <cellStyle name="Normal 5 3 4 2 4 4" xfId="8332"/>
    <cellStyle name="Normal 5 3 4 2 4 4 2" xfId="22414"/>
    <cellStyle name="Normal 5 3 4 2 4 5" xfId="17407"/>
    <cellStyle name="Normal 5 3 4 2 5" xfId="4385"/>
    <cellStyle name="Normal 5 3 4 2 5 2" xfId="13225"/>
    <cellStyle name="Normal 5 3 4 2 5 2 2" xfId="23476"/>
    <cellStyle name="Normal 5 3 4 2 5 3" xfId="9646"/>
    <cellStyle name="Normal 5 3 4 2 5 4" xfId="18469"/>
    <cellStyle name="Normal 5 3 4 2 6" xfId="1657"/>
    <cellStyle name="Normal 5 3 4 2 6 2" xfId="11036"/>
    <cellStyle name="Normal 5 3 4 2 6 3" xfId="21040"/>
    <cellStyle name="Normal 5 3 4 2 7" xfId="5843"/>
    <cellStyle name="Normal 5 3 4 2 7 2" xfId="14670"/>
    <cellStyle name="Normal 5 3 4 2 7 3" xfId="24921"/>
    <cellStyle name="Normal 5 3 4 2 8" xfId="7287"/>
    <cellStyle name="Normal 5 3 4 2 8 2" xfId="20013"/>
    <cellStyle name="Normal 5 3 4 2 9" xfId="16033"/>
    <cellStyle name="Normal 5 3 4 2_Degree data" xfId="3925"/>
    <cellStyle name="Normal 5 3 4 3" xfId="358"/>
    <cellStyle name="Normal 5 3 4 3 2" xfId="2846"/>
    <cellStyle name="Normal 5 3 4 3 2 2" xfId="12136"/>
    <cellStyle name="Normal 5 3 4 3 2 2 2" xfId="22209"/>
    <cellStyle name="Normal 5 3 4 3 2 3" xfId="8541"/>
    <cellStyle name="Normal 5 3 4 3 2 4" xfId="17202"/>
    <cellStyle name="Normal 5 3 4 3 3" xfId="4631"/>
    <cellStyle name="Normal 5 3 4 3 3 2" xfId="13471"/>
    <cellStyle name="Normal 5 3 4 3 3 2 2" xfId="23722"/>
    <cellStyle name="Normal 5 3 4 3 3 3" xfId="9892"/>
    <cellStyle name="Normal 5 3 4 3 3 4" xfId="18715"/>
    <cellStyle name="Normal 5 3 4 3 4" xfId="1955"/>
    <cellStyle name="Normal 5 3 4 3 4 2" xfId="11322"/>
    <cellStyle name="Normal 5 3 4 3 4 3" xfId="21326"/>
    <cellStyle name="Normal 5 3 4 3 5" xfId="6089"/>
    <cellStyle name="Normal 5 3 4 3 5 2" xfId="14916"/>
    <cellStyle name="Normal 5 3 4 3 5 3" xfId="25167"/>
    <cellStyle name="Normal 5 3 4 3 6" xfId="7534"/>
    <cellStyle name="Normal 5 3 4 3 6 2" xfId="19808"/>
    <cellStyle name="Normal 5 3 4 3 7" xfId="16319"/>
    <cellStyle name="Normal 5 3 4 4" xfId="815"/>
    <cellStyle name="Normal 5 3 4 4 2" xfId="3302"/>
    <cellStyle name="Normal 5 3 4 4 2 2" xfId="12446"/>
    <cellStyle name="Normal 5 3 4 4 2 2 2" xfId="22665"/>
    <cellStyle name="Normal 5 3 4 4 2 3" xfId="8868"/>
    <cellStyle name="Normal 5 3 4 4 2 4" xfId="17658"/>
    <cellStyle name="Normal 5 3 4 4 3" xfId="4980"/>
    <cellStyle name="Normal 5 3 4 4 3 2" xfId="13819"/>
    <cellStyle name="Normal 5 3 4 4 3 2 2" xfId="24070"/>
    <cellStyle name="Normal 5 3 4 4 3 3" xfId="10240"/>
    <cellStyle name="Normal 5 3 4 4 3 4" xfId="19063"/>
    <cellStyle name="Normal 5 3 4 4 4" xfId="2411"/>
    <cellStyle name="Normal 5 3 4 4 4 2" xfId="11778"/>
    <cellStyle name="Normal 5 3 4 4 4 3" xfId="21782"/>
    <cellStyle name="Normal 5 3 4 4 5" xfId="6437"/>
    <cellStyle name="Normal 5 3 4 4 5 2" xfId="15264"/>
    <cellStyle name="Normal 5 3 4 4 5 3" xfId="25515"/>
    <cellStyle name="Normal 5 3 4 4 6" xfId="7883"/>
    <cellStyle name="Normal 5 3 4 4 6 2" xfId="20264"/>
    <cellStyle name="Normal 5 3 4 4 7" xfId="16775"/>
    <cellStyle name="Normal 5 3 4 5" xfId="1130"/>
    <cellStyle name="Normal 5 3 4 5 2" xfId="3561"/>
    <cellStyle name="Normal 5 3 4 5 2 2" xfId="12699"/>
    <cellStyle name="Normal 5 3 4 5 2 2 2" xfId="22918"/>
    <cellStyle name="Normal 5 3 4 5 2 3" xfId="9120"/>
    <cellStyle name="Normal 5 3 4 5 2 4" xfId="17911"/>
    <cellStyle name="Normal 5 3 4 5 3" xfId="5224"/>
    <cellStyle name="Normal 5 3 4 5 3 2" xfId="14063"/>
    <cellStyle name="Normal 5 3 4 5 3 2 2" xfId="24314"/>
    <cellStyle name="Normal 5 3 4 5 3 3" xfId="10484"/>
    <cellStyle name="Normal 5 3 4 5 3 4" xfId="19307"/>
    <cellStyle name="Normal 5 3 4 5 4" xfId="1840"/>
    <cellStyle name="Normal 5 3 4 5 4 2" xfId="11210"/>
    <cellStyle name="Normal 5 3 4 5 4 3" xfId="21214"/>
    <cellStyle name="Normal 5 3 4 5 5" xfId="6681"/>
    <cellStyle name="Normal 5 3 4 5 5 2" xfId="15508"/>
    <cellStyle name="Normal 5 3 4 5 5 3" xfId="25759"/>
    <cellStyle name="Normal 5 3 4 5 6" xfId="8127"/>
    <cellStyle name="Normal 5 3 4 5 6 2" xfId="20517"/>
    <cellStyle name="Normal 5 3 4 5 7" xfId="16207"/>
    <cellStyle name="Normal 5 3 4 6" xfId="2734"/>
    <cellStyle name="Normal 5 3 4 6 2" xfId="12053"/>
    <cellStyle name="Normal 5 3 4 6 2 2" xfId="22097"/>
    <cellStyle name="Normal 5 3 4 6 3" xfId="8648"/>
    <cellStyle name="Normal 5 3 4 6 4" xfId="17090"/>
    <cellStyle name="Normal 5 3 4 7" xfId="4180"/>
    <cellStyle name="Normal 5 3 4 7 2" xfId="13020"/>
    <cellStyle name="Normal 5 3 4 7 2 2" xfId="23271"/>
    <cellStyle name="Normal 5 3 4 7 3" xfId="9441"/>
    <cellStyle name="Normal 5 3 4 7 4" xfId="18264"/>
    <cellStyle name="Normal 5 3 4 8" xfId="1452"/>
    <cellStyle name="Normal 5 3 4 8 2" xfId="10831"/>
    <cellStyle name="Normal 5 3 4 8 3" xfId="20835"/>
    <cellStyle name="Normal 5 3 4 9" xfId="5638"/>
    <cellStyle name="Normal 5 3 4 9 2" xfId="14465"/>
    <cellStyle name="Normal 5 3 4 9 3" xfId="24716"/>
    <cellStyle name="Normal 5 3 4_Degree data" xfId="3884"/>
    <cellStyle name="Normal 5 3 5" xfId="458"/>
    <cellStyle name="Normal 5 3 5 2" xfId="817"/>
    <cellStyle name="Normal 5 3 5 2 2" xfId="3304"/>
    <cellStyle name="Normal 5 3 5 2 2 2" xfId="12448"/>
    <cellStyle name="Normal 5 3 5 2 2 2 2" xfId="22667"/>
    <cellStyle name="Normal 5 3 5 2 2 3" xfId="8870"/>
    <cellStyle name="Normal 5 3 5 2 2 4" xfId="17660"/>
    <cellStyle name="Normal 5 3 5 2 3" xfId="4633"/>
    <cellStyle name="Normal 5 3 5 2 3 2" xfId="13473"/>
    <cellStyle name="Normal 5 3 5 2 3 2 2" xfId="23724"/>
    <cellStyle name="Normal 5 3 5 2 3 3" xfId="9894"/>
    <cellStyle name="Normal 5 3 5 2 3 4" xfId="18717"/>
    <cellStyle name="Normal 5 3 5 2 4" xfId="2413"/>
    <cellStyle name="Normal 5 3 5 2 4 2" xfId="11780"/>
    <cellStyle name="Normal 5 3 5 2 4 3" xfId="21784"/>
    <cellStyle name="Normal 5 3 5 2 5" xfId="6091"/>
    <cellStyle name="Normal 5 3 5 2 5 2" xfId="14918"/>
    <cellStyle name="Normal 5 3 5 2 5 3" xfId="25169"/>
    <cellStyle name="Normal 5 3 5 2 6" xfId="7536"/>
    <cellStyle name="Normal 5 3 5 2 6 2" xfId="20266"/>
    <cellStyle name="Normal 5 3 5 2 7" xfId="16777"/>
    <cellStyle name="Normal 5 3 5 3" xfId="1230"/>
    <cellStyle name="Normal 5 3 5 3 2" xfId="3661"/>
    <cellStyle name="Normal 5 3 5 3 2 2" xfId="12799"/>
    <cellStyle name="Normal 5 3 5 3 2 2 2" xfId="23018"/>
    <cellStyle name="Normal 5 3 5 3 2 3" xfId="9220"/>
    <cellStyle name="Normal 5 3 5 3 2 4" xfId="18011"/>
    <cellStyle name="Normal 5 3 5 3 3" xfId="4982"/>
    <cellStyle name="Normal 5 3 5 3 3 2" xfId="13821"/>
    <cellStyle name="Normal 5 3 5 3 3 2 2" xfId="24072"/>
    <cellStyle name="Normal 5 3 5 3 3 3" xfId="10242"/>
    <cellStyle name="Normal 5 3 5 3 3 4" xfId="19065"/>
    <cellStyle name="Normal 5 3 5 3 4" xfId="2055"/>
    <cellStyle name="Normal 5 3 5 3 4 2" xfId="11422"/>
    <cellStyle name="Normal 5 3 5 3 4 3" xfId="21426"/>
    <cellStyle name="Normal 5 3 5 3 5" xfId="6439"/>
    <cellStyle name="Normal 5 3 5 3 5 2" xfId="15266"/>
    <cellStyle name="Normal 5 3 5 3 5 3" xfId="25517"/>
    <cellStyle name="Normal 5 3 5 3 6" xfId="7885"/>
    <cellStyle name="Normal 5 3 5 3 6 2" xfId="20617"/>
    <cellStyle name="Normal 5 3 5 3 7" xfId="16419"/>
    <cellStyle name="Normal 5 3 5 4" xfId="2946"/>
    <cellStyle name="Normal 5 3 5 4 2" xfId="5324"/>
    <cellStyle name="Normal 5 3 5 4 2 2" xfId="14163"/>
    <cellStyle name="Normal 5 3 5 4 2 2 2" xfId="24414"/>
    <cellStyle name="Normal 5 3 5 4 2 3" xfId="10584"/>
    <cellStyle name="Normal 5 3 5 4 2 4" xfId="19407"/>
    <cellStyle name="Normal 5 3 5 4 3" xfId="6781"/>
    <cellStyle name="Normal 5 3 5 4 3 2" xfId="15608"/>
    <cellStyle name="Normal 5 3 5 4 3 3" xfId="25859"/>
    <cellStyle name="Normal 5 3 5 4 4" xfId="8227"/>
    <cellStyle name="Normal 5 3 5 4 4 2" xfId="22309"/>
    <cellStyle name="Normal 5 3 5 4 5" xfId="17302"/>
    <cellStyle name="Normal 5 3 5 5" xfId="4280"/>
    <cellStyle name="Normal 5 3 5 5 2" xfId="13120"/>
    <cellStyle name="Normal 5 3 5 5 2 2" xfId="23371"/>
    <cellStyle name="Normal 5 3 5 5 3" xfId="9541"/>
    <cellStyle name="Normal 5 3 5 5 4" xfId="18364"/>
    <cellStyle name="Normal 5 3 5 6" xfId="1552"/>
    <cellStyle name="Normal 5 3 5 6 2" xfId="10931"/>
    <cellStyle name="Normal 5 3 5 6 3" xfId="20935"/>
    <cellStyle name="Normal 5 3 5 7" xfId="5738"/>
    <cellStyle name="Normal 5 3 5 7 2" xfId="14565"/>
    <cellStyle name="Normal 5 3 5 7 3" xfId="24816"/>
    <cellStyle name="Normal 5 3 5 8" xfId="7182"/>
    <cellStyle name="Normal 5 3 5 8 2" xfId="19908"/>
    <cellStyle name="Normal 5 3 5 9" xfId="15928"/>
    <cellStyle name="Normal 5 3 5_Degree data" xfId="3888"/>
    <cellStyle name="Normal 5 3 6" xfId="311"/>
    <cellStyle name="Normal 5 3 6 2" xfId="818"/>
    <cellStyle name="Normal 5 3 6 2 2" xfId="3305"/>
    <cellStyle name="Normal 5 3 6 2 2 2" xfId="12449"/>
    <cellStyle name="Normal 5 3 6 2 2 2 2" xfId="22668"/>
    <cellStyle name="Normal 5 3 6 2 2 3" xfId="8871"/>
    <cellStyle name="Normal 5 3 6 2 2 4" xfId="17661"/>
    <cellStyle name="Normal 5 3 6 2 3" xfId="4634"/>
    <cellStyle name="Normal 5 3 6 2 3 2" xfId="13474"/>
    <cellStyle name="Normal 5 3 6 2 3 2 2" xfId="23725"/>
    <cellStyle name="Normal 5 3 6 2 3 3" xfId="9895"/>
    <cellStyle name="Normal 5 3 6 2 3 4" xfId="18718"/>
    <cellStyle name="Normal 5 3 6 2 4" xfId="2414"/>
    <cellStyle name="Normal 5 3 6 2 4 2" xfId="11781"/>
    <cellStyle name="Normal 5 3 6 2 4 3" xfId="21785"/>
    <cellStyle name="Normal 5 3 6 2 5" xfId="6092"/>
    <cellStyle name="Normal 5 3 6 2 5 2" xfId="14919"/>
    <cellStyle name="Normal 5 3 6 2 5 3" xfId="25170"/>
    <cellStyle name="Normal 5 3 6 2 6" xfId="7537"/>
    <cellStyle name="Normal 5 3 6 2 6 2" xfId="20267"/>
    <cellStyle name="Normal 5 3 6 2 7" xfId="16778"/>
    <cellStyle name="Normal 5 3 6 3" xfId="1083"/>
    <cellStyle name="Normal 5 3 6 3 2" xfId="3514"/>
    <cellStyle name="Normal 5 3 6 3 2 2" xfId="12652"/>
    <cellStyle name="Normal 5 3 6 3 2 2 2" xfId="22871"/>
    <cellStyle name="Normal 5 3 6 3 2 3" xfId="9074"/>
    <cellStyle name="Normal 5 3 6 3 2 4" xfId="17864"/>
    <cellStyle name="Normal 5 3 6 3 3" xfId="4983"/>
    <cellStyle name="Normal 5 3 6 3 3 2" xfId="13822"/>
    <cellStyle name="Normal 5 3 6 3 3 2 2" xfId="24073"/>
    <cellStyle name="Normal 5 3 6 3 3 3" xfId="10243"/>
    <cellStyle name="Normal 5 3 6 3 3 4" xfId="19066"/>
    <cellStyle name="Normal 5 3 6 3 4" xfId="1718"/>
    <cellStyle name="Normal 5 3 6 3 4 2" xfId="11097"/>
    <cellStyle name="Normal 5 3 6 3 4 3" xfId="21101"/>
    <cellStyle name="Normal 5 3 6 3 5" xfId="6440"/>
    <cellStyle name="Normal 5 3 6 3 5 2" xfId="15267"/>
    <cellStyle name="Normal 5 3 6 3 5 3" xfId="25518"/>
    <cellStyle name="Normal 5 3 6 3 6" xfId="7886"/>
    <cellStyle name="Normal 5 3 6 3 6 2" xfId="20470"/>
    <cellStyle name="Normal 5 3 6 3 7" xfId="16094"/>
    <cellStyle name="Normal 5 3 6 4" xfId="2799"/>
    <cellStyle name="Normal 5 3 6 4 2" xfId="5177"/>
    <cellStyle name="Normal 5 3 6 4 2 2" xfId="14016"/>
    <cellStyle name="Normal 5 3 6 4 2 2 2" xfId="24267"/>
    <cellStyle name="Normal 5 3 6 4 2 3" xfId="10437"/>
    <cellStyle name="Normal 5 3 6 4 2 4" xfId="19260"/>
    <cellStyle name="Normal 5 3 6 4 3" xfId="6634"/>
    <cellStyle name="Normal 5 3 6 4 3 2" xfId="15461"/>
    <cellStyle name="Normal 5 3 6 4 3 3" xfId="25712"/>
    <cellStyle name="Normal 5 3 6 4 4" xfId="8080"/>
    <cellStyle name="Normal 5 3 6 4 4 2" xfId="22162"/>
    <cellStyle name="Normal 5 3 6 4 5" xfId="17155"/>
    <cellStyle name="Normal 5 3 6 5" xfId="4131"/>
    <cellStyle name="Normal 5 3 6 5 2" xfId="12971"/>
    <cellStyle name="Normal 5 3 6 5 2 2" xfId="23222"/>
    <cellStyle name="Normal 5 3 6 5 3" xfId="9392"/>
    <cellStyle name="Normal 5 3 6 5 4" xfId="18215"/>
    <cellStyle name="Normal 5 3 6 6" xfId="1908"/>
    <cellStyle name="Normal 5 3 6 6 2" xfId="11275"/>
    <cellStyle name="Normal 5 3 6 6 3" xfId="21279"/>
    <cellStyle name="Normal 5 3 6 7" xfId="5591"/>
    <cellStyle name="Normal 5 3 6 7 2" xfId="14418"/>
    <cellStyle name="Normal 5 3 6 7 3" xfId="24669"/>
    <cellStyle name="Normal 5 3 6 8" xfId="7035"/>
    <cellStyle name="Normal 5 3 6 8 2" xfId="19761"/>
    <cellStyle name="Normal 5 3 6 9" xfId="16272"/>
    <cellStyle name="Normal 5 3 6_Degree data" xfId="3916"/>
    <cellStyle name="Normal 5 3 7" xfId="807"/>
    <cellStyle name="Normal 5 3 7 2" xfId="3294"/>
    <cellStyle name="Normal 5 3 7 2 2" xfId="12438"/>
    <cellStyle name="Normal 5 3 7 2 2 2" xfId="22657"/>
    <cellStyle name="Normal 5 3 7 2 3" xfId="8860"/>
    <cellStyle name="Normal 5 3 7 2 4" xfId="17650"/>
    <cellStyle name="Normal 5 3 7 3" xfId="4623"/>
    <cellStyle name="Normal 5 3 7 3 2" xfId="13463"/>
    <cellStyle name="Normal 5 3 7 3 2 2" xfId="23714"/>
    <cellStyle name="Normal 5 3 7 3 3" xfId="9884"/>
    <cellStyle name="Normal 5 3 7 3 4" xfId="18707"/>
    <cellStyle name="Normal 5 3 7 4" xfId="2403"/>
    <cellStyle name="Normal 5 3 7 4 2" xfId="11770"/>
    <cellStyle name="Normal 5 3 7 4 3" xfId="21774"/>
    <cellStyle name="Normal 5 3 7 5" xfId="6081"/>
    <cellStyle name="Normal 5 3 7 5 2" xfId="14908"/>
    <cellStyle name="Normal 5 3 7 5 3" xfId="25159"/>
    <cellStyle name="Normal 5 3 7 6" xfId="7526"/>
    <cellStyle name="Normal 5 3 7 6 2" xfId="20256"/>
    <cellStyle name="Normal 5 3 7 7" xfId="16767"/>
    <cellStyle name="Normal 5 3 8" xfId="1063"/>
    <cellStyle name="Normal 5 3 8 2" xfId="3494"/>
    <cellStyle name="Normal 5 3 8 2 2" xfId="12632"/>
    <cellStyle name="Normal 5 3 8 2 2 2" xfId="22851"/>
    <cellStyle name="Normal 5 3 8 2 3" xfId="9054"/>
    <cellStyle name="Normal 5 3 8 2 4" xfId="17844"/>
    <cellStyle name="Normal 5 3 8 3" xfId="4972"/>
    <cellStyle name="Normal 5 3 8 3 2" xfId="13811"/>
    <cellStyle name="Normal 5 3 8 3 2 2" xfId="24062"/>
    <cellStyle name="Normal 5 3 8 3 3" xfId="10232"/>
    <cellStyle name="Normal 5 3 8 3 4" xfId="19055"/>
    <cellStyle name="Normal 5 3 8 4" xfId="1728"/>
    <cellStyle name="Normal 5 3 8 4 2" xfId="11104"/>
    <cellStyle name="Normal 5 3 8 4 3" xfId="21108"/>
    <cellStyle name="Normal 5 3 8 5" xfId="6429"/>
    <cellStyle name="Normal 5 3 8 5 2" xfId="15256"/>
    <cellStyle name="Normal 5 3 8 5 3" xfId="25507"/>
    <cellStyle name="Normal 5 3 8 6" xfId="7875"/>
    <cellStyle name="Normal 5 3 8 6 2" xfId="20450"/>
    <cellStyle name="Normal 5 3 8 7" xfId="16101"/>
    <cellStyle name="Normal 5 3 9" xfId="2626"/>
    <cellStyle name="Normal 5 3 9 2" xfId="5157"/>
    <cellStyle name="Normal 5 3 9 2 2" xfId="13996"/>
    <cellStyle name="Normal 5 3 9 2 2 2" xfId="24247"/>
    <cellStyle name="Normal 5 3 9 2 3" xfId="10417"/>
    <cellStyle name="Normal 5 3 9 2 4" xfId="19240"/>
    <cellStyle name="Normal 5 3 9 3" xfId="6614"/>
    <cellStyle name="Normal 5 3 9 3 2" xfId="15441"/>
    <cellStyle name="Normal 5 3 9 3 3" xfId="25692"/>
    <cellStyle name="Normal 5 3 9 4" xfId="8060"/>
    <cellStyle name="Normal 5 3 9 4 2" xfId="21991"/>
    <cellStyle name="Normal 5 3 9 5" xfId="16984"/>
    <cellStyle name="Normal 5 3_Degree data" xfId="3905"/>
    <cellStyle name="Normal 5 4" xfId="157"/>
    <cellStyle name="Normal 5 4 10" xfId="1427"/>
    <cellStyle name="Normal 5 4 10 2" xfId="10806"/>
    <cellStyle name="Normal 5 4 10 3" xfId="20810"/>
    <cellStyle name="Normal 5 4 11" xfId="5538"/>
    <cellStyle name="Normal 5 4 11 2" xfId="14367"/>
    <cellStyle name="Normal 5 4 11 3" xfId="24618"/>
    <cellStyle name="Normal 5 4 12" xfId="6981"/>
    <cellStyle name="Normal 5 4 12 2" xfId="19625"/>
    <cellStyle name="Normal 5 4 13" xfId="15803"/>
    <cellStyle name="Normal 5 4 2" xfId="207"/>
    <cellStyle name="Normal 5 4 2 10" xfId="7159"/>
    <cellStyle name="Normal 5 4 2 10 2" xfId="19668"/>
    <cellStyle name="Normal 5 4 2 11" xfId="15905"/>
    <cellStyle name="Normal 5 4 2 2" xfId="535"/>
    <cellStyle name="Normal 5 4 2 2 2" xfId="821"/>
    <cellStyle name="Normal 5 4 2 2 2 2" xfId="3308"/>
    <cellStyle name="Normal 5 4 2 2 2 2 2" xfId="12452"/>
    <cellStyle name="Normal 5 4 2 2 2 2 2 2" xfId="22671"/>
    <cellStyle name="Normal 5 4 2 2 2 2 3" xfId="8874"/>
    <cellStyle name="Normal 5 4 2 2 2 2 4" xfId="17664"/>
    <cellStyle name="Normal 5 4 2 2 2 3" xfId="4637"/>
    <cellStyle name="Normal 5 4 2 2 2 3 2" xfId="13477"/>
    <cellStyle name="Normal 5 4 2 2 2 3 2 2" xfId="23728"/>
    <cellStyle name="Normal 5 4 2 2 2 3 3" xfId="9898"/>
    <cellStyle name="Normal 5 4 2 2 2 3 4" xfId="18721"/>
    <cellStyle name="Normal 5 4 2 2 2 4" xfId="2417"/>
    <cellStyle name="Normal 5 4 2 2 2 4 2" xfId="11784"/>
    <cellStyle name="Normal 5 4 2 2 2 4 3" xfId="21788"/>
    <cellStyle name="Normal 5 4 2 2 2 5" xfId="6095"/>
    <cellStyle name="Normal 5 4 2 2 2 5 2" xfId="14922"/>
    <cellStyle name="Normal 5 4 2 2 2 5 3" xfId="25173"/>
    <cellStyle name="Normal 5 4 2 2 2 6" xfId="7540"/>
    <cellStyle name="Normal 5 4 2 2 2 6 2" xfId="20270"/>
    <cellStyle name="Normal 5 4 2 2 2 7" xfId="16781"/>
    <cellStyle name="Normal 5 4 2 2 3" xfId="1307"/>
    <cellStyle name="Normal 5 4 2 2 3 2" xfId="3738"/>
    <cellStyle name="Normal 5 4 2 2 3 2 2" xfId="12876"/>
    <cellStyle name="Normal 5 4 2 2 3 2 2 2" xfId="23095"/>
    <cellStyle name="Normal 5 4 2 2 3 2 3" xfId="9297"/>
    <cellStyle name="Normal 5 4 2 2 3 2 4" xfId="18088"/>
    <cellStyle name="Normal 5 4 2 2 3 3" xfId="4986"/>
    <cellStyle name="Normal 5 4 2 2 3 3 2" xfId="13825"/>
    <cellStyle name="Normal 5 4 2 2 3 3 2 2" xfId="24076"/>
    <cellStyle name="Normal 5 4 2 2 3 3 3" xfId="10246"/>
    <cellStyle name="Normal 5 4 2 2 3 3 4" xfId="19069"/>
    <cellStyle name="Normal 5 4 2 2 3 4" xfId="2132"/>
    <cellStyle name="Normal 5 4 2 2 3 4 2" xfId="11499"/>
    <cellStyle name="Normal 5 4 2 2 3 4 3" xfId="21503"/>
    <cellStyle name="Normal 5 4 2 2 3 5" xfId="6443"/>
    <cellStyle name="Normal 5 4 2 2 3 5 2" xfId="15270"/>
    <cellStyle name="Normal 5 4 2 2 3 5 3" xfId="25521"/>
    <cellStyle name="Normal 5 4 2 2 3 6" xfId="7889"/>
    <cellStyle name="Normal 5 4 2 2 3 6 2" xfId="20694"/>
    <cellStyle name="Normal 5 4 2 2 3 7" xfId="16496"/>
    <cellStyle name="Normal 5 4 2 2 4" xfId="3023"/>
    <cellStyle name="Normal 5 4 2 2 4 2" xfId="5401"/>
    <cellStyle name="Normal 5 4 2 2 4 2 2" xfId="14240"/>
    <cellStyle name="Normal 5 4 2 2 4 2 2 2" xfId="24491"/>
    <cellStyle name="Normal 5 4 2 2 4 2 3" xfId="10661"/>
    <cellStyle name="Normal 5 4 2 2 4 2 4" xfId="19484"/>
    <cellStyle name="Normal 5 4 2 2 4 3" xfId="6858"/>
    <cellStyle name="Normal 5 4 2 2 4 3 2" xfId="15685"/>
    <cellStyle name="Normal 5 4 2 2 4 3 3" xfId="25936"/>
    <cellStyle name="Normal 5 4 2 2 4 4" xfId="8304"/>
    <cellStyle name="Normal 5 4 2 2 4 4 2" xfId="22386"/>
    <cellStyle name="Normal 5 4 2 2 4 5" xfId="17379"/>
    <cellStyle name="Normal 5 4 2 2 5" xfId="4357"/>
    <cellStyle name="Normal 5 4 2 2 5 2" xfId="13197"/>
    <cellStyle name="Normal 5 4 2 2 5 2 2" xfId="23448"/>
    <cellStyle name="Normal 5 4 2 2 5 3" xfId="9618"/>
    <cellStyle name="Normal 5 4 2 2 5 4" xfId="18441"/>
    <cellStyle name="Normal 5 4 2 2 6" xfId="1629"/>
    <cellStyle name="Normal 5 4 2 2 6 2" xfId="11008"/>
    <cellStyle name="Normal 5 4 2 2 6 3" xfId="21012"/>
    <cellStyle name="Normal 5 4 2 2 7" xfId="5815"/>
    <cellStyle name="Normal 5 4 2 2 7 2" xfId="14642"/>
    <cellStyle name="Normal 5 4 2 2 7 3" xfId="24893"/>
    <cellStyle name="Normal 5 4 2 2 8" xfId="7259"/>
    <cellStyle name="Normal 5 4 2 2 8 2" xfId="19985"/>
    <cellStyle name="Normal 5 4 2 2 9" xfId="16005"/>
    <cellStyle name="Normal 5 4 2 2_Degree data" xfId="3872"/>
    <cellStyle name="Normal 5 4 2 3" xfId="435"/>
    <cellStyle name="Normal 5 4 2 3 2" xfId="2923"/>
    <cellStyle name="Normal 5 4 2 3 2 2" xfId="12213"/>
    <cellStyle name="Normal 5 4 2 3 2 2 2" xfId="22286"/>
    <cellStyle name="Normal 5 4 2 3 2 3" xfId="8635"/>
    <cellStyle name="Normal 5 4 2 3 2 4" xfId="17279"/>
    <cellStyle name="Normal 5 4 2 3 3" xfId="4636"/>
    <cellStyle name="Normal 5 4 2 3 3 2" xfId="13476"/>
    <cellStyle name="Normal 5 4 2 3 3 2 2" xfId="23727"/>
    <cellStyle name="Normal 5 4 2 3 3 3" xfId="9897"/>
    <cellStyle name="Normal 5 4 2 3 3 4" xfId="18720"/>
    <cellStyle name="Normal 5 4 2 3 4" xfId="2032"/>
    <cellStyle name="Normal 5 4 2 3 4 2" xfId="11399"/>
    <cellStyle name="Normal 5 4 2 3 4 3" xfId="21403"/>
    <cellStyle name="Normal 5 4 2 3 5" xfId="6094"/>
    <cellStyle name="Normal 5 4 2 3 5 2" xfId="14921"/>
    <cellStyle name="Normal 5 4 2 3 5 3" xfId="25172"/>
    <cellStyle name="Normal 5 4 2 3 6" xfId="7539"/>
    <cellStyle name="Normal 5 4 2 3 6 2" xfId="19885"/>
    <cellStyle name="Normal 5 4 2 3 7" xfId="16396"/>
    <cellStyle name="Normal 5 4 2 4" xfId="820"/>
    <cellStyle name="Normal 5 4 2 4 2" xfId="3307"/>
    <cellStyle name="Normal 5 4 2 4 2 2" xfId="12451"/>
    <cellStyle name="Normal 5 4 2 4 2 2 2" xfId="22670"/>
    <cellStyle name="Normal 5 4 2 4 2 3" xfId="8873"/>
    <cellStyle name="Normal 5 4 2 4 2 4" xfId="17663"/>
    <cellStyle name="Normal 5 4 2 4 3" xfId="4985"/>
    <cellStyle name="Normal 5 4 2 4 3 2" xfId="13824"/>
    <cellStyle name="Normal 5 4 2 4 3 2 2" xfId="24075"/>
    <cellStyle name="Normal 5 4 2 4 3 3" xfId="10245"/>
    <cellStyle name="Normal 5 4 2 4 3 4" xfId="19068"/>
    <cellStyle name="Normal 5 4 2 4 4" xfId="2416"/>
    <cellStyle name="Normal 5 4 2 4 4 2" xfId="11783"/>
    <cellStyle name="Normal 5 4 2 4 4 3" xfId="21787"/>
    <cellStyle name="Normal 5 4 2 4 5" xfId="6442"/>
    <cellStyle name="Normal 5 4 2 4 5 2" xfId="15269"/>
    <cellStyle name="Normal 5 4 2 4 5 3" xfId="25520"/>
    <cellStyle name="Normal 5 4 2 4 6" xfId="7888"/>
    <cellStyle name="Normal 5 4 2 4 6 2" xfId="20269"/>
    <cellStyle name="Normal 5 4 2 4 7" xfId="16780"/>
    <cellStyle name="Normal 5 4 2 5" xfId="1207"/>
    <cellStyle name="Normal 5 4 2 5 2" xfId="3638"/>
    <cellStyle name="Normal 5 4 2 5 2 2" xfId="12776"/>
    <cellStyle name="Normal 5 4 2 5 2 2 2" xfId="22995"/>
    <cellStyle name="Normal 5 4 2 5 2 3" xfId="9197"/>
    <cellStyle name="Normal 5 4 2 5 2 4" xfId="17988"/>
    <cellStyle name="Normal 5 4 2 5 3" xfId="5301"/>
    <cellStyle name="Normal 5 4 2 5 3 2" xfId="14140"/>
    <cellStyle name="Normal 5 4 2 5 3 2 2" xfId="24391"/>
    <cellStyle name="Normal 5 4 2 5 3 3" xfId="10561"/>
    <cellStyle name="Normal 5 4 2 5 3 4" xfId="19384"/>
    <cellStyle name="Normal 5 4 2 5 4" xfId="1811"/>
    <cellStyle name="Normal 5 4 2 5 4 2" xfId="11182"/>
    <cellStyle name="Normal 5 4 2 5 4 3" xfId="21186"/>
    <cellStyle name="Normal 5 4 2 5 5" xfId="6758"/>
    <cellStyle name="Normal 5 4 2 5 5 2" xfId="15585"/>
    <cellStyle name="Normal 5 4 2 5 5 3" xfId="25836"/>
    <cellStyle name="Normal 5 4 2 5 6" xfId="8204"/>
    <cellStyle name="Normal 5 4 2 5 6 2" xfId="20594"/>
    <cellStyle name="Normal 5 4 2 5 7" xfId="16179"/>
    <cellStyle name="Normal 5 4 2 6" xfId="2706"/>
    <cellStyle name="Normal 5 4 2 6 2" xfId="12025"/>
    <cellStyle name="Normal 5 4 2 6 2 2" xfId="22069"/>
    <cellStyle name="Normal 5 4 2 6 3" xfId="8623"/>
    <cellStyle name="Normal 5 4 2 6 4" xfId="17062"/>
    <cellStyle name="Normal 5 4 2 7" xfId="4257"/>
    <cellStyle name="Normal 5 4 2 7 2" xfId="13097"/>
    <cellStyle name="Normal 5 4 2 7 2 2" xfId="23348"/>
    <cellStyle name="Normal 5 4 2 7 3" xfId="9518"/>
    <cellStyle name="Normal 5 4 2 7 4" xfId="18341"/>
    <cellStyle name="Normal 5 4 2 8" xfId="1529"/>
    <cellStyle name="Normal 5 4 2 8 2" xfId="10908"/>
    <cellStyle name="Normal 5 4 2 8 3" xfId="20912"/>
    <cellStyle name="Normal 5 4 2 9" xfId="5715"/>
    <cellStyle name="Normal 5 4 2 9 2" xfId="14542"/>
    <cellStyle name="Normal 5 4 2 9 3" xfId="24793"/>
    <cellStyle name="Normal 5 4 2_Degree data" xfId="3867"/>
    <cellStyle name="Normal 5 4 3" xfId="273"/>
    <cellStyle name="Normal 5 4 3 10" xfId="7116"/>
    <cellStyle name="Normal 5 4 3 10 2" xfId="19729"/>
    <cellStyle name="Normal 5 4 3 11" xfId="15862"/>
    <cellStyle name="Normal 5 4 3 2" xfId="596"/>
    <cellStyle name="Normal 5 4 3 2 2" xfId="823"/>
    <cellStyle name="Normal 5 4 3 2 2 2" xfId="3310"/>
    <cellStyle name="Normal 5 4 3 2 2 2 2" xfId="12454"/>
    <cellStyle name="Normal 5 4 3 2 2 2 2 2" xfId="22673"/>
    <cellStyle name="Normal 5 4 3 2 2 2 3" xfId="8876"/>
    <cellStyle name="Normal 5 4 3 2 2 2 4" xfId="17666"/>
    <cellStyle name="Normal 5 4 3 2 2 3" xfId="4639"/>
    <cellStyle name="Normal 5 4 3 2 2 3 2" xfId="13479"/>
    <cellStyle name="Normal 5 4 3 2 2 3 2 2" xfId="23730"/>
    <cellStyle name="Normal 5 4 3 2 2 3 3" xfId="9900"/>
    <cellStyle name="Normal 5 4 3 2 2 3 4" xfId="18723"/>
    <cellStyle name="Normal 5 4 3 2 2 4" xfId="2419"/>
    <cellStyle name="Normal 5 4 3 2 2 4 2" xfId="11786"/>
    <cellStyle name="Normal 5 4 3 2 2 4 3" xfId="21790"/>
    <cellStyle name="Normal 5 4 3 2 2 5" xfId="6097"/>
    <cellStyle name="Normal 5 4 3 2 2 5 2" xfId="14924"/>
    <cellStyle name="Normal 5 4 3 2 2 5 3" xfId="25175"/>
    <cellStyle name="Normal 5 4 3 2 2 6" xfId="7542"/>
    <cellStyle name="Normal 5 4 3 2 2 6 2" xfId="20272"/>
    <cellStyle name="Normal 5 4 3 2 2 7" xfId="16783"/>
    <cellStyle name="Normal 5 4 3 2 3" xfId="1368"/>
    <cellStyle name="Normal 5 4 3 2 3 2" xfId="3799"/>
    <cellStyle name="Normal 5 4 3 2 3 2 2" xfId="12937"/>
    <cellStyle name="Normal 5 4 3 2 3 2 2 2" xfId="23156"/>
    <cellStyle name="Normal 5 4 3 2 3 2 3" xfId="9358"/>
    <cellStyle name="Normal 5 4 3 2 3 2 4" xfId="18149"/>
    <cellStyle name="Normal 5 4 3 2 3 3" xfId="4988"/>
    <cellStyle name="Normal 5 4 3 2 3 3 2" xfId="13827"/>
    <cellStyle name="Normal 5 4 3 2 3 3 2 2" xfId="24078"/>
    <cellStyle name="Normal 5 4 3 2 3 3 3" xfId="10248"/>
    <cellStyle name="Normal 5 4 3 2 3 3 4" xfId="19071"/>
    <cellStyle name="Normal 5 4 3 2 3 4" xfId="2193"/>
    <cellStyle name="Normal 5 4 3 2 3 4 2" xfId="11560"/>
    <cellStyle name="Normal 5 4 3 2 3 4 3" xfId="21564"/>
    <cellStyle name="Normal 5 4 3 2 3 5" xfId="6445"/>
    <cellStyle name="Normal 5 4 3 2 3 5 2" xfId="15272"/>
    <cellStyle name="Normal 5 4 3 2 3 5 3" xfId="25523"/>
    <cellStyle name="Normal 5 4 3 2 3 6" xfId="7891"/>
    <cellStyle name="Normal 5 4 3 2 3 6 2" xfId="20755"/>
    <cellStyle name="Normal 5 4 3 2 3 7" xfId="16557"/>
    <cellStyle name="Normal 5 4 3 2 4" xfId="3084"/>
    <cellStyle name="Normal 5 4 3 2 4 2" xfId="5462"/>
    <cellStyle name="Normal 5 4 3 2 4 2 2" xfId="14301"/>
    <cellStyle name="Normal 5 4 3 2 4 2 2 2" xfId="24552"/>
    <cellStyle name="Normal 5 4 3 2 4 2 3" xfId="10722"/>
    <cellStyle name="Normal 5 4 3 2 4 2 4" xfId="19545"/>
    <cellStyle name="Normal 5 4 3 2 4 3" xfId="6919"/>
    <cellStyle name="Normal 5 4 3 2 4 3 2" xfId="15746"/>
    <cellStyle name="Normal 5 4 3 2 4 3 3" xfId="25997"/>
    <cellStyle name="Normal 5 4 3 2 4 4" xfId="8365"/>
    <cellStyle name="Normal 5 4 3 2 4 4 2" xfId="22447"/>
    <cellStyle name="Normal 5 4 3 2 4 5" xfId="17440"/>
    <cellStyle name="Normal 5 4 3 2 5" xfId="4418"/>
    <cellStyle name="Normal 5 4 3 2 5 2" xfId="13258"/>
    <cellStyle name="Normal 5 4 3 2 5 2 2" xfId="23509"/>
    <cellStyle name="Normal 5 4 3 2 5 3" xfId="9679"/>
    <cellStyle name="Normal 5 4 3 2 5 4" xfId="18502"/>
    <cellStyle name="Normal 5 4 3 2 6" xfId="1690"/>
    <cellStyle name="Normal 5 4 3 2 6 2" xfId="11069"/>
    <cellStyle name="Normal 5 4 3 2 6 3" xfId="21073"/>
    <cellStyle name="Normal 5 4 3 2 7" xfId="5876"/>
    <cellStyle name="Normal 5 4 3 2 7 2" xfId="14703"/>
    <cellStyle name="Normal 5 4 3 2 7 3" xfId="24954"/>
    <cellStyle name="Normal 5 4 3 2 8" xfId="7320"/>
    <cellStyle name="Normal 5 4 3 2 8 2" xfId="20046"/>
    <cellStyle name="Normal 5 4 3 2 9" xfId="16066"/>
    <cellStyle name="Normal 5 4 3 2_Degree data" xfId="3476"/>
    <cellStyle name="Normal 5 4 3 3" xfId="392"/>
    <cellStyle name="Normal 5 4 3 3 2" xfId="2880"/>
    <cellStyle name="Normal 5 4 3 3 2 2" xfId="12170"/>
    <cellStyle name="Normal 5 4 3 3 2 2 2" xfId="22243"/>
    <cellStyle name="Normal 5 4 3 3 2 3" xfId="8473"/>
    <cellStyle name="Normal 5 4 3 3 2 4" xfId="17236"/>
    <cellStyle name="Normal 5 4 3 3 3" xfId="4638"/>
    <cellStyle name="Normal 5 4 3 3 3 2" xfId="13478"/>
    <cellStyle name="Normal 5 4 3 3 3 2 2" xfId="23729"/>
    <cellStyle name="Normal 5 4 3 3 3 3" xfId="9899"/>
    <cellStyle name="Normal 5 4 3 3 3 4" xfId="18722"/>
    <cellStyle name="Normal 5 4 3 3 4" xfId="1989"/>
    <cellStyle name="Normal 5 4 3 3 4 2" xfId="11356"/>
    <cellStyle name="Normal 5 4 3 3 4 3" xfId="21360"/>
    <cellStyle name="Normal 5 4 3 3 5" xfId="6096"/>
    <cellStyle name="Normal 5 4 3 3 5 2" xfId="14923"/>
    <cellStyle name="Normal 5 4 3 3 5 3" xfId="25174"/>
    <cellStyle name="Normal 5 4 3 3 6" xfId="7541"/>
    <cellStyle name="Normal 5 4 3 3 6 2" xfId="19842"/>
    <cellStyle name="Normal 5 4 3 3 7" xfId="16353"/>
    <cellStyle name="Normal 5 4 3 4" xfId="822"/>
    <cellStyle name="Normal 5 4 3 4 2" xfId="3309"/>
    <cellStyle name="Normal 5 4 3 4 2 2" xfId="12453"/>
    <cellStyle name="Normal 5 4 3 4 2 2 2" xfId="22672"/>
    <cellStyle name="Normal 5 4 3 4 2 3" xfId="8875"/>
    <cellStyle name="Normal 5 4 3 4 2 4" xfId="17665"/>
    <cellStyle name="Normal 5 4 3 4 3" xfId="4987"/>
    <cellStyle name="Normal 5 4 3 4 3 2" xfId="13826"/>
    <cellStyle name="Normal 5 4 3 4 3 2 2" xfId="24077"/>
    <cellStyle name="Normal 5 4 3 4 3 3" xfId="10247"/>
    <cellStyle name="Normal 5 4 3 4 3 4" xfId="19070"/>
    <cellStyle name="Normal 5 4 3 4 4" xfId="2418"/>
    <cellStyle name="Normal 5 4 3 4 4 2" xfId="11785"/>
    <cellStyle name="Normal 5 4 3 4 4 3" xfId="21789"/>
    <cellStyle name="Normal 5 4 3 4 5" xfId="6444"/>
    <cellStyle name="Normal 5 4 3 4 5 2" xfId="15271"/>
    <cellStyle name="Normal 5 4 3 4 5 3" xfId="25522"/>
    <cellStyle name="Normal 5 4 3 4 6" xfId="7890"/>
    <cellStyle name="Normal 5 4 3 4 6 2" xfId="20271"/>
    <cellStyle name="Normal 5 4 3 4 7" xfId="16782"/>
    <cellStyle name="Normal 5 4 3 5" xfId="1164"/>
    <cellStyle name="Normal 5 4 3 5 2" xfId="3595"/>
    <cellStyle name="Normal 5 4 3 5 2 2" xfId="12733"/>
    <cellStyle name="Normal 5 4 3 5 2 2 2" xfId="22952"/>
    <cellStyle name="Normal 5 4 3 5 2 3" xfId="9154"/>
    <cellStyle name="Normal 5 4 3 5 2 4" xfId="17945"/>
    <cellStyle name="Normal 5 4 3 5 3" xfId="5258"/>
    <cellStyle name="Normal 5 4 3 5 3 2" xfId="14097"/>
    <cellStyle name="Normal 5 4 3 5 3 2 2" xfId="24348"/>
    <cellStyle name="Normal 5 4 3 5 3 3" xfId="10518"/>
    <cellStyle name="Normal 5 4 3 5 3 4" xfId="19341"/>
    <cellStyle name="Normal 5 4 3 5 4" xfId="1873"/>
    <cellStyle name="Normal 5 4 3 5 4 2" xfId="11243"/>
    <cellStyle name="Normal 5 4 3 5 4 3" xfId="21247"/>
    <cellStyle name="Normal 5 4 3 5 5" xfId="6715"/>
    <cellStyle name="Normal 5 4 3 5 5 2" xfId="15542"/>
    <cellStyle name="Normal 5 4 3 5 5 3" xfId="25793"/>
    <cellStyle name="Normal 5 4 3 5 6" xfId="8161"/>
    <cellStyle name="Normal 5 4 3 5 6 2" xfId="20551"/>
    <cellStyle name="Normal 5 4 3 5 7" xfId="16240"/>
    <cellStyle name="Normal 5 4 3 6" xfId="2767"/>
    <cellStyle name="Normal 5 4 3 6 2" xfId="12086"/>
    <cellStyle name="Normal 5 4 3 6 2 2" xfId="22130"/>
    <cellStyle name="Normal 5 4 3 6 3" xfId="8394"/>
    <cellStyle name="Normal 5 4 3 6 4" xfId="17123"/>
    <cellStyle name="Normal 5 4 3 7" xfId="4214"/>
    <cellStyle name="Normal 5 4 3 7 2" xfId="13054"/>
    <cellStyle name="Normal 5 4 3 7 2 2" xfId="23305"/>
    <cellStyle name="Normal 5 4 3 7 3" xfId="9475"/>
    <cellStyle name="Normal 5 4 3 7 4" xfId="18298"/>
    <cellStyle name="Normal 5 4 3 8" xfId="1486"/>
    <cellStyle name="Normal 5 4 3 8 2" xfId="10865"/>
    <cellStyle name="Normal 5 4 3 8 3" xfId="20869"/>
    <cellStyle name="Normal 5 4 3 9" xfId="5672"/>
    <cellStyle name="Normal 5 4 3 9 2" xfId="14499"/>
    <cellStyle name="Normal 5 4 3 9 3" xfId="24750"/>
    <cellStyle name="Normal 5 4 3_Degree data" xfId="3849"/>
    <cellStyle name="Normal 5 4 4" xfId="492"/>
    <cellStyle name="Normal 5 4 4 2" xfId="824"/>
    <cellStyle name="Normal 5 4 4 2 2" xfId="3311"/>
    <cellStyle name="Normal 5 4 4 2 2 2" xfId="12455"/>
    <cellStyle name="Normal 5 4 4 2 2 2 2" xfId="22674"/>
    <cellStyle name="Normal 5 4 4 2 2 3" xfId="8877"/>
    <cellStyle name="Normal 5 4 4 2 2 4" xfId="17667"/>
    <cellStyle name="Normal 5 4 4 2 3" xfId="4640"/>
    <cellStyle name="Normal 5 4 4 2 3 2" xfId="13480"/>
    <cellStyle name="Normal 5 4 4 2 3 2 2" xfId="23731"/>
    <cellStyle name="Normal 5 4 4 2 3 3" xfId="9901"/>
    <cellStyle name="Normal 5 4 4 2 3 4" xfId="18724"/>
    <cellStyle name="Normal 5 4 4 2 4" xfId="2420"/>
    <cellStyle name="Normal 5 4 4 2 4 2" xfId="11787"/>
    <cellStyle name="Normal 5 4 4 2 4 3" xfId="21791"/>
    <cellStyle name="Normal 5 4 4 2 5" xfId="6098"/>
    <cellStyle name="Normal 5 4 4 2 5 2" xfId="14925"/>
    <cellStyle name="Normal 5 4 4 2 5 3" xfId="25176"/>
    <cellStyle name="Normal 5 4 4 2 6" xfId="7543"/>
    <cellStyle name="Normal 5 4 4 2 6 2" xfId="20273"/>
    <cellStyle name="Normal 5 4 4 2 7" xfId="16784"/>
    <cellStyle name="Normal 5 4 4 3" xfId="1264"/>
    <cellStyle name="Normal 5 4 4 3 2" xfId="3695"/>
    <cellStyle name="Normal 5 4 4 3 2 2" xfId="12833"/>
    <cellStyle name="Normal 5 4 4 3 2 2 2" xfId="23052"/>
    <cellStyle name="Normal 5 4 4 3 2 3" xfId="9254"/>
    <cellStyle name="Normal 5 4 4 3 2 4" xfId="18045"/>
    <cellStyle name="Normal 5 4 4 3 3" xfId="4989"/>
    <cellStyle name="Normal 5 4 4 3 3 2" xfId="13828"/>
    <cellStyle name="Normal 5 4 4 3 3 2 2" xfId="24079"/>
    <cellStyle name="Normal 5 4 4 3 3 3" xfId="10249"/>
    <cellStyle name="Normal 5 4 4 3 3 4" xfId="19072"/>
    <cellStyle name="Normal 5 4 4 3 4" xfId="2089"/>
    <cellStyle name="Normal 5 4 4 3 4 2" xfId="11456"/>
    <cellStyle name="Normal 5 4 4 3 4 3" xfId="21460"/>
    <cellStyle name="Normal 5 4 4 3 5" xfId="6446"/>
    <cellStyle name="Normal 5 4 4 3 5 2" xfId="15273"/>
    <cellStyle name="Normal 5 4 4 3 5 3" xfId="25524"/>
    <cellStyle name="Normal 5 4 4 3 6" xfId="7892"/>
    <cellStyle name="Normal 5 4 4 3 6 2" xfId="20651"/>
    <cellStyle name="Normal 5 4 4 3 7" xfId="16453"/>
    <cellStyle name="Normal 5 4 4 4" xfId="2980"/>
    <cellStyle name="Normal 5 4 4 4 2" xfId="5358"/>
    <cellStyle name="Normal 5 4 4 4 2 2" xfId="14197"/>
    <cellStyle name="Normal 5 4 4 4 2 2 2" xfId="24448"/>
    <cellStyle name="Normal 5 4 4 4 2 3" xfId="10618"/>
    <cellStyle name="Normal 5 4 4 4 2 4" xfId="19441"/>
    <cellStyle name="Normal 5 4 4 4 3" xfId="6815"/>
    <cellStyle name="Normal 5 4 4 4 3 2" xfId="15642"/>
    <cellStyle name="Normal 5 4 4 4 3 3" xfId="25893"/>
    <cellStyle name="Normal 5 4 4 4 4" xfId="8261"/>
    <cellStyle name="Normal 5 4 4 4 4 2" xfId="22343"/>
    <cellStyle name="Normal 5 4 4 4 5" xfId="17336"/>
    <cellStyle name="Normal 5 4 4 5" xfId="4314"/>
    <cellStyle name="Normal 5 4 4 5 2" xfId="13154"/>
    <cellStyle name="Normal 5 4 4 5 2 2" xfId="23405"/>
    <cellStyle name="Normal 5 4 4 5 3" xfId="9575"/>
    <cellStyle name="Normal 5 4 4 5 4" xfId="18398"/>
    <cellStyle name="Normal 5 4 4 6" xfId="1586"/>
    <cellStyle name="Normal 5 4 4 6 2" xfId="10965"/>
    <cellStyle name="Normal 5 4 4 6 3" xfId="20969"/>
    <cellStyle name="Normal 5 4 4 7" xfId="5772"/>
    <cellStyle name="Normal 5 4 4 7 2" xfId="14599"/>
    <cellStyle name="Normal 5 4 4 7 3" xfId="24850"/>
    <cellStyle name="Normal 5 4 4 8" xfId="7216"/>
    <cellStyle name="Normal 5 4 4 8 2" xfId="19942"/>
    <cellStyle name="Normal 5 4 4 9" xfId="15962"/>
    <cellStyle name="Normal 5 4 4_Degree data" xfId="3855"/>
    <cellStyle name="Normal 5 4 5" xfId="333"/>
    <cellStyle name="Normal 5 4 5 2" xfId="825"/>
    <cellStyle name="Normal 5 4 5 2 2" xfId="3312"/>
    <cellStyle name="Normal 5 4 5 2 2 2" xfId="12456"/>
    <cellStyle name="Normal 5 4 5 2 2 2 2" xfId="22675"/>
    <cellStyle name="Normal 5 4 5 2 2 3" xfId="8878"/>
    <cellStyle name="Normal 5 4 5 2 2 4" xfId="17668"/>
    <cellStyle name="Normal 5 4 5 2 3" xfId="4641"/>
    <cellStyle name="Normal 5 4 5 2 3 2" xfId="13481"/>
    <cellStyle name="Normal 5 4 5 2 3 2 2" xfId="23732"/>
    <cellStyle name="Normal 5 4 5 2 3 3" xfId="9902"/>
    <cellStyle name="Normal 5 4 5 2 3 4" xfId="18725"/>
    <cellStyle name="Normal 5 4 5 2 4" xfId="2421"/>
    <cellStyle name="Normal 5 4 5 2 4 2" xfId="11788"/>
    <cellStyle name="Normal 5 4 5 2 4 3" xfId="21792"/>
    <cellStyle name="Normal 5 4 5 2 5" xfId="6099"/>
    <cellStyle name="Normal 5 4 5 2 5 2" xfId="14926"/>
    <cellStyle name="Normal 5 4 5 2 5 3" xfId="25177"/>
    <cellStyle name="Normal 5 4 5 2 6" xfId="7544"/>
    <cellStyle name="Normal 5 4 5 2 6 2" xfId="20274"/>
    <cellStyle name="Normal 5 4 5 2 7" xfId="16785"/>
    <cellStyle name="Normal 5 4 5 3" xfId="1105"/>
    <cellStyle name="Normal 5 4 5 3 2" xfId="3536"/>
    <cellStyle name="Normal 5 4 5 3 2 2" xfId="12674"/>
    <cellStyle name="Normal 5 4 5 3 2 2 2" xfId="22893"/>
    <cellStyle name="Normal 5 4 5 3 2 3" xfId="9096"/>
    <cellStyle name="Normal 5 4 5 3 2 4" xfId="17886"/>
    <cellStyle name="Normal 5 4 5 3 3" xfId="4990"/>
    <cellStyle name="Normal 5 4 5 3 3 2" xfId="13829"/>
    <cellStyle name="Normal 5 4 5 3 3 2 2" xfId="24080"/>
    <cellStyle name="Normal 5 4 5 3 3 3" xfId="10250"/>
    <cellStyle name="Normal 5 4 5 3 3 4" xfId="19073"/>
    <cellStyle name="Normal 5 4 5 3 4" xfId="2589"/>
    <cellStyle name="Normal 5 4 5 3 4 2" xfId="11955"/>
    <cellStyle name="Normal 5 4 5 3 4 3" xfId="21959"/>
    <cellStyle name="Normal 5 4 5 3 5" xfId="6447"/>
    <cellStyle name="Normal 5 4 5 3 5 2" xfId="15274"/>
    <cellStyle name="Normal 5 4 5 3 5 3" xfId="25525"/>
    <cellStyle name="Normal 5 4 5 3 6" xfId="7893"/>
    <cellStyle name="Normal 5 4 5 3 6 2" xfId="20492"/>
    <cellStyle name="Normal 5 4 5 3 7" xfId="16952"/>
    <cellStyle name="Normal 5 4 5 4" xfId="2821"/>
    <cellStyle name="Normal 5 4 5 4 2" xfId="5199"/>
    <cellStyle name="Normal 5 4 5 4 2 2" xfId="14038"/>
    <cellStyle name="Normal 5 4 5 4 2 2 2" xfId="24289"/>
    <cellStyle name="Normal 5 4 5 4 2 3" xfId="10459"/>
    <cellStyle name="Normal 5 4 5 4 2 4" xfId="19282"/>
    <cellStyle name="Normal 5 4 5 4 3" xfId="6656"/>
    <cellStyle name="Normal 5 4 5 4 3 2" xfId="15483"/>
    <cellStyle name="Normal 5 4 5 4 3 3" xfId="25734"/>
    <cellStyle name="Normal 5 4 5 4 4" xfId="8102"/>
    <cellStyle name="Normal 5 4 5 4 4 2" xfId="22184"/>
    <cellStyle name="Normal 5 4 5 4 5" xfId="17177"/>
    <cellStyle name="Normal 5 4 5 5" xfId="4153"/>
    <cellStyle name="Normal 5 4 5 5 2" xfId="12993"/>
    <cellStyle name="Normal 5 4 5 5 2 2" xfId="23244"/>
    <cellStyle name="Normal 5 4 5 5 3" xfId="9414"/>
    <cellStyle name="Normal 5 4 5 5 4" xfId="18237"/>
    <cellStyle name="Normal 5 4 5 6" xfId="1930"/>
    <cellStyle name="Normal 5 4 5 6 2" xfId="11297"/>
    <cellStyle name="Normal 5 4 5 6 3" xfId="21301"/>
    <cellStyle name="Normal 5 4 5 7" xfId="5613"/>
    <cellStyle name="Normal 5 4 5 7 2" xfId="14440"/>
    <cellStyle name="Normal 5 4 5 7 3" xfId="24691"/>
    <cellStyle name="Normal 5 4 5 8" xfId="7057"/>
    <cellStyle name="Normal 5 4 5 8 2" xfId="19783"/>
    <cellStyle name="Normal 5 4 5 9" xfId="16294"/>
    <cellStyle name="Normal 5 4 5_Degree data" xfId="3934"/>
    <cellStyle name="Normal 5 4 6" xfId="819"/>
    <cellStyle name="Normal 5 4 6 2" xfId="3306"/>
    <cellStyle name="Normal 5 4 6 2 2" xfId="12450"/>
    <cellStyle name="Normal 5 4 6 2 2 2" xfId="22669"/>
    <cellStyle name="Normal 5 4 6 2 3" xfId="8872"/>
    <cellStyle name="Normal 5 4 6 2 4" xfId="17662"/>
    <cellStyle name="Normal 5 4 6 3" xfId="4635"/>
    <cellStyle name="Normal 5 4 6 3 2" xfId="13475"/>
    <cellStyle name="Normal 5 4 6 3 2 2" xfId="23726"/>
    <cellStyle name="Normal 5 4 6 3 3" xfId="9896"/>
    <cellStyle name="Normal 5 4 6 3 4" xfId="18719"/>
    <cellStyle name="Normal 5 4 6 4" xfId="2415"/>
    <cellStyle name="Normal 5 4 6 4 2" xfId="11782"/>
    <cellStyle name="Normal 5 4 6 4 3" xfId="21786"/>
    <cellStyle name="Normal 5 4 6 5" xfId="6093"/>
    <cellStyle name="Normal 5 4 6 5 2" xfId="14920"/>
    <cellStyle name="Normal 5 4 6 5 3" xfId="25171"/>
    <cellStyle name="Normal 5 4 6 6" xfId="7538"/>
    <cellStyle name="Normal 5 4 6 6 2" xfId="20268"/>
    <cellStyle name="Normal 5 4 6 7" xfId="16779"/>
    <cellStyle name="Normal 5 4 7" xfId="1062"/>
    <cellStyle name="Normal 5 4 7 2" xfId="3493"/>
    <cellStyle name="Normal 5 4 7 2 2" xfId="12631"/>
    <cellStyle name="Normal 5 4 7 2 2 2" xfId="22850"/>
    <cellStyle name="Normal 5 4 7 2 3" xfId="9053"/>
    <cellStyle name="Normal 5 4 7 2 4" xfId="17843"/>
    <cellStyle name="Normal 5 4 7 3" xfId="4984"/>
    <cellStyle name="Normal 5 4 7 3 2" xfId="13823"/>
    <cellStyle name="Normal 5 4 7 3 2 2" xfId="24074"/>
    <cellStyle name="Normal 5 4 7 3 3" xfId="10244"/>
    <cellStyle name="Normal 5 4 7 3 4" xfId="19067"/>
    <cellStyle name="Normal 5 4 7 4" xfId="1765"/>
    <cellStyle name="Normal 5 4 7 4 2" xfId="11138"/>
    <cellStyle name="Normal 5 4 7 4 3" xfId="21142"/>
    <cellStyle name="Normal 5 4 7 5" xfId="6441"/>
    <cellStyle name="Normal 5 4 7 5 2" xfId="15268"/>
    <cellStyle name="Normal 5 4 7 5 3" xfId="25519"/>
    <cellStyle name="Normal 5 4 7 6" xfId="7887"/>
    <cellStyle name="Normal 5 4 7 6 2" xfId="20449"/>
    <cellStyle name="Normal 5 4 7 7" xfId="16135"/>
    <cellStyle name="Normal 5 4 8" xfId="2663"/>
    <cellStyle name="Normal 5 4 8 2" xfId="5156"/>
    <cellStyle name="Normal 5 4 8 2 2" xfId="13995"/>
    <cellStyle name="Normal 5 4 8 2 2 2" xfId="24246"/>
    <cellStyle name="Normal 5 4 8 2 3" xfId="10416"/>
    <cellStyle name="Normal 5 4 8 2 4" xfId="19239"/>
    <cellStyle name="Normal 5 4 8 3" xfId="6613"/>
    <cellStyle name="Normal 5 4 8 3 2" xfId="15440"/>
    <cellStyle name="Normal 5 4 8 3 3" xfId="25691"/>
    <cellStyle name="Normal 5 4 8 4" xfId="8059"/>
    <cellStyle name="Normal 5 4 8 4 2" xfId="22026"/>
    <cellStyle name="Normal 5 4 8 5" xfId="17019"/>
    <cellStyle name="Normal 5 4 9" xfId="4110"/>
    <cellStyle name="Normal 5 4 9 2" xfId="5570"/>
    <cellStyle name="Normal 5 4 9 2 2" xfId="14397"/>
    <cellStyle name="Normal 5 4 9 2 3" xfId="24648"/>
    <cellStyle name="Normal 5 4 9 3" xfId="7014"/>
    <cellStyle name="Normal 5 4 9 3 2" xfId="23201"/>
    <cellStyle name="Normal 5 4 9 4" xfId="18194"/>
    <cellStyle name="Normal 5 4_Degree data" xfId="3833"/>
    <cellStyle name="Normal 5 5" xfId="145"/>
    <cellStyle name="Normal 5 5 10" xfId="1415"/>
    <cellStyle name="Normal 5 5 10 2" xfId="10794"/>
    <cellStyle name="Normal 5 5 10 3" xfId="20798"/>
    <cellStyle name="Normal 5 5 11" xfId="5526"/>
    <cellStyle name="Normal 5 5 11 2" xfId="14355"/>
    <cellStyle name="Normal 5 5 11 3" xfId="24606"/>
    <cellStyle name="Normal 5 5 12" xfId="6968"/>
    <cellStyle name="Normal 5 5 12 2" xfId="19613"/>
    <cellStyle name="Normal 5 5 13" xfId="15791"/>
    <cellStyle name="Normal 5 5 2" xfId="195"/>
    <cellStyle name="Normal 5 5 2 10" xfId="7147"/>
    <cellStyle name="Normal 5 5 2 10 2" xfId="19656"/>
    <cellStyle name="Normal 5 5 2 11" xfId="15893"/>
    <cellStyle name="Normal 5 5 2 2" xfId="523"/>
    <cellStyle name="Normal 5 5 2 2 2" xfId="828"/>
    <cellStyle name="Normal 5 5 2 2 2 2" xfId="3315"/>
    <cellStyle name="Normal 5 5 2 2 2 2 2" xfId="12459"/>
    <cellStyle name="Normal 5 5 2 2 2 2 2 2" xfId="22678"/>
    <cellStyle name="Normal 5 5 2 2 2 2 3" xfId="8881"/>
    <cellStyle name="Normal 5 5 2 2 2 2 4" xfId="17671"/>
    <cellStyle name="Normal 5 5 2 2 2 3" xfId="4644"/>
    <cellStyle name="Normal 5 5 2 2 2 3 2" xfId="13484"/>
    <cellStyle name="Normal 5 5 2 2 2 3 2 2" xfId="23735"/>
    <cellStyle name="Normal 5 5 2 2 2 3 3" xfId="9905"/>
    <cellStyle name="Normal 5 5 2 2 2 3 4" xfId="18728"/>
    <cellStyle name="Normal 5 5 2 2 2 4" xfId="2424"/>
    <cellStyle name="Normal 5 5 2 2 2 4 2" xfId="11791"/>
    <cellStyle name="Normal 5 5 2 2 2 4 3" xfId="21795"/>
    <cellStyle name="Normal 5 5 2 2 2 5" xfId="6102"/>
    <cellStyle name="Normal 5 5 2 2 2 5 2" xfId="14929"/>
    <cellStyle name="Normal 5 5 2 2 2 5 3" xfId="25180"/>
    <cellStyle name="Normal 5 5 2 2 2 6" xfId="7547"/>
    <cellStyle name="Normal 5 5 2 2 2 6 2" xfId="20277"/>
    <cellStyle name="Normal 5 5 2 2 2 7" xfId="16788"/>
    <cellStyle name="Normal 5 5 2 2 3" xfId="1295"/>
    <cellStyle name="Normal 5 5 2 2 3 2" xfId="3726"/>
    <cellStyle name="Normal 5 5 2 2 3 2 2" xfId="12864"/>
    <cellStyle name="Normal 5 5 2 2 3 2 2 2" xfId="23083"/>
    <cellStyle name="Normal 5 5 2 2 3 2 3" xfId="9285"/>
    <cellStyle name="Normal 5 5 2 2 3 2 4" xfId="18076"/>
    <cellStyle name="Normal 5 5 2 2 3 3" xfId="4993"/>
    <cellStyle name="Normal 5 5 2 2 3 3 2" xfId="13832"/>
    <cellStyle name="Normal 5 5 2 2 3 3 2 2" xfId="24083"/>
    <cellStyle name="Normal 5 5 2 2 3 3 3" xfId="10253"/>
    <cellStyle name="Normal 5 5 2 2 3 3 4" xfId="19076"/>
    <cellStyle name="Normal 5 5 2 2 3 4" xfId="2120"/>
    <cellStyle name="Normal 5 5 2 2 3 4 2" xfId="11487"/>
    <cellStyle name="Normal 5 5 2 2 3 4 3" xfId="21491"/>
    <cellStyle name="Normal 5 5 2 2 3 5" xfId="6450"/>
    <cellStyle name="Normal 5 5 2 2 3 5 2" xfId="15277"/>
    <cellStyle name="Normal 5 5 2 2 3 5 3" xfId="25528"/>
    <cellStyle name="Normal 5 5 2 2 3 6" xfId="7896"/>
    <cellStyle name="Normal 5 5 2 2 3 6 2" xfId="20682"/>
    <cellStyle name="Normal 5 5 2 2 3 7" xfId="16484"/>
    <cellStyle name="Normal 5 5 2 2 4" xfId="3011"/>
    <cellStyle name="Normal 5 5 2 2 4 2" xfId="5389"/>
    <cellStyle name="Normal 5 5 2 2 4 2 2" xfId="14228"/>
    <cellStyle name="Normal 5 5 2 2 4 2 2 2" xfId="24479"/>
    <cellStyle name="Normal 5 5 2 2 4 2 3" xfId="10649"/>
    <cellStyle name="Normal 5 5 2 2 4 2 4" xfId="19472"/>
    <cellStyle name="Normal 5 5 2 2 4 3" xfId="6846"/>
    <cellStyle name="Normal 5 5 2 2 4 3 2" xfId="15673"/>
    <cellStyle name="Normal 5 5 2 2 4 3 3" xfId="25924"/>
    <cellStyle name="Normal 5 5 2 2 4 4" xfId="8292"/>
    <cellStyle name="Normal 5 5 2 2 4 4 2" xfId="22374"/>
    <cellStyle name="Normal 5 5 2 2 4 5" xfId="17367"/>
    <cellStyle name="Normal 5 5 2 2 5" xfId="4345"/>
    <cellStyle name="Normal 5 5 2 2 5 2" xfId="13185"/>
    <cellStyle name="Normal 5 5 2 2 5 2 2" xfId="23436"/>
    <cellStyle name="Normal 5 5 2 2 5 3" xfId="9606"/>
    <cellStyle name="Normal 5 5 2 2 5 4" xfId="18429"/>
    <cellStyle name="Normal 5 5 2 2 6" xfId="1617"/>
    <cellStyle name="Normal 5 5 2 2 6 2" xfId="10996"/>
    <cellStyle name="Normal 5 5 2 2 6 3" xfId="21000"/>
    <cellStyle name="Normal 5 5 2 2 7" xfId="5803"/>
    <cellStyle name="Normal 5 5 2 2 7 2" xfId="14630"/>
    <cellStyle name="Normal 5 5 2 2 7 3" xfId="24881"/>
    <cellStyle name="Normal 5 5 2 2 8" xfId="7247"/>
    <cellStyle name="Normal 5 5 2 2 8 2" xfId="19973"/>
    <cellStyle name="Normal 5 5 2 2 9" xfId="15993"/>
    <cellStyle name="Normal 5 5 2 2_Degree data" xfId="3909"/>
    <cellStyle name="Normal 5 5 2 3" xfId="423"/>
    <cellStyle name="Normal 5 5 2 3 2" xfId="2911"/>
    <cellStyle name="Normal 5 5 2 3 2 2" xfId="12201"/>
    <cellStyle name="Normal 5 5 2 3 2 2 2" xfId="22274"/>
    <cellStyle name="Normal 5 5 2 3 2 3" xfId="8457"/>
    <cellStyle name="Normal 5 5 2 3 2 4" xfId="17267"/>
    <cellStyle name="Normal 5 5 2 3 3" xfId="4643"/>
    <cellStyle name="Normal 5 5 2 3 3 2" xfId="13483"/>
    <cellStyle name="Normal 5 5 2 3 3 2 2" xfId="23734"/>
    <cellStyle name="Normal 5 5 2 3 3 3" xfId="9904"/>
    <cellStyle name="Normal 5 5 2 3 3 4" xfId="18727"/>
    <cellStyle name="Normal 5 5 2 3 4" xfId="2020"/>
    <cellStyle name="Normal 5 5 2 3 4 2" xfId="11387"/>
    <cellStyle name="Normal 5 5 2 3 4 3" xfId="21391"/>
    <cellStyle name="Normal 5 5 2 3 5" xfId="6101"/>
    <cellStyle name="Normal 5 5 2 3 5 2" xfId="14928"/>
    <cellStyle name="Normal 5 5 2 3 5 3" xfId="25179"/>
    <cellStyle name="Normal 5 5 2 3 6" xfId="7546"/>
    <cellStyle name="Normal 5 5 2 3 6 2" xfId="19873"/>
    <cellStyle name="Normal 5 5 2 3 7" xfId="16384"/>
    <cellStyle name="Normal 5 5 2 4" xfId="827"/>
    <cellStyle name="Normal 5 5 2 4 2" xfId="3314"/>
    <cellStyle name="Normal 5 5 2 4 2 2" xfId="12458"/>
    <cellStyle name="Normal 5 5 2 4 2 2 2" xfId="22677"/>
    <cellStyle name="Normal 5 5 2 4 2 3" xfId="8880"/>
    <cellStyle name="Normal 5 5 2 4 2 4" xfId="17670"/>
    <cellStyle name="Normal 5 5 2 4 3" xfId="4992"/>
    <cellStyle name="Normal 5 5 2 4 3 2" xfId="13831"/>
    <cellStyle name="Normal 5 5 2 4 3 2 2" xfId="24082"/>
    <cellStyle name="Normal 5 5 2 4 3 3" xfId="10252"/>
    <cellStyle name="Normal 5 5 2 4 3 4" xfId="19075"/>
    <cellStyle name="Normal 5 5 2 4 4" xfId="2423"/>
    <cellStyle name="Normal 5 5 2 4 4 2" xfId="11790"/>
    <cellStyle name="Normal 5 5 2 4 4 3" xfId="21794"/>
    <cellStyle name="Normal 5 5 2 4 5" xfId="6449"/>
    <cellStyle name="Normal 5 5 2 4 5 2" xfId="15276"/>
    <cellStyle name="Normal 5 5 2 4 5 3" xfId="25527"/>
    <cellStyle name="Normal 5 5 2 4 6" xfId="7895"/>
    <cellStyle name="Normal 5 5 2 4 6 2" xfId="20276"/>
    <cellStyle name="Normal 5 5 2 4 7" xfId="16787"/>
    <cellStyle name="Normal 5 5 2 5" xfId="1195"/>
    <cellStyle name="Normal 5 5 2 5 2" xfId="3626"/>
    <cellStyle name="Normal 5 5 2 5 2 2" xfId="12764"/>
    <cellStyle name="Normal 5 5 2 5 2 2 2" xfId="22983"/>
    <cellStyle name="Normal 5 5 2 5 2 3" xfId="9185"/>
    <cellStyle name="Normal 5 5 2 5 2 4" xfId="17976"/>
    <cellStyle name="Normal 5 5 2 5 3" xfId="5289"/>
    <cellStyle name="Normal 5 5 2 5 3 2" xfId="14128"/>
    <cellStyle name="Normal 5 5 2 5 3 2 2" xfId="24379"/>
    <cellStyle name="Normal 5 5 2 5 3 3" xfId="10549"/>
    <cellStyle name="Normal 5 5 2 5 3 4" xfId="19372"/>
    <cellStyle name="Normal 5 5 2 5 4" xfId="1799"/>
    <cellStyle name="Normal 5 5 2 5 4 2" xfId="11170"/>
    <cellStyle name="Normal 5 5 2 5 4 3" xfId="21174"/>
    <cellStyle name="Normal 5 5 2 5 5" xfId="6746"/>
    <cellStyle name="Normal 5 5 2 5 5 2" xfId="15573"/>
    <cellStyle name="Normal 5 5 2 5 5 3" xfId="25824"/>
    <cellStyle name="Normal 5 5 2 5 6" xfId="8192"/>
    <cellStyle name="Normal 5 5 2 5 6 2" xfId="20582"/>
    <cellStyle name="Normal 5 5 2 5 7" xfId="16167"/>
    <cellStyle name="Normal 5 5 2 6" xfId="2694"/>
    <cellStyle name="Normal 5 5 2 6 2" xfId="12013"/>
    <cellStyle name="Normal 5 5 2 6 2 2" xfId="22057"/>
    <cellStyle name="Normal 5 5 2 6 3" xfId="8433"/>
    <cellStyle name="Normal 5 5 2 6 4" xfId="17050"/>
    <cellStyle name="Normal 5 5 2 7" xfId="4245"/>
    <cellStyle name="Normal 5 5 2 7 2" xfId="13085"/>
    <cellStyle name="Normal 5 5 2 7 2 2" xfId="23336"/>
    <cellStyle name="Normal 5 5 2 7 3" xfId="9506"/>
    <cellStyle name="Normal 5 5 2 7 4" xfId="18329"/>
    <cellStyle name="Normal 5 5 2 8" xfId="1517"/>
    <cellStyle name="Normal 5 5 2 8 2" xfId="10896"/>
    <cellStyle name="Normal 5 5 2 8 3" xfId="20900"/>
    <cellStyle name="Normal 5 5 2 9" xfId="5703"/>
    <cellStyle name="Normal 5 5 2 9 2" xfId="14530"/>
    <cellStyle name="Normal 5 5 2 9 3" xfId="24781"/>
    <cellStyle name="Normal 5 5 2_Degree data" xfId="3895"/>
    <cellStyle name="Normal 5 5 3" xfId="262"/>
    <cellStyle name="Normal 5 5 3 10" xfId="7104"/>
    <cellStyle name="Normal 5 5 3 10 2" xfId="19718"/>
    <cellStyle name="Normal 5 5 3 11" xfId="15850"/>
    <cellStyle name="Normal 5 5 3 2" xfId="585"/>
    <cellStyle name="Normal 5 5 3 2 2" xfId="830"/>
    <cellStyle name="Normal 5 5 3 2 2 2" xfId="3317"/>
    <cellStyle name="Normal 5 5 3 2 2 2 2" xfId="12461"/>
    <cellStyle name="Normal 5 5 3 2 2 2 2 2" xfId="22680"/>
    <cellStyle name="Normal 5 5 3 2 2 2 3" xfId="8883"/>
    <cellStyle name="Normal 5 5 3 2 2 2 4" xfId="17673"/>
    <cellStyle name="Normal 5 5 3 2 2 3" xfId="4646"/>
    <cellStyle name="Normal 5 5 3 2 2 3 2" xfId="13486"/>
    <cellStyle name="Normal 5 5 3 2 2 3 2 2" xfId="23737"/>
    <cellStyle name="Normal 5 5 3 2 2 3 3" xfId="9907"/>
    <cellStyle name="Normal 5 5 3 2 2 3 4" xfId="18730"/>
    <cellStyle name="Normal 5 5 3 2 2 4" xfId="2426"/>
    <cellStyle name="Normal 5 5 3 2 2 4 2" xfId="11793"/>
    <cellStyle name="Normal 5 5 3 2 2 4 3" xfId="21797"/>
    <cellStyle name="Normal 5 5 3 2 2 5" xfId="6104"/>
    <cellStyle name="Normal 5 5 3 2 2 5 2" xfId="14931"/>
    <cellStyle name="Normal 5 5 3 2 2 5 3" xfId="25182"/>
    <cellStyle name="Normal 5 5 3 2 2 6" xfId="7549"/>
    <cellStyle name="Normal 5 5 3 2 2 6 2" xfId="20279"/>
    <cellStyle name="Normal 5 5 3 2 2 7" xfId="16790"/>
    <cellStyle name="Normal 5 5 3 2 3" xfId="1357"/>
    <cellStyle name="Normal 5 5 3 2 3 2" xfId="3788"/>
    <cellStyle name="Normal 5 5 3 2 3 2 2" xfId="12926"/>
    <cellStyle name="Normal 5 5 3 2 3 2 2 2" xfId="23145"/>
    <cellStyle name="Normal 5 5 3 2 3 2 3" xfId="9347"/>
    <cellStyle name="Normal 5 5 3 2 3 2 4" xfId="18138"/>
    <cellStyle name="Normal 5 5 3 2 3 3" xfId="4995"/>
    <cellStyle name="Normal 5 5 3 2 3 3 2" xfId="13834"/>
    <cellStyle name="Normal 5 5 3 2 3 3 2 2" xfId="24085"/>
    <cellStyle name="Normal 5 5 3 2 3 3 3" xfId="10255"/>
    <cellStyle name="Normal 5 5 3 2 3 3 4" xfId="19078"/>
    <cellStyle name="Normal 5 5 3 2 3 4" xfId="2182"/>
    <cellStyle name="Normal 5 5 3 2 3 4 2" xfId="11549"/>
    <cellStyle name="Normal 5 5 3 2 3 4 3" xfId="21553"/>
    <cellStyle name="Normal 5 5 3 2 3 5" xfId="6452"/>
    <cellStyle name="Normal 5 5 3 2 3 5 2" xfId="15279"/>
    <cellStyle name="Normal 5 5 3 2 3 5 3" xfId="25530"/>
    <cellStyle name="Normal 5 5 3 2 3 6" xfId="7898"/>
    <cellStyle name="Normal 5 5 3 2 3 6 2" xfId="20744"/>
    <cellStyle name="Normal 5 5 3 2 3 7" xfId="16546"/>
    <cellStyle name="Normal 5 5 3 2 4" xfId="3073"/>
    <cellStyle name="Normal 5 5 3 2 4 2" xfId="5451"/>
    <cellStyle name="Normal 5 5 3 2 4 2 2" xfId="14290"/>
    <cellStyle name="Normal 5 5 3 2 4 2 2 2" xfId="24541"/>
    <cellStyle name="Normal 5 5 3 2 4 2 3" xfId="10711"/>
    <cellStyle name="Normal 5 5 3 2 4 2 4" xfId="19534"/>
    <cellStyle name="Normal 5 5 3 2 4 3" xfId="6908"/>
    <cellStyle name="Normal 5 5 3 2 4 3 2" xfId="15735"/>
    <cellStyle name="Normal 5 5 3 2 4 3 3" xfId="25986"/>
    <cellStyle name="Normal 5 5 3 2 4 4" xfId="8354"/>
    <cellStyle name="Normal 5 5 3 2 4 4 2" xfId="22436"/>
    <cellStyle name="Normal 5 5 3 2 4 5" xfId="17429"/>
    <cellStyle name="Normal 5 5 3 2 5" xfId="4407"/>
    <cellStyle name="Normal 5 5 3 2 5 2" xfId="13247"/>
    <cellStyle name="Normal 5 5 3 2 5 2 2" xfId="23498"/>
    <cellStyle name="Normal 5 5 3 2 5 3" xfId="9668"/>
    <cellStyle name="Normal 5 5 3 2 5 4" xfId="18491"/>
    <cellStyle name="Normal 5 5 3 2 6" xfId="1679"/>
    <cellStyle name="Normal 5 5 3 2 6 2" xfId="11058"/>
    <cellStyle name="Normal 5 5 3 2 6 3" xfId="21062"/>
    <cellStyle name="Normal 5 5 3 2 7" xfId="5865"/>
    <cellStyle name="Normal 5 5 3 2 7 2" xfId="14692"/>
    <cellStyle name="Normal 5 5 3 2 7 3" xfId="24943"/>
    <cellStyle name="Normal 5 5 3 2 8" xfId="7309"/>
    <cellStyle name="Normal 5 5 3 2 8 2" xfId="20035"/>
    <cellStyle name="Normal 5 5 3 2 9" xfId="16055"/>
    <cellStyle name="Normal 5 5 3 2_Degree data" xfId="3864"/>
    <cellStyle name="Normal 5 5 3 3" xfId="380"/>
    <cellStyle name="Normal 5 5 3 3 2" xfId="2868"/>
    <cellStyle name="Normal 5 5 3 3 2 2" xfId="12158"/>
    <cellStyle name="Normal 5 5 3 3 2 2 2" xfId="22231"/>
    <cellStyle name="Normal 5 5 3 3 2 3" xfId="8477"/>
    <cellStyle name="Normal 5 5 3 3 2 4" xfId="17224"/>
    <cellStyle name="Normal 5 5 3 3 3" xfId="4645"/>
    <cellStyle name="Normal 5 5 3 3 3 2" xfId="13485"/>
    <cellStyle name="Normal 5 5 3 3 3 2 2" xfId="23736"/>
    <cellStyle name="Normal 5 5 3 3 3 3" xfId="9906"/>
    <cellStyle name="Normal 5 5 3 3 3 4" xfId="18729"/>
    <cellStyle name="Normal 5 5 3 3 4" xfId="1977"/>
    <cellStyle name="Normal 5 5 3 3 4 2" xfId="11344"/>
    <cellStyle name="Normal 5 5 3 3 4 3" xfId="21348"/>
    <cellStyle name="Normal 5 5 3 3 5" xfId="6103"/>
    <cellStyle name="Normal 5 5 3 3 5 2" xfId="14930"/>
    <cellStyle name="Normal 5 5 3 3 5 3" xfId="25181"/>
    <cellStyle name="Normal 5 5 3 3 6" xfId="7548"/>
    <cellStyle name="Normal 5 5 3 3 6 2" xfId="19830"/>
    <cellStyle name="Normal 5 5 3 3 7" xfId="16341"/>
    <cellStyle name="Normal 5 5 3 4" xfId="829"/>
    <cellStyle name="Normal 5 5 3 4 2" xfId="3316"/>
    <cellStyle name="Normal 5 5 3 4 2 2" xfId="12460"/>
    <cellStyle name="Normal 5 5 3 4 2 2 2" xfId="22679"/>
    <cellStyle name="Normal 5 5 3 4 2 3" xfId="8882"/>
    <cellStyle name="Normal 5 5 3 4 2 4" xfId="17672"/>
    <cellStyle name="Normal 5 5 3 4 3" xfId="4994"/>
    <cellStyle name="Normal 5 5 3 4 3 2" xfId="13833"/>
    <cellStyle name="Normal 5 5 3 4 3 2 2" xfId="24084"/>
    <cellStyle name="Normal 5 5 3 4 3 3" xfId="10254"/>
    <cellStyle name="Normal 5 5 3 4 3 4" xfId="19077"/>
    <cellStyle name="Normal 5 5 3 4 4" xfId="2425"/>
    <cellStyle name="Normal 5 5 3 4 4 2" xfId="11792"/>
    <cellStyle name="Normal 5 5 3 4 4 3" xfId="21796"/>
    <cellStyle name="Normal 5 5 3 4 5" xfId="6451"/>
    <cellStyle name="Normal 5 5 3 4 5 2" xfId="15278"/>
    <cellStyle name="Normal 5 5 3 4 5 3" xfId="25529"/>
    <cellStyle name="Normal 5 5 3 4 6" xfId="7897"/>
    <cellStyle name="Normal 5 5 3 4 6 2" xfId="20278"/>
    <cellStyle name="Normal 5 5 3 4 7" xfId="16789"/>
    <cellStyle name="Normal 5 5 3 5" xfId="1152"/>
    <cellStyle name="Normal 5 5 3 5 2" xfId="3583"/>
    <cellStyle name="Normal 5 5 3 5 2 2" xfId="12721"/>
    <cellStyle name="Normal 5 5 3 5 2 2 2" xfId="22940"/>
    <cellStyle name="Normal 5 5 3 5 2 3" xfId="9142"/>
    <cellStyle name="Normal 5 5 3 5 2 4" xfId="17933"/>
    <cellStyle name="Normal 5 5 3 5 3" xfId="5246"/>
    <cellStyle name="Normal 5 5 3 5 3 2" xfId="14085"/>
    <cellStyle name="Normal 5 5 3 5 3 2 2" xfId="24336"/>
    <cellStyle name="Normal 5 5 3 5 3 3" xfId="10506"/>
    <cellStyle name="Normal 5 5 3 5 3 4" xfId="19329"/>
    <cellStyle name="Normal 5 5 3 5 4" xfId="1862"/>
    <cellStyle name="Normal 5 5 3 5 4 2" xfId="11232"/>
    <cellStyle name="Normal 5 5 3 5 4 3" xfId="21236"/>
    <cellStyle name="Normal 5 5 3 5 5" xfId="6703"/>
    <cellStyle name="Normal 5 5 3 5 5 2" xfId="15530"/>
    <cellStyle name="Normal 5 5 3 5 5 3" xfId="25781"/>
    <cellStyle name="Normal 5 5 3 5 6" xfId="8149"/>
    <cellStyle name="Normal 5 5 3 5 6 2" xfId="20539"/>
    <cellStyle name="Normal 5 5 3 5 7" xfId="16229"/>
    <cellStyle name="Normal 5 5 3 6" xfId="2756"/>
    <cellStyle name="Normal 5 5 3 6 2" xfId="12075"/>
    <cellStyle name="Normal 5 5 3 6 2 2" xfId="22119"/>
    <cellStyle name="Normal 5 5 3 6 3" xfId="8498"/>
    <cellStyle name="Normal 5 5 3 6 4" xfId="17112"/>
    <cellStyle name="Normal 5 5 3 7" xfId="4202"/>
    <cellStyle name="Normal 5 5 3 7 2" xfId="13042"/>
    <cellStyle name="Normal 5 5 3 7 2 2" xfId="23293"/>
    <cellStyle name="Normal 5 5 3 7 3" xfId="9463"/>
    <cellStyle name="Normal 5 5 3 7 4" xfId="18286"/>
    <cellStyle name="Normal 5 5 3 8" xfId="1474"/>
    <cellStyle name="Normal 5 5 3 8 2" xfId="10853"/>
    <cellStyle name="Normal 5 5 3 8 3" xfId="20857"/>
    <cellStyle name="Normal 5 5 3 9" xfId="5660"/>
    <cellStyle name="Normal 5 5 3 9 2" xfId="14487"/>
    <cellStyle name="Normal 5 5 3 9 3" xfId="24738"/>
    <cellStyle name="Normal 5 5 3_Degree data" xfId="3893"/>
    <cellStyle name="Normal 5 5 4" xfId="480"/>
    <cellStyle name="Normal 5 5 4 2" xfId="831"/>
    <cellStyle name="Normal 5 5 4 2 2" xfId="3318"/>
    <cellStyle name="Normal 5 5 4 2 2 2" xfId="12462"/>
    <cellStyle name="Normal 5 5 4 2 2 2 2" xfId="22681"/>
    <cellStyle name="Normal 5 5 4 2 2 3" xfId="8884"/>
    <cellStyle name="Normal 5 5 4 2 2 4" xfId="17674"/>
    <cellStyle name="Normal 5 5 4 2 3" xfId="4647"/>
    <cellStyle name="Normal 5 5 4 2 3 2" xfId="13487"/>
    <cellStyle name="Normal 5 5 4 2 3 2 2" xfId="23738"/>
    <cellStyle name="Normal 5 5 4 2 3 3" xfId="9908"/>
    <cellStyle name="Normal 5 5 4 2 3 4" xfId="18731"/>
    <cellStyle name="Normal 5 5 4 2 4" xfId="2427"/>
    <cellStyle name="Normal 5 5 4 2 4 2" xfId="11794"/>
    <cellStyle name="Normal 5 5 4 2 4 3" xfId="21798"/>
    <cellStyle name="Normal 5 5 4 2 5" xfId="6105"/>
    <cellStyle name="Normal 5 5 4 2 5 2" xfId="14932"/>
    <cellStyle name="Normal 5 5 4 2 5 3" xfId="25183"/>
    <cellStyle name="Normal 5 5 4 2 6" xfId="7550"/>
    <cellStyle name="Normal 5 5 4 2 6 2" xfId="20280"/>
    <cellStyle name="Normal 5 5 4 2 7" xfId="16791"/>
    <cellStyle name="Normal 5 5 4 3" xfId="1252"/>
    <cellStyle name="Normal 5 5 4 3 2" xfId="3683"/>
    <cellStyle name="Normal 5 5 4 3 2 2" xfId="12821"/>
    <cellStyle name="Normal 5 5 4 3 2 2 2" xfId="23040"/>
    <cellStyle name="Normal 5 5 4 3 2 3" xfId="9242"/>
    <cellStyle name="Normal 5 5 4 3 2 4" xfId="18033"/>
    <cellStyle name="Normal 5 5 4 3 3" xfId="4996"/>
    <cellStyle name="Normal 5 5 4 3 3 2" xfId="13835"/>
    <cellStyle name="Normal 5 5 4 3 3 2 2" xfId="24086"/>
    <cellStyle name="Normal 5 5 4 3 3 3" xfId="10256"/>
    <cellStyle name="Normal 5 5 4 3 3 4" xfId="19079"/>
    <cellStyle name="Normal 5 5 4 3 4" xfId="2077"/>
    <cellStyle name="Normal 5 5 4 3 4 2" xfId="11444"/>
    <cellStyle name="Normal 5 5 4 3 4 3" xfId="21448"/>
    <cellStyle name="Normal 5 5 4 3 5" xfId="6453"/>
    <cellStyle name="Normal 5 5 4 3 5 2" xfId="15280"/>
    <cellStyle name="Normal 5 5 4 3 5 3" xfId="25531"/>
    <cellStyle name="Normal 5 5 4 3 6" xfId="7899"/>
    <cellStyle name="Normal 5 5 4 3 6 2" xfId="20639"/>
    <cellStyle name="Normal 5 5 4 3 7" xfId="16441"/>
    <cellStyle name="Normal 5 5 4 4" xfId="2968"/>
    <cellStyle name="Normal 5 5 4 4 2" xfId="5346"/>
    <cellStyle name="Normal 5 5 4 4 2 2" xfId="14185"/>
    <cellStyle name="Normal 5 5 4 4 2 2 2" xfId="24436"/>
    <cellStyle name="Normal 5 5 4 4 2 3" xfId="10606"/>
    <cellStyle name="Normal 5 5 4 4 2 4" xfId="19429"/>
    <cellStyle name="Normal 5 5 4 4 3" xfId="6803"/>
    <cellStyle name="Normal 5 5 4 4 3 2" xfId="15630"/>
    <cellStyle name="Normal 5 5 4 4 3 3" xfId="25881"/>
    <cellStyle name="Normal 5 5 4 4 4" xfId="8249"/>
    <cellStyle name="Normal 5 5 4 4 4 2" xfId="22331"/>
    <cellStyle name="Normal 5 5 4 4 5" xfId="17324"/>
    <cellStyle name="Normal 5 5 4 5" xfId="4302"/>
    <cellStyle name="Normal 5 5 4 5 2" xfId="13142"/>
    <cellStyle name="Normal 5 5 4 5 2 2" xfId="23393"/>
    <cellStyle name="Normal 5 5 4 5 3" xfId="9563"/>
    <cellStyle name="Normal 5 5 4 5 4" xfId="18386"/>
    <cellStyle name="Normal 5 5 4 6" xfId="1574"/>
    <cellStyle name="Normal 5 5 4 6 2" xfId="10953"/>
    <cellStyle name="Normal 5 5 4 6 3" xfId="20957"/>
    <cellStyle name="Normal 5 5 4 7" xfId="5760"/>
    <cellStyle name="Normal 5 5 4 7 2" xfId="14587"/>
    <cellStyle name="Normal 5 5 4 7 3" xfId="24838"/>
    <cellStyle name="Normal 5 5 4 8" xfId="7204"/>
    <cellStyle name="Normal 5 5 4 8 2" xfId="19930"/>
    <cellStyle name="Normal 5 5 4 9" xfId="15950"/>
    <cellStyle name="Normal 5 5 4_Degree data" xfId="3902"/>
    <cellStyle name="Normal 5 5 5" xfId="321"/>
    <cellStyle name="Normal 5 5 5 2" xfId="2809"/>
    <cellStyle name="Normal 5 5 5 2 2" xfId="12115"/>
    <cellStyle name="Normal 5 5 5 2 2 2" xfId="22172"/>
    <cellStyle name="Normal 5 5 5 2 3" xfId="8619"/>
    <cellStyle name="Normal 5 5 5 2 4" xfId="17165"/>
    <cellStyle name="Normal 5 5 5 3" xfId="4642"/>
    <cellStyle name="Normal 5 5 5 3 2" xfId="13482"/>
    <cellStyle name="Normal 5 5 5 3 2 2" xfId="23733"/>
    <cellStyle name="Normal 5 5 5 3 3" xfId="9903"/>
    <cellStyle name="Normal 5 5 5 3 4" xfId="18726"/>
    <cellStyle name="Normal 5 5 5 4" xfId="1918"/>
    <cellStyle name="Normal 5 5 5 4 2" xfId="11285"/>
    <cellStyle name="Normal 5 5 5 4 3" xfId="21289"/>
    <cellStyle name="Normal 5 5 5 5" xfId="6100"/>
    <cellStyle name="Normal 5 5 5 5 2" xfId="14927"/>
    <cellStyle name="Normal 5 5 5 5 3" xfId="25178"/>
    <cellStyle name="Normal 5 5 5 6" xfId="7545"/>
    <cellStyle name="Normal 5 5 5 6 2" xfId="19771"/>
    <cellStyle name="Normal 5 5 5 7" xfId="16282"/>
    <cellStyle name="Normal 5 5 6" xfId="826"/>
    <cellStyle name="Normal 5 5 6 2" xfId="3313"/>
    <cellStyle name="Normal 5 5 6 2 2" xfId="12457"/>
    <cellStyle name="Normal 5 5 6 2 2 2" xfId="22676"/>
    <cellStyle name="Normal 5 5 6 2 3" xfId="8879"/>
    <cellStyle name="Normal 5 5 6 2 4" xfId="17669"/>
    <cellStyle name="Normal 5 5 6 3" xfId="4991"/>
    <cellStyle name="Normal 5 5 6 3 2" xfId="13830"/>
    <cellStyle name="Normal 5 5 6 3 2 2" xfId="24081"/>
    <cellStyle name="Normal 5 5 6 3 3" xfId="10251"/>
    <cellStyle name="Normal 5 5 6 3 4" xfId="19074"/>
    <cellStyle name="Normal 5 5 6 4" xfId="2422"/>
    <cellStyle name="Normal 5 5 6 4 2" xfId="11789"/>
    <cellStyle name="Normal 5 5 6 4 3" xfId="21793"/>
    <cellStyle name="Normal 5 5 6 5" xfId="6448"/>
    <cellStyle name="Normal 5 5 6 5 2" xfId="15275"/>
    <cellStyle name="Normal 5 5 6 5 3" xfId="25526"/>
    <cellStyle name="Normal 5 5 6 6" xfId="7894"/>
    <cellStyle name="Normal 5 5 6 6 2" xfId="20275"/>
    <cellStyle name="Normal 5 5 6 7" xfId="16786"/>
    <cellStyle name="Normal 5 5 7" xfId="1093"/>
    <cellStyle name="Normal 5 5 7 2" xfId="3524"/>
    <cellStyle name="Normal 5 5 7 2 2" xfId="12662"/>
    <cellStyle name="Normal 5 5 7 2 2 2" xfId="22881"/>
    <cellStyle name="Normal 5 5 7 2 3" xfId="9084"/>
    <cellStyle name="Normal 5 5 7 2 4" xfId="17874"/>
    <cellStyle name="Normal 5 5 7 3" xfId="5187"/>
    <cellStyle name="Normal 5 5 7 3 2" xfId="14026"/>
    <cellStyle name="Normal 5 5 7 3 2 2" xfId="24277"/>
    <cellStyle name="Normal 5 5 7 3 3" xfId="10447"/>
    <cellStyle name="Normal 5 5 7 3 4" xfId="19270"/>
    <cellStyle name="Normal 5 5 7 4" xfId="1753"/>
    <cellStyle name="Normal 5 5 7 4 2" xfId="11126"/>
    <cellStyle name="Normal 5 5 7 4 3" xfId="21130"/>
    <cellStyle name="Normal 5 5 7 5" xfId="6644"/>
    <cellStyle name="Normal 5 5 7 5 2" xfId="15471"/>
    <cellStyle name="Normal 5 5 7 5 3" xfId="25722"/>
    <cellStyle name="Normal 5 5 7 6" xfId="8090"/>
    <cellStyle name="Normal 5 5 7 6 2" xfId="20480"/>
    <cellStyle name="Normal 5 5 7 7" xfId="16123"/>
    <cellStyle name="Normal 5 5 8" xfId="2651"/>
    <cellStyle name="Normal 5 5 8 2" xfId="5601"/>
    <cellStyle name="Normal 5 5 8 2 2" xfId="14428"/>
    <cellStyle name="Normal 5 5 8 2 3" xfId="24679"/>
    <cellStyle name="Normal 5 5 8 3" xfId="7045"/>
    <cellStyle name="Normal 5 5 8 3 2" xfId="22014"/>
    <cellStyle name="Normal 5 5 8 4" xfId="17007"/>
    <cellStyle name="Normal 5 5 9" xfId="4141"/>
    <cellStyle name="Normal 5 5 9 2" xfId="12981"/>
    <cellStyle name="Normal 5 5 9 2 2" xfId="23232"/>
    <cellStyle name="Normal 5 5 9 3" xfId="9402"/>
    <cellStyle name="Normal 5 5 9 4" xfId="18225"/>
    <cellStyle name="Normal 5 5_Degree data" xfId="3837"/>
    <cellStyle name="Normal 5 6" xfId="186"/>
    <cellStyle name="Normal 5 6 10" xfId="7138"/>
    <cellStyle name="Normal 5 6 10 2" xfId="19647"/>
    <cellStyle name="Normal 5 6 11" xfId="15884"/>
    <cellStyle name="Normal 5 6 2" xfId="514"/>
    <cellStyle name="Normal 5 6 2 2" xfId="833"/>
    <cellStyle name="Normal 5 6 2 2 2" xfId="3320"/>
    <cellStyle name="Normal 5 6 2 2 2 2" xfId="12464"/>
    <cellStyle name="Normal 5 6 2 2 2 2 2" xfId="22683"/>
    <cellStyle name="Normal 5 6 2 2 2 3" xfId="8886"/>
    <cellStyle name="Normal 5 6 2 2 2 4" xfId="17676"/>
    <cellStyle name="Normal 5 6 2 2 3" xfId="4649"/>
    <cellStyle name="Normal 5 6 2 2 3 2" xfId="13489"/>
    <cellStyle name="Normal 5 6 2 2 3 2 2" xfId="23740"/>
    <cellStyle name="Normal 5 6 2 2 3 3" xfId="9910"/>
    <cellStyle name="Normal 5 6 2 2 3 4" xfId="18733"/>
    <cellStyle name="Normal 5 6 2 2 4" xfId="2429"/>
    <cellStyle name="Normal 5 6 2 2 4 2" xfId="11796"/>
    <cellStyle name="Normal 5 6 2 2 4 3" xfId="21800"/>
    <cellStyle name="Normal 5 6 2 2 5" xfId="6107"/>
    <cellStyle name="Normal 5 6 2 2 5 2" xfId="14934"/>
    <cellStyle name="Normal 5 6 2 2 5 3" xfId="25185"/>
    <cellStyle name="Normal 5 6 2 2 6" xfId="7552"/>
    <cellStyle name="Normal 5 6 2 2 6 2" xfId="20282"/>
    <cellStyle name="Normal 5 6 2 2 7" xfId="16793"/>
    <cellStyle name="Normal 5 6 2 3" xfId="1286"/>
    <cellStyle name="Normal 5 6 2 3 2" xfId="3717"/>
    <cellStyle name="Normal 5 6 2 3 2 2" xfId="12855"/>
    <cellStyle name="Normal 5 6 2 3 2 2 2" xfId="23074"/>
    <cellStyle name="Normal 5 6 2 3 2 3" xfId="9276"/>
    <cellStyle name="Normal 5 6 2 3 2 4" xfId="18067"/>
    <cellStyle name="Normal 5 6 2 3 3" xfId="4998"/>
    <cellStyle name="Normal 5 6 2 3 3 2" xfId="13837"/>
    <cellStyle name="Normal 5 6 2 3 3 2 2" xfId="24088"/>
    <cellStyle name="Normal 5 6 2 3 3 3" xfId="10258"/>
    <cellStyle name="Normal 5 6 2 3 3 4" xfId="19081"/>
    <cellStyle name="Normal 5 6 2 3 4" xfId="2111"/>
    <cellStyle name="Normal 5 6 2 3 4 2" xfId="11478"/>
    <cellStyle name="Normal 5 6 2 3 4 3" xfId="21482"/>
    <cellStyle name="Normal 5 6 2 3 5" xfId="6455"/>
    <cellStyle name="Normal 5 6 2 3 5 2" xfId="15282"/>
    <cellStyle name="Normal 5 6 2 3 5 3" xfId="25533"/>
    <cellStyle name="Normal 5 6 2 3 6" xfId="7901"/>
    <cellStyle name="Normal 5 6 2 3 6 2" xfId="20673"/>
    <cellStyle name="Normal 5 6 2 3 7" xfId="16475"/>
    <cellStyle name="Normal 5 6 2 4" xfId="3002"/>
    <cellStyle name="Normal 5 6 2 4 2" xfId="5380"/>
    <cellStyle name="Normal 5 6 2 4 2 2" xfId="14219"/>
    <cellStyle name="Normal 5 6 2 4 2 2 2" xfId="24470"/>
    <cellStyle name="Normal 5 6 2 4 2 3" xfId="10640"/>
    <cellStyle name="Normal 5 6 2 4 2 4" xfId="19463"/>
    <cellStyle name="Normal 5 6 2 4 3" xfId="6837"/>
    <cellStyle name="Normal 5 6 2 4 3 2" xfId="15664"/>
    <cellStyle name="Normal 5 6 2 4 3 3" xfId="25915"/>
    <cellStyle name="Normal 5 6 2 4 4" xfId="8283"/>
    <cellStyle name="Normal 5 6 2 4 4 2" xfId="22365"/>
    <cellStyle name="Normal 5 6 2 4 5" xfId="17358"/>
    <cellStyle name="Normal 5 6 2 5" xfId="4336"/>
    <cellStyle name="Normal 5 6 2 5 2" xfId="13176"/>
    <cellStyle name="Normal 5 6 2 5 2 2" xfId="23427"/>
    <cellStyle name="Normal 5 6 2 5 3" xfId="9597"/>
    <cellStyle name="Normal 5 6 2 5 4" xfId="18420"/>
    <cellStyle name="Normal 5 6 2 6" xfId="1608"/>
    <cellStyle name="Normal 5 6 2 6 2" xfId="10987"/>
    <cellStyle name="Normal 5 6 2 6 3" xfId="20991"/>
    <cellStyle name="Normal 5 6 2 7" xfId="5794"/>
    <cellStyle name="Normal 5 6 2 7 2" xfId="14621"/>
    <cellStyle name="Normal 5 6 2 7 3" xfId="24872"/>
    <cellStyle name="Normal 5 6 2 8" xfId="7238"/>
    <cellStyle name="Normal 5 6 2 8 2" xfId="19964"/>
    <cellStyle name="Normal 5 6 2 9" xfId="15984"/>
    <cellStyle name="Normal 5 6 2_Degree data" xfId="3873"/>
    <cellStyle name="Normal 5 6 3" xfId="414"/>
    <cellStyle name="Normal 5 6 3 2" xfId="2902"/>
    <cellStyle name="Normal 5 6 3 2 2" xfId="12192"/>
    <cellStyle name="Normal 5 6 3 2 2 2" xfId="22265"/>
    <cellStyle name="Normal 5 6 3 2 3" xfId="8468"/>
    <cellStyle name="Normal 5 6 3 2 4" xfId="17258"/>
    <cellStyle name="Normal 5 6 3 3" xfId="4648"/>
    <cellStyle name="Normal 5 6 3 3 2" xfId="13488"/>
    <cellStyle name="Normal 5 6 3 3 2 2" xfId="23739"/>
    <cellStyle name="Normal 5 6 3 3 3" xfId="9909"/>
    <cellStyle name="Normal 5 6 3 3 4" xfId="18732"/>
    <cellStyle name="Normal 5 6 3 4" xfId="2011"/>
    <cellStyle name="Normal 5 6 3 4 2" xfId="11378"/>
    <cellStyle name="Normal 5 6 3 4 3" xfId="21382"/>
    <cellStyle name="Normal 5 6 3 5" xfId="6106"/>
    <cellStyle name="Normal 5 6 3 5 2" xfId="14933"/>
    <cellStyle name="Normal 5 6 3 5 3" xfId="25184"/>
    <cellStyle name="Normal 5 6 3 6" xfId="7551"/>
    <cellStyle name="Normal 5 6 3 6 2" xfId="19864"/>
    <cellStyle name="Normal 5 6 3 7" xfId="16375"/>
    <cellStyle name="Normal 5 6 4" xfId="832"/>
    <cellStyle name="Normal 5 6 4 2" xfId="3319"/>
    <cellStyle name="Normal 5 6 4 2 2" xfId="12463"/>
    <cellStyle name="Normal 5 6 4 2 2 2" xfId="22682"/>
    <cellStyle name="Normal 5 6 4 2 3" xfId="8885"/>
    <cellStyle name="Normal 5 6 4 2 4" xfId="17675"/>
    <cellStyle name="Normal 5 6 4 3" xfId="4997"/>
    <cellStyle name="Normal 5 6 4 3 2" xfId="13836"/>
    <cellStyle name="Normal 5 6 4 3 2 2" xfId="24087"/>
    <cellStyle name="Normal 5 6 4 3 3" xfId="10257"/>
    <cellStyle name="Normal 5 6 4 3 4" xfId="19080"/>
    <cellStyle name="Normal 5 6 4 4" xfId="2428"/>
    <cellStyle name="Normal 5 6 4 4 2" xfId="11795"/>
    <cellStyle name="Normal 5 6 4 4 3" xfId="21799"/>
    <cellStyle name="Normal 5 6 4 5" xfId="6454"/>
    <cellStyle name="Normal 5 6 4 5 2" xfId="15281"/>
    <cellStyle name="Normal 5 6 4 5 3" xfId="25532"/>
    <cellStyle name="Normal 5 6 4 6" xfId="7900"/>
    <cellStyle name="Normal 5 6 4 6 2" xfId="20281"/>
    <cellStyle name="Normal 5 6 4 7" xfId="16792"/>
    <cellStyle name="Normal 5 6 5" xfId="1186"/>
    <cellStyle name="Normal 5 6 5 2" xfId="3617"/>
    <cellStyle name="Normal 5 6 5 2 2" xfId="12755"/>
    <cellStyle name="Normal 5 6 5 2 2 2" xfId="22974"/>
    <cellStyle name="Normal 5 6 5 2 3" xfId="9176"/>
    <cellStyle name="Normal 5 6 5 2 4" xfId="17967"/>
    <cellStyle name="Normal 5 6 5 3" xfId="5280"/>
    <cellStyle name="Normal 5 6 5 3 2" xfId="14119"/>
    <cellStyle name="Normal 5 6 5 3 2 2" xfId="24370"/>
    <cellStyle name="Normal 5 6 5 3 3" xfId="10540"/>
    <cellStyle name="Normal 5 6 5 3 4" xfId="19363"/>
    <cellStyle name="Normal 5 6 5 4" xfId="1790"/>
    <cellStyle name="Normal 5 6 5 4 2" xfId="11161"/>
    <cellStyle name="Normal 5 6 5 4 3" xfId="21165"/>
    <cellStyle name="Normal 5 6 5 5" xfId="6737"/>
    <cellStyle name="Normal 5 6 5 5 2" xfId="15564"/>
    <cellStyle name="Normal 5 6 5 5 3" xfId="25815"/>
    <cellStyle name="Normal 5 6 5 6" xfId="8183"/>
    <cellStyle name="Normal 5 6 5 6 2" xfId="20573"/>
    <cellStyle name="Normal 5 6 5 7" xfId="16158"/>
    <cellStyle name="Normal 5 6 6" xfId="2685"/>
    <cellStyle name="Normal 5 6 6 2" xfId="12004"/>
    <cellStyle name="Normal 5 6 6 2 2" xfId="22048"/>
    <cellStyle name="Normal 5 6 6 3" xfId="8581"/>
    <cellStyle name="Normal 5 6 6 4" xfId="17041"/>
    <cellStyle name="Normal 5 6 7" xfId="4236"/>
    <cellStyle name="Normal 5 6 7 2" xfId="13076"/>
    <cellStyle name="Normal 5 6 7 2 2" xfId="23327"/>
    <cellStyle name="Normal 5 6 7 3" xfId="9497"/>
    <cellStyle name="Normal 5 6 7 4" xfId="18320"/>
    <cellStyle name="Normal 5 6 8" xfId="1508"/>
    <cellStyle name="Normal 5 6 8 2" xfId="10887"/>
    <cellStyle name="Normal 5 6 8 3" xfId="20891"/>
    <cellStyle name="Normal 5 6 9" xfId="5694"/>
    <cellStyle name="Normal 5 6 9 2" xfId="14521"/>
    <cellStyle name="Normal 5 6 9 3" xfId="24772"/>
    <cellStyle name="Normal 5 6_Degree data" xfId="3866"/>
    <cellStyle name="Normal 5 7" xfId="298"/>
    <cellStyle name="Normal 5 7 10" xfId="16089"/>
    <cellStyle name="Normal 5 7 2" xfId="619"/>
    <cellStyle name="Normal 5 7 2 2" xfId="3107"/>
    <cellStyle name="Normal 5 7 2 2 2" xfId="12252"/>
    <cellStyle name="Normal 5 7 2 2 2 2" xfId="22470"/>
    <cellStyle name="Normal 5 7 2 2 3" xfId="8674"/>
    <cellStyle name="Normal 5 7 2 2 4" xfId="17463"/>
    <cellStyle name="Normal 5 7 2 3" xfId="4650"/>
    <cellStyle name="Normal 5 7 2 3 2" xfId="13490"/>
    <cellStyle name="Normal 5 7 2 3 2 2" xfId="23741"/>
    <cellStyle name="Normal 5 7 2 3 3" xfId="9911"/>
    <cellStyle name="Normal 5 7 2 3 4" xfId="18734"/>
    <cellStyle name="Normal 5 7 2 4" xfId="2216"/>
    <cellStyle name="Normal 5 7 2 4 2" xfId="11583"/>
    <cellStyle name="Normal 5 7 2 4 3" xfId="21587"/>
    <cellStyle name="Normal 5 7 2 5" xfId="6108"/>
    <cellStyle name="Normal 5 7 2 5 2" xfId="14935"/>
    <cellStyle name="Normal 5 7 2 5 3" xfId="25186"/>
    <cellStyle name="Normal 5 7 2 6" xfId="7553"/>
    <cellStyle name="Normal 5 7 2 6 2" xfId="20069"/>
    <cellStyle name="Normal 5 7 2 7" xfId="16580"/>
    <cellStyle name="Normal 5 7 3" xfId="834"/>
    <cellStyle name="Normal 5 7 3 2" xfId="3321"/>
    <cellStyle name="Normal 5 7 3 2 2" xfId="12465"/>
    <cellStyle name="Normal 5 7 3 2 2 2" xfId="22684"/>
    <cellStyle name="Normal 5 7 3 2 3" xfId="8887"/>
    <cellStyle name="Normal 5 7 3 2 4" xfId="17677"/>
    <cellStyle name="Normal 5 7 3 3" xfId="4999"/>
    <cellStyle name="Normal 5 7 3 3 2" xfId="13838"/>
    <cellStyle name="Normal 5 7 3 3 2 2" xfId="24089"/>
    <cellStyle name="Normal 5 7 3 3 3" xfId="10259"/>
    <cellStyle name="Normal 5 7 3 3 4" xfId="19082"/>
    <cellStyle name="Normal 5 7 3 4" xfId="2430"/>
    <cellStyle name="Normal 5 7 3 4 2" xfId="11797"/>
    <cellStyle name="Normal 5 7 3 4 3" xfId="21801"/>
    <cellStyle name="Normal 5 7 3 5" xfId="6456"/>
    <cellStyle name="Normal 5 7 3 5 2" xfId="15283"/>
    <cellStyle name="Normal 5 7 3 5 3" xfId="25534"/>
    <cellStyle name="Normal 5 7 3 6" xfId="7902"/>
    <cellStyle name="Normal 5 7 3 6 2" xfId="20283"/>
    <cellStyle name="Normal 5 7 3 7" xfId="16794"/>
    <cellStyle name="Normal 5 7 4" xfId="1391"/>
    <cellStyle name="Normal 5 7 4 2" xfId="3822"/>
    <cellStyle name="Normal 5 7 4 2 2" xfId="12960"/>
    <cellStyle name="Normal 5 7 4 2 2 2" xfId="23179"/>
    <cellStyle name="Normal 5 7 4 2 3" xfId="9381"/>
    <cellStyle name="Normal 5 7 4 2 4" xfId="18172"/>
    <cellStyle name="Normal 5 7 4 3" xfId="5485"/>
    <cellStyle name="Normal 5 7 4 3 2" xfId="14324"/>
    <cellStyle name="Normal 5 7 4 3 2 2" xfId="24575"/>
    <cellStyle name="Normal 5 7 4 3 3" xfId="10745"/>
    <cellStyle name="Normal 5 7 4 3 4" xfId="19568"/>
    <cellStyle name="Normal 5 7 4 4" xfId="1896"/>
    <cellStyle name="Normal 5 7 4 4 2" xfId="11266"/>
    <cellStyle name="Normal 5 7 4 4 3" xfId="21270"/>
    <cellStyle name="Normal 5 7 4 5" xfId="6942"/>
    <cellStyle name="Normal 5 7 4 5 2" xfId="15769"/>
    <cellStyle name="Normal 5 7 4 5 3" xfId="26020"/>
    <cellStyle name="Normal 5 7 4 6" xfId="8388"/>
    <cellStyle name="Normal 5 7 4 6 2" xfId="20778"/>
    <cellStyle name="Normal 5 7 4 7" xfId="16263"/>
    <cellStyle name="Normal 5 7 5" xfId="2790"/>
    <cellStyle name="Normal 5 7 5 2" xfId="12109"/>
    <cellStyle name="Normal 5 7 5 2 2" xfId="22153"/>
    <cellStyle name="Normal 5 7 5 3" xfId="8489"/>
    <cellStyle name="Normal 5 7 5 4" xfId="17146"/>
    <cellStyle name="Normal 5 7 6" xfId="4441"/>
    <cellStyle name="Normal 5 7 6 2" xfId="13281"/>
    <cellStyle name="Normal 5 7 6 2 2" xfId="23532"/>
    <cellStyle name="Normal 5 7 6 3" xfId="9702"/>
    <cellStyle name="Normal 5 7 6 4" xfId="18525"/>
    <cellStyle name="Normal 5 7 7" xfId="1713"/>
    <cellStyle name="Normal 5 7 7 2" xfId="11092"/>
    <cellStyle name="Normal 5 7 7 3" xfId="21096"/>
    <cellStyle name="Normal 5 7 8" xfId="5899"/>
    <cellStyle name="Normal 5 7 8 2" xfId="14726"/>
    <cellStyle name="Normal 5 7 8 3" xfId="24977"/>
    <cellStyle name="Normal 5 7 9" xfId="7343"/>
    <cellStyle name="Normal 5 7 9 2" xfId="19752"/>
    <cellStyle name="Normal 5 7_Degree data" xfId="3910"/>
    <cellStyle name="Normal 5 8" xfId="310"/>
    <cellStyle name="Normal 5 8 2" xfId="835"/>
    <cellStyle name="Normal 5 8 2 2" xfId="3322"/>
    <cellStyle name="Normal 5 8 2 2 2" xfId="12466"/>
    <cellStyle name="Normal 5 8 2 2 2 2" xfId="22685"/>
    <cellStyle name="Normal 5 8 2 2 3" xfId="8888"/>
    <cellStyle name="Normal 5 8 2 2 4" xfId="17678"/>
    <cellStyle name="Normal 5 8 2 3" xfId="4651"/>
    <cellStyle name="Normal 5 8 2 3 2" xfId="13491"/>
    <cellStyle name="Normal 5 8 2 3 2 2" xfId="23742"/>
    <cellStyle name="Normal 5 8 2 3 3" xfId="9912"/>
    <cellStyle name="Normal 5 8 2 3 4" xfId="18735"/>
    <cellStyle name="Normal 5 8 2 4" xfId="2431"/>
    <cellStyle name="Normal 5 8 2 4 2" xfId="11798"/>
    <cellStyle name="Normal 5 8 2 4 3" xfId="21802"/>
    <cellStyle name="Normal 5 8 2 5" xfId="6109"/>
    <cellStyle name="Normal 5 8 2 5 2" xfId="14936"/>
    <cellStyle name="Normal 5 8 2 5 3" xfId="25187"/>
    <cellStyle name="Normal 5 8 2 6" xfId="7554"/>
    <cellStyle name="Normal 5 8 2 6 2" xfId="20284"/>
    <cellStyle name="Normal 5 8 2 7" xfId="16795"/>
    <cellStyle name="Normal 5 8 3" xfId="1082"/>
    <cellStyle name="Normal 5 8 3 2" xfId="3513"/>
    <cellStyle name="Normal 5 8 3 2 2" xfId="12651"/>
    <cellStyle name="Normal 5 8 3 2 2 2" xfId="22870"/>
    <cellStyle name="Normal 5 8 3 2 3" xfId="9073"/>
    <cellStyle name="Normal 5 8 3 2 4" xfId="17863"/>
    <cellStyle name="Normal 5 8 3 3" xfId="5000"/>
    <cellStyle name="Normal 5 8 3 3 2" xfId="13839"/>
    <cellStyle name="Normal 5 8 3 3 2 2" xfId="24090"/>
    <cellStyle name="Normal 5 8 3 3 3" xfId="10260"/>
    <cellStyle name="Normal 5 8 3 3 4" xfId="19083"/>
    <cellStyle name="Normal 5 8 3 4" xfId="2593"/>
    <cellStyle name="Normal 5 8 3 4 2" xfId="11959"/>
    <cellStyle name="Normal 5 8 3 4 3" xfId="21963"/>
    <cellStyle name="Normal 5 8 3 5" xfId="6457"/>
    <cellStyle name="Normal 5 8 3 5 2" xfId="15284"/>
    <cellStyle name="Normal 5 8 3 5 3" xfId="25535"/>
    <cellStyle name="Normal 5 8 3 6" xfId="7903"/>
    <cellStyle name="Normal 5 8 3 6 2" xfId="20469"/>
    <cellStyle name="Normal 5 8 3 7" xfId="16956"/>
    <cellStyle name="Normal 5 8 4" xfId="2798"/>
    <cellStyle name="Normal 5 8 4 2" xfId="5176"/>
    <cellStyle name="Normal 5 8 4 2 2" xfId="14015"/>
    <cellStyle name="Normal 5 8 4 2 2 2" xfId="24266"/>
    <cellStyle name="Normal 5 8 4 2 3" xfId="10436"/>
    <cellStyle name="Normal 5 8 4 2 4" xfId="19259"/>
    <cellStyle name="Normal 5 8 4 3" xfId="6633"/>
    <cellStyle name="Normal 5 8 4 3 2" xfId="15460"/>
    <cellStyle name="Normal 5 8 4 3 3" xfId="25711"/>
    <cellStyle name="Normal 5 8 4 4" xfId="8079"/>
    <cellStyle name="Normal 5 8 4 4 2" xfId="22161"/>
    <cellStyle name="Normal 5 8 4 5" xfId="17154"/>
    <cellStyle name="Normal 5 8 5" xfId="4130"/>
    <cellStyle name="Normal 5 8 5 2" xfId="12970"/>
    <cellStyle name="Normal 5 8 5 2 2" xfId="23221"/>
    <cellStyle name="Normal 5 8 5 3" xfId="9391"/>
    <cellStyle name="Normal 5 8 5 4" xfId="18214"/>
    <cellStyle name="Normal 5 8 6" xfId="1907"/>
    <cellStyle name="Normal 5 8 6 2" xfId="11274"/>
    <cellStyle name="Normal 5 8 6 3" xfId="21278"/>
    <cellStyle name="Normal 5 8 7" xfId="5590"/>
    <cellStyle name="Normal 5 8 7 2" xfId="14417"/>
    <cellStyle name="Normal 5 8 7 3" xfId="24668"/>
    <cellStyle name="Normal 5 8 8" xfId="7034"/>
    <cellStyle name="Normal 5 8 8 2" xfId="19760"/>
    <cellStyle name="Normal 5 8 9" xfId="16271"/>
    <cellStyle name="Normal 5 8_Degree data" xfId="3943"/>
    <cellStyle name="Normal 5 9" xfId="793"/>
    <cellStyle name="Normal 5 9 2" xfId="3280"/>
    <cellStyle name="Normal 5 9 2 2" xfId="12424"/>
    <cellStyle name="Normal 5 9 2 2 2" xfId="22643"/>
    <cellStyle name="Normal 5 9 2 3" xfId="8846"/>
    <cellStyle name="Normal 5 9 2 4" xfId="17636"/>
    <cellStyle name="Normal 5 9 3" xfId="4609"/>
    <cellStyle name="Normal 5 9 3 2" xfId="13449"/>
    <cellStyle name="Normal 5 9 3 2 2" xfId="23700"/>
    <cellStyle name="Normal 5 9 3 3" xfId="9870"/>
    <cellStyle name="Normal 5 9 3 4" xfId="18693"/>
    <cellStyle name="Normal 5 9 4" xfId="2389"/>
    <cellStyle name="Normal 5 9 4 2" xfId="11756"/>
    <cellStyle name="Normal 5 9 4 3" xfId="21760"/>
    <cellStyle name="Normal 5 9 5" xfId="6067"/>
    <cellStyle name="Normal 5 9 5 2" xfId="14894"/>
    <cellStyle name="Normal 5 9 5 3" xfId="25145"/>
    <cellStyle name="Normal 5 9 6" xfId="7512"/>
    <cellStyle name="Normal 5 9 6 2" xfId="20242"/>
    <cellStyle name="Normal 5 9 7" xfId="16753"/>
    <cellStyle name="Normal 5_Degree data" xfId="3846"/>
    <cellStyle name="Normal 50" xfId="101"/>
    <cellStyle name="Normal 51" xfId="102"/>
    <cellStyle name="Normal 52" xfId="97"/>
    <cellStyle name="Normal 53" xfId="14"/>
    <cellStyle name="Normal 54" xfId="15"/>
    <cellStyle name="Normal 55" xfId="16"/>
    <cellStyle name="Normal 56" xfId="54"/>
    <cellStyle name="Normal 57" xfId="37"/>
    <cellStyle name="Normal 57 10" xfId="290"/>
    <cellStyle name="Normal 57 10 10" xfId="16082"/>
    <cellStyle name="Normal 57 10 2" xfId="612"/>
    <cellStyle name="Normal 57 10 2 2" xfId="3100"/>
    <cellStyle name="Normal 57 10 2 2 2" xfId="12245"/>
    <cellStyle name="Normal 57 10 2 2 2 2" xfId="22463"/>
    <cellStyle name="Normal 57 10 2 2 3" xfId="8667"/>
    <cellStyle name="Normal 57 10 2 2 4" xfId="17456"/>
    <cellStyle name="Normal 57 10 2 3" xfId="4653"/>
    <cellStyle name="Normal 57 10 2 3 2" xfId="13493"/>
    <cellStyle name="Normal 57 10 2 3 2 2" xfId="23744"/>
    <cellStyle name="Normal 57 10 2 3 3" xfId="9914"/>
    <cellStyle name="Normal 57 10 2 3 4" xfId="18737"/>
    <cellStyle name="Normal 57 10 2 4" xfId="2209"/>
    <cellStyle name="Normal 57 10 2 4 2" xfId="11576"/>
    <cellStyle name="Normal 57 10 2 4 3" xfId="21580"/>
    <cellStyle name="Normal 57 10 2 5" xfId="6111"/>
    <cellStyle name="Normal 57 10 2 5 2" xfId="14938"/>
    <cellStyle name="Normal 57 10 2 5 3" xfId="25189"/>
    <cellStyle name="Normal 57 10 2 6" xfId="7556"/>
    <cellStyle name="Normal 57 10 2 6 2" xfId="20062"/>
    <cellStyle name="Normal 57 10 2 7" xfId="16573"/>
    <cellStyle name="Normal 57 10 3" xfId="837"/>
    <cellStyle name="Normal 57 10 3 2" xfId="3324"/>
    <cellStyle name="Normal 57 10 3 2 2" xfId="12468"/>
    <cellStyle name="Normal 57 10 3 2 2 2" xfId="22687"/>
    <cellStyle name="Normal 57 10 3 2 3" xfId="8890"/>
    <cellStyle name="Normal 57 10 3 2 4" xfId="17680"/>
    <cellStyle name="Normal 57 10 3 3" xfId="5002"/>
    <cellStyle name="Normal 57 10 3 3 2" xfId="13841"/>
    <cellStyle name="Normal 57 10 3 3 2 2" xfId="24092"/>
    <cellStyle name="Normal 57 10 3 3 3" xfId="10262"/>
    <cellStyle name="Normal 57 10 3 3 4" xfId="19085"/>
    <cellStyle name="Normal 57 10 3 4" xfId="2433"/>
    <cellStyle name="Normal 57 10 3 4 2" xfId="11800"/>
    <cellStyle name="Normal 57 10 3 4 3" xfId="21804"/>
    <cellStyle name="Normal 57 10 3 5" xfId="6459"/>
    <cellStyle name="Normal 57 10 3 5 2" xfId="15286"/>
    <cellStyle name="Normal 57 10 3 5 3" xfId="25537"/>
    <cellStyle name="Normal 57 10 3 6" xfId="7905"/>
    <cellStyle name="Normal 57 10 3 6 2" xfId="20286"/>
    <cellStyle name="Normal 57 10 3 7" xfId="16797"/>
    <cellStyle name="Normal 57 10 4" xfId="1384"/>
    <cellStyle name="Normal 57 10 4 2" xfId="3815"/>
    <cellStyle name="Normal 57 10 4 2 2" xfId="12953"/>
    <cellStyle name="Normal 57 10 4 2 2 2" xfId="23172"/>
    <cellStyle name="Normal 57 10 4 2 3" xfId="9374"/>
    <cellStyle name="Normal 57 10 4 2 4" xfId="18165"/>
    <cellStyle name="Normal 57 10 4 3" xfId="5478"/>
    <cellStyle name="Normal 57 10 4 3 2" xfId="14317"/>
    <cellStyle name="Normal 57 10 4 3 2 2" xfId="24568"/>
    <cellStyle name="Normal 57 10 4 3 3" xfId="10738"/>
    <cellStyle name="Normal 57 10 4 3 4" xfId="19561"/>
    <cellStyle name="Normal 57 10 4 4" xfId="1889"/>
    <cellStyle name="Normal 57 10 4 4 2" xfId="11259"/>
    <cellStyle name="Normal 57 10 4 4 3" xfId="21263"/>
    <cellStyle name="Normal 57 10 4 5" xfId="6935"/>
    <cellStyle name="Normal 57 10 4 5 2" xfId="15762"/>
    <cellStyle name="Normal 57 10 4 5 3" xfId="26013"/>
    <cellStyle name="Normal 57 10 4 6" xfId="8381"/>
    <cellStyle name="Normal 57 10 4 6 2" xfId="20771"/>
    <cellStyle name="Normal 57 10 4 7" xfId="16256"/>
    <cellStyle name="Normal 57 10 5" xfId="2783"/>
    <cellStyle name="Normal 57 10 5 2" xfId="12102"/>
    <cellStyle name="Normal 57 10 5 2 2" xfId="22146"/>
    <cellStyle name="Normal 57 10 5 3" xfId="8444"/>
    <cellStyle name="Normal 57 10 5 4" xfId="17139"/>
    <cellStyle name="Normal 57 10 6" xfId="4434"/>
    <cellStyle name="Normal 57 10 6 2" xfId="13274"/>
    <cellStyle name="Normal 57 10 6 2 2" xfId="23525"/>
    <cellStyle name="Normal 57 10 6 3" xfId="9695"/>
    <cellStyle name="Normal 57 10 6 4" xfId="18518"/>
    <cellStyle name="Normal 57 10 7" xfId="1706"/>
    <cellStyle name="Normal 57 10 7 2" xfId="11085"/>
    <cellStyle name="Normal 57 10 7 3" xfId="21089"/>
    <cellStyle name="Normal 57 10 8" xfId="5892"/>
    <cellStyle name="Normal 57 10 8 2" xfId="14719"/>
    <cellStyle name="Normal 57 10 8 3" xfId="24970"/>
    <cellStyle name="Normal 57 10 9" xfId="7336"/>
    <cellStyle name="Normal 57 10 9 2" xfId="19745"/>
    <cellStyle name="Normal 57 10_Degree data" xfId="3945"/>
    <cellStyle name="Normal 57 11" xfId="451"/>
    <cellStyle name="Normal 57 11 2" xfId="838"/>
    <cellStyle name="Normal 57 11 2 2" xfId="3325"/>
    <cellStyle name="Normal 57 11 2 2 2" xfId="12469"/>
    <cellStyle name="Normal 57 11 2 2 2 2" xfId="22688"/>
    <cellStyle name="Normal 57 11 2 2 3" xfId="8891"/>
    <cellStyle name="Normal 57 11 2 2 4" xfId="17681"/>
    <cellStyle name="Normal 57 11 2 3" xfId="4654"/>
    <cellStyle name="Normal 57 11 2 3 2" xfId="13494"/>
    <cellStyle name="Normal 57 11 2 3 2 2" xfId="23745"/>
    <cellStyle name="Normal 57 11 2 3 3" xfId="9915"/>
    <cellStyle name="Normal 57 11 2 3 4" xfId="18738"/>
    <cellStyle name="Normal 57 11 2 4" xfId="2434"/>
    <cellStyle name="Normal 57 11 2 4 2" xfId="11801"/>
    <cellStyle name="Normal 57 11 2 4 3" xfId="21805"/>
    <cellStyle name="Normal 57 11 2 5" xfId="6112"/>
    <cellStyle name="Normal 57 11 2 5 2" xfId="14939"/>
    <cellStyle name="Normal 57 11 2 5 3" xfId="25190"/>
    <cellStyle name="Normal 57 11 2 6" xfId="7557"/>
    <cellStyle name="Normal 57 11 2 6 2" xfId="20287"/>
    <cellStyle name="Normal 57 11 2 7" xfId="16798"/>
    <cellStyle name="Normal 57 11 3" xfId="1223"/>
    <cellStyle name="Normal 57 11 3 2" xfId="3654"/>
    <cellStyle name="Normal 57 11 3 2 2" xfId="12792"/>
    <cellStyle name="Normal 57 11 3 2 2 2" xfId="23011"/>
    <cellStyle name="Normal 57 11 3 2 3" xfId="9213"/>
    <cellStyle name="Normal 57 11 3 2 4" xfId="18004"/>
    <cellStyle name="Normal 57 11 3 3" xfId="5003"/>
    <cellStyle name="Normal 57 11 3 3 2" xfId="13842"/>
    <cellStyle name="Normal 57 11 3 3 2 2" xfId="24093"/>
    <cellStyle name="Normal 57 11 3 3 3" xfId="10263"/>
    <cellStyle name="Normal 57 11 3 3 4" xfId="19086"/>
    <cellStyle name="Normal 57 11 3 4" xfId="2048"/>
    <cellStyle name="Normal 57 11 3 4 2" xfId="11415"/>
    <cellStyle name="Normal 57 11 3 4 3" xfId="21419"/>
    <cellStyle name="Normal 57 11 3 5" xfId="6460"/>
    <cellStyle name="Normal 57 11 3 5 2" xfId="15287"/>
    <cellStyle name="Normal 57 11 3 5 3" xfId="25538"/>
    <cellStyle name="Normal 57 11 3 6" xfId="7906"/>
    <cellStyle name="Normal 57 11 3 6 2" xfId="20610"/>
    <cellStyle name="Normal 57 11 3 7" xfId="16412"/>
    <cellStyle name="Normal 57 11 4" xfId="2939"/>
    <cellStyle name="Normal 57 11 4 2" xfId="5317"/>
    <cellStyle name="Normal 57 11 4 2 2" xfId="14156"/>
    <cellStyle name="Normal 57 11 4 2 2 2" xfId="24407"/>
    <cellStyle name="Normal 57 11 4 2 3" xfId="10577"/>
    <cellStyle name="Normal 57 11 4 2 4" xfId="19400"/>
    <cellStyle name="Normal 57 11 4 3" xfId="6774"/>
    <cellStyle name="Normal 57 11 4 3 2" xfId="15601"/>
    <cellStyle name="Normal 57 11 4 3 3" xfId="25852"/>
    <cellStyle name="Normal 57 11 4 4" xfId="8220"/>
    <cellStyle name="Normal 57 11 4 4 2" xfId="22302"/>
    <cellStyle name="Normal 57 11 4 5" xfId="17295"/>
    <cellStyle name="Normal 57 11 5" xfId="4273"/>
    <cellStyle name="Normal 57 11 5 2" xfId="13113"/>
    <cellStyle name="Normal 57 11 5 2 2" xfId="23364"/>
    <cellStyle name="Normal 57 11 5 3" xfId="9534"/>
    <cellStyle name="Normal 57 11 5 4" xfId="18357"/>
    <cellStyle name="Normal 57 11 6" xfId="1545"/>
    <cellStyle name="Normal 57 11 6 2" xfId="10924"/>
    <cellStyle name="Normal 57 11 6 3" xfId="20928"/>
    <cellStyle name="Normal 57 11 7" xfId="5731"/>
    <cellStyle name="Normal 57 11 7 2" xfId="14558"/>
    <cellStyle name="Normal 57 11 7 3" xfId="24809"/>
    <cellStyle name="Normal 57 11 8" xfId="7175"/>
    <cellStyle name="Normal 57 11 8 2" xfId="19901"/>
    <cellStyle name="Normal 57 11 9" xfId="15921"/>
    <cellStyle name="Normal 57 11_Degree data" xfId="3946"/>
    <cellStyle name="Normal 57 12" xfId="306"/>
    <cellStyle name="Normal 57 12 2" xfId="839"/>
    <cellStyle name="Normal 57 12 2 2" xfId="3326"/>
    <cellStyle name="Normal 57 12 2 2 2" xfId="12470"/>
    <cellStyle name="Normal 57 12 2 2 2 2" xfId="22689"/>
    <cellStyle name="Normal 57 12 2 2 3" xfId="8892"/>
    <cellStyle name="Normal 57 12 2 2 4" xfId="17682"/>
    <cellStyle name="Normal 57 12 2 3" xfId="4655"/>
    <cellStyle name="Normal 57 12 2 3 2" xfId="13495"/>
    <cellStyle name="Normal 57 12 2 3 2 2" xfId="23746"/>
    <cellStyle name="Normal 57 12 2 3 3" xfId="9916"/>
    <cellStyle name="Normal 57 12 2 3 4" xfId="18739"/>
    <cellStyle name="Normal 57 12 2 4" xfId="2435"/>
    <cellStyle name="Normal 57 12 2 4 2" xfId="11802"/>
    <cellStyle name="Normal 57 12 2 4 3" xfId="21806"/>
    <cellStyle name="Normal 57 12 2 5" xfId="6113"/>
    <cellStyle name="Normal 57 12 2 5 2" xfId="14940"/>
    <cellStyle name="Normal 57 12 2 5 3" xfId="25191"/>
    <cellStyle name="Normal 57 12 2 6" xfId="7558"/>
    <cellStyle name="Normal 57 12 2 6 2" xfId="20288"/>
    <cellStyle name="Normal 57 12 2 7" xfId="16799"/>
    <cellStyle name="Normal 57 12 3" xfId="1078"/>
    <cellStyle name="Normal 57 12 3 2" xfId="3509"/>
    <cellStyle name="Normal 57 12 3 2 2" xfId="12647"/>
    <cellStyle name="Normal 57 12 3 2 2 2" xfId="22866"/>
    <cellStyle name="Normal 57 12 3 2 3" xfId="9069"/>
    <cellStyle name="Normal 57 12 3 2 4" xfId="17859"/>
    <cellStyle name="Normal 57 12 3 3" xfId="5004"/>
    <cellStyle name="Normal 57 12 3 3 2" xfId="13843"/>
    <cellStyle name="Normal 57 12 3 3 2 2" xfId="24094"/>
    <cellStyle name="Normal 57 12 3 3 3" xfId="10264"/>
    <cellStyle name="Normal 57 12 3 3 4" xfId="19087"/>
    <cellStyle name="Normal 57 12 3 4" xfId="2587"/>
    <cellStyle name="Normal 57 12 3 4 2" xfId="11953"/>
    <cellStyle name="Normal 57 12 3 4 3" xfId="21957"/>
    <cellStyle name="Normal 57 12 3 5" xfId="6461"/>
    <cellStyle name="Normal 57 12 3 5 2" xfId="15288"/>
    <cellStyle name="Normal 57 12 3 5 3" xfId="25539"/>
    <cellStyle name="Normal 57 12 3 6" xfId="7907"/>
    <cellStyle name="Normal 57 12 3 6 2" xfId="20465"/>
    <cellStyle name="Normal 57 12 3 7" xfId="16950"/>
    <cellStyle name="Normal 57 12 4" xfId="2794"/>
    <cellStyle name="Normal 57 12 4 2" xfId="5172"/>
    <cellStyle name="Normal 57 12 4 2 2" xfId="14011"/>
    <cellStyle name="Normal 57 12 4 2 2 2" xfId="24262"/>
    <cellStyle name="Normal 57 12 4 2 3" xfId="10432"/>
    <cellStyle name="Normal 57 12 4 2 4" xfId="19255"/>
    <cellStyle name="Normal 57 12 4 3" xfId="6629"/>
    <cellStyle name="Normal 57 12 4 3 2" xfId="15456"/>
    <cellStyle name="Normal 57 12 4 3 3" xfId="25707"/>
    <cellStyle name="Normal 57 12 4 4" xfId="8075"/>
    <cellStyle name="Normal 57 12 4 4 2" xfId="22157"/>
    <cellStyle name="Normal 57 12 4 5" xfId="17150"/>
    <cellStyle name="Normal 57 12 5" xfId="4126"/>
    <cellStyle name="Normal 57 12 5 2" xfId="12966"/>
    <cellStyle name="Normal 57 12 5 2 2" xfId="23217"/>
    <cellStyle name="Normal 57 12 5 3" xfId="9387"/>
    <cellStyle name="Normal 57 12 5 4" xfId="18210"/>
    <cellStyle name="Normal 57 12 6" xfId="1903"/>
    <cellStyle name="Normal 57 12 6 2" xfId="11270"/>
    <cellStyle name="Normal 57 12 6 3" xfId="21274"/>
    <cellStyle name="Normal 57 12 7" xfId="5586"/>
    <cellStyle name="Normal 57 12 7 2" xfId="14413"/>
    <cellStyle name="Normal 57 12 7 3" xfId="24664"/>
    <cellStyle name="Normal 57 12 8" xfId="7030"/>
    <cellStyle name="Normal 57 12 8 2" xfId="19756"/>
    <cellStyle name="Normal 57 12 9" xfId="16267"/>
    <cellStyle name="Normal 57 12_Degree data" xfId="3947"/>
    <cellStyle name="Normal 57 13" xfId="836"/>
    <cellStyle name="Normal 57 13 2" xfId="3323"/>
    <cellStyle name="Normal 57 13 2 2" xfId="12467"/>
    <cellStyle name="Normal 57 13 2 2 2" xfId="22686"/>
    <cellStyle name="Normal 57 13 2 3" xfId="8889"/>
    <cellStyle name="Normal 57 13 2 4" xfId="17679"/>
    <cellStyle name="Normal 57 13 3" xfId="4652"/>
    <cellStyle name="Normal 57 13 3 2" xfId="13492"/>
    <cellStyle name="Normal 57 13 3 2 2" xfId="23743"/>
    <cellStyle name="Normal 57 13 3 3" xfId="9913"/>
    <cellStyle name="Normal 57 13 3 4" xfId="18736"/>
    <cellStyle name="Normal 57 13 4" xfId="2432"/>
    <cellStyle name="Normal 57 13 4 2" xfId="11799"/>
    <cellStyle name="Normal 57 13 4 3" xfId="21803"/>
    <cellStyle name="Normal 57 13 5" xfId="6110"/>
    <cellStyle name="Normal 57 13 5 2" xfId="14937"/>
    <cellStyle name="Normal 57 13 5 3" xfId="25188"/>
    <cellStyle name="Normal 57 13 6" xfId="7555"/>
    <cellStyle name="Normal 57 13 6 2" xfId="20285"/>
    <cellStyle name="Normal 57 13 7" xfId="16796"/>
    <cellStyle name="Normal 57 14" xfId="1048"/>
    <cellStyle name="Normal 57 14 2" xfId="3479"/>
    <cellStyle name="Normal 57 14 2 2" xfId="12617"/>
    <cellStyle name="Normal 57 14 2 2 2" xfId="22836"/>
    <cellStyle name="Normal 57 14 2 3" xfId="9039"/>
    <cellStyle name="Normal 57 14 2 4" xfId="17829"/>
    <cellStyle name="Normal 57 14 3" xfId="5001"/>
    <cellStyle name="Normal 57 14 3 2" xfId="13840"/>
    <cellStyle name="Normal 57 14 3 2 2" xfId="24091"/>
    <cellStyle name="Normal 57 14 3 3" xfId="10261"/>
    <cellStyle name="Normal 57 14 3 4" xfId="19084"/>
    <cellStyle name="Normal 57 14 4" xfId="1717"/>
    <cellStyle name="Normal 57 14 4 2" xfId="11096"/>
    <cellStyle name="Normal 57 14 4 3" xfId="21100"/>
    <cellStyle name="Normal 57 14 5" xfId="6458"/>
    <cellStyle name="Normal 57 14 5 2" xfId="15285"/>
    <cellStyle name="Normal 57 14 5 3" xfId="25536"/>
    <cellStyle name="Normal 57 14 6" xfId="7904"/>
    <cellStyle name="Normal 57 14 6 2" xfId="20435"/>
    <cellStyle name="Normal 57 14 7" xfId="16093"/>
    <cellStyle name="Normal 57 15" xfId="2617"/>
    <cellStyle name="Normal 57 15 2" xfId="5142"/>
    <cellStyle name="Normal 57 15 2 2" xfId="13981"/>
    <cellStyle name="Normal 57 15 2 2 2" xfId="24232"/>
    <cellStyle name="Normal 57 15 2 3" xfId="10402"/>
    <cellStyle name="Normal 57 15 2 4" xfId="19225"/>
    <cellStyle name="Normal 57 15 3" xfId="6599"/>
    <cellStyle name="Normal 57 15 3 2" xfId="15426"/>
    <cellStyle name="Normal 57 15 3 3" xfId="25677"/>
    <cellStyle name="Normal 57 15 4" xfId="8045"/>
    <cellStyle name="Normal 57 15 4 2" xfId="21984"/>
    <cellStyle name="Normal 57 15 5" xfId="16977"/>
    <cellStyle name="Normal 57 16" xfId="4095"/>
    <cellStyle name="Normal 57 16 2" xfId="5556"/>
    <cellStyle name="Normal 57 16 2 2" xfId="14383"/>
    <cellStyle name="Normal 57 16 2 3" xfId="24634"/>
    <cellStyle name="Normal 57 16 3" xfId="7000"/>
    <cellStyle name="Normal 57 16 3 2" xfId="23186"/>
    <cellStyle name="Normal 57 16 4" xfId="18179"/>
    <cellStyle name="Normal 57 17" xfId="1399"/>
    <cellStyle name="Normal 57 17 2" xfId="10779"/>
    <cellStyle name="Normal 57 17 3" xfId="20783"/>
    <cellStyle name="Normal 57 18" xfId="5511"/>
    <cellStyle name="Normal 57 18 2" xfId="14340"/>
    <cellStyle name="Normal 57 18 3" xfId="24591"/>
    <cellStyle name="Normal 57 19" xfId="6951"/>
    <cellStyle name="Normal 57 19 2" xfId="19584"/>
    <cellStyle name="Normal 57 2" xfId="47"/>
    <cellStyle name="Normal 57 20" xfId="15776"/>
    <cellStyle name="Normal 57 3" xfId="120"/>
    <cellStyle name="Normal 57 3 10" xfId="2632"/>
    <cellStyle name="Normal 57 3 10 2" xfId="5146"/>
    <cellStyle name="Normal 57 3 10 2 2" xfId="13985"/>
    <cellStyle name="Normal 57 3 10 2 2 2" xfId="24236"/>
    <cellStyle name="Normal 57 3 10 2 3" xfId="10406"/>
    <cellStyle name="Normal 57 3 10 2 4" xfId="19229"/>
    <cellStyle name="Normal 57 3 10 3" xfId="6603"/>
    <cellStyle name="Normal 57 3 10 3 2" xfId="15430"/>
    <cellStyle name="Normal 57 3 10 3 3" xfId="25681"/>
    <cellStyle name="Normal 57 3 10 4" xfId="8049"/>
    <cellStyle name="Normal 57 3 10 4 2" xfId="21997"/>
    <cellStyle name="Normal 57 3 10 5" xfId="16990"/>
    <cellStyle name="Normal 57 3 11" xfId="4099"/>
    <cellStyle name="Normal 57 3 11 2" xfId="5560"/>
    <cellStyle name="Normal 57 3 11 2 2" xfId="14387"/>
    <cellStyle name="Normal 57 3 11 2 3" xfId="24638"/>
    <cellStyle name="Normal 57 3 11 3" xfId="7004"/>
    <cellStyle name="Normal 57 3 11 3 2" xfId="23190"/>
    <cellStyle name="Normal 57 3 11 4" xfId="18183"/>
    <cellStyle name="Normal 57 3 12" xfId="1406"/>
    <cellStyle name="Normal 57 3 12 2" xfId="10785"/>
    <cellStyle name="Normal 57 3 12 3" xfId="20789"/>
    <cellStyle name="Normal 57 3 13" xfId="5518"/>
    <cellStyle name="Normal 57 3 13 2" xfId="14347"/>
    <cellStyle name="Normal 57 3 13 3" xfId="24598"/>
    <cellStyle name="Normal 57 3 14" xfId="6959"/>
    <cellStyle name="Normal 57 3 14 2" xfId="19597"/>
    <cellStyle name="Normal 57 3 15" xfId="15782"/>
    <cellStyle name="Normal 57 3 2" xfId="164"/>
    <cellStyle name="Normal 57 3 2 10" xfId="1431"/>
    <cellStyle name="Normal 57 3 2 10 2" xfId="10810"/>
    <cellStyle name="Normal 57 3 2 10 3" xfId="20814"/>
    <cellStyle name="Normal 57 3 2 11" xfId="5540"/>
    <cellStyle name="Normal 57 3 2 11 2" xfId="14369"/>
    <cellStyle name="Normal 57 3 2 11 3" xfId="24620"/>
    <cellStyle name="Normal 57 3 2 12" xfId="6986"/>
    <cellStyle name="Normal 57 3 2 12 2" xfId="19627"/>
    <cellStyle name="Normal 57 3 2 13" xfId="15807"/>
    <cellStyle name="Normal 57 3 2 2" xfId="211"/>
    <cellStyle name="Normal 57 3 2 2 10" xfId="7161"/>
    <cellStyle name="Normal 57 3 2 2 10 2" xfId="19670"/>
    <cellStyle name="Normal 57 3 2 2 11" xfId="15907"/>
    <cellStyle name="Normal 57 3 2 2 2" xfId="537"/>
    <cellStyle name="Normal 57 3 2 2 2 2" xfId="843"/>
    <cellStyle name="Normal 57 3 2 2 2 2 2" xfId="3330"/>
    <cellStyle name="Normal 57 3 2 2 2 2 2 2" xfId="12474"/>
    <cellStyle name="Normal 57 3 2 2 2 2 2 2 2" xfId="22693"/>
    <cellStyle name="Normal 57 3 2 2 2 2 2 3" xfId="8896"/>
    <cellStyle name="Normal 57 3 2 2 2 2 2 4" xfId="17686"/>
    <cellStyle name="Normal 57 3 2 2 2 2 3" xfId="4659"/>
    <cellStyle name="Normal 57 3 2 2 2 2 3 2" xfId="13499"/>
    <cellStyle name="Normal 57 3 2 2 2 2 3 2 2" xfId="23750"/>
    <cellStyle name="Normal 57 3 2 2 2 2 3 3" xfId="9920"/>
    <cellStyle name="Normal 57 3 2 2 2 2 3 4" xfId="18743"/>
    <cellStyle name="Normal 57 3 2 2 2 2 4" xfId="2439"/>
    <cellStyle name="Normal 57 3 2 2 2 2 4 2" xfId="11806"/>
    <cellStyle name="Normal 57 3 2 2 2 2 4 3" xfId="21810"/>
    <cellStyle name="Normal 57 3 2 2 2 2 5" xfId="6117"/>
    <cellStyle name="Normal 57 3 2 2 2 2 5 2" xfId="14944"/>
    <cellStyle name="Normal 57 3 2 2 2 2 5 3" xfId="25195"/>
    <cellStyle name="Normal 57 3 2 2 2 2 6" xfId="7562"/>
    <cellStyle name="Normal 57 3 2 2 2 2 6 2" xfId="20292"/>
    <cellStyle name="Normal 57 3 2 2 2 2 7" xfId="16803"/>
    <cellStyle name="Normal 57 3 2 2 2 3" xfId="1309"/>
    <cellStyle name="Normal 57 3 2 2 2 3 2" xfId="3740"/>
    <cellStyle name="Normal 57 3 2 2 2 3 2 2" xfId="12878"/>
    <cellStyle name="Normal 57 3 2 2 2 3 2 2 2" xfId="23097"/>
    <cellStyle name="Normal 57 3 2 2 2 3 2 3" xfId="9299"/>
    <cellStyle name="Normal 57 3 2 2 2 3 2 4" xfId="18090"/>
    <cellStyle name="Normal 57 3 2 2 2 3 3" xfId="5008"/>
    <cellStyle name="Normal 57 3 2 2 2 3 3 2" xfId="13847"/>
    <cellStyle name="Normal 57 3 2 2 2 3 3 2 2" xfId="24098"/>
    <cellStyle name="Normal 57 3 2 2 2 3 3 3" xfId="10268"/>
    <cellStyle name="Normal 57 3 2 2 2 3 3 4" xfId="19091"/>
    <cellStyle name="Normal 57 3 2 2 2 3 4" xfId="2134"/>
    <cellStyle name="Normal 57 3 2 2 2 3 4 2" xfId="11501"/>
    <cellStyle name="Normal 57 3 2 2 2 3 4 3" xfId="21505"/>
    <cellStyle name="Normal 57 3 2 2 2 3 5" xfId="6465"/>
    <cellStyle name="Normal 57 3 2 2 2 3 5 2" xfId="15292"/>
    <cellStyle name="Normal 57 3 2 2 2 3 5 3" xfId="25543"/>
    <cellStyle name="Normal 57 3 2 2 2 3 6" xfId="7911"/>
    <cellStyle name="Normal 57 3 2 2 2 3 6 2" xfId="20696"/>
    <cellStyle name="Normal 57 3 2 2 2 3 7" xfId="16498"/>
    <cellStyle name="Normal 57 3 2 2 2 4" xfId="3025"/>
    <cellStyle name="Normal 57 3 2 2 2 4 2" xfId="5403"/>
    <cellStyle name="Normal 57 3 2 2 2 4 2 2" xfId="14242"/>
    <cellStyle name="Normal 57 3 2 2 2 4 2 2 2" xfId="24493"/>
    <cellStyle name="Normal 57 3 2 2 2 4 2 3" xfId="10663"/>
    <cellStyle name="Normal 57 3 2 2 2 4 2 4" xfId="19486"/>
    <cellStyle name="Normal 57 3 2 2 2 4 3" xfId="6860"/>
    <cellStyle name="Normal 57 3 2 2 2 4 3 2" xfId="15687"/>
    <cellStyle name="Normal 57 3 2 2 2 4 3 3" xfId="25938"/>
    <cellStyle name="Normal 57 3 2 2 2 4 4" xfId="8306"/>
    <cellStyle name="Normal 57 3 2 2 2 4 4 2" xfId="22388"/>
    <cellStyle name="Normal 57 3 2 2 2 4 5" xfId="17381"/>
    <cellStyle name="Normal 57 3 2 2 2 5" xfId="4359"/>
    <cellStyle name="Normal 57 3 2 2 2 5 2" xfId="13199"/>
    <cellStyle name="Normal 57 3 2 2 2 5 2 2" xfId="23450"/>
    <cellStyle name="Normal 57 3 2 2 2 5 3" xfId="9620"/>
    <cellStyle name="Normal 57 3 2 2 2 5 4" xfId="18443"/>
    <cellStyle name="Normal 57 3 2 2 2 6" xfId="1631"/>
    <cellStyle name="Normal 57 3 2 2 2 6 2" xfId="11010"/>
    <cellStyle name="Normal 57 3 2 2 2 6 3" xfId="21014"/>
    <cellStyle name="Normal 57 3 2 2 2 7" xfId="5817"/>
    <cellStyle name="Normal 57 3 2 2 2 7 2" xfId="14644"/>
    <cellStyle name="Normal 57 3 2 2 2 7 3" xfId="24895"/>
    <cellStyle name="Normal 57 3 2 2 2 8" xfId="7261"/>
    <cellStyle name="Normal 57 3 2 2 2 8 2" xfId="19987"/>
    <cellStyle name="Normal 57 3 2 2 2 9" xfId="16007"/>
    <cellStyle name="Normal 57 3 2 2 2_Degree data" xfId="3951"/>
    <cellStyle name="Normal 57 3 2 2 3" xfId="437"/>
    <cellStyle name="Normal 57 3 2 2 3 2" xfId="2925"/>
    <cellStyle name="Normal 57 3 2 2 3 2 2" xfId="12215"/>
    <cellStyle name="Normal 57 3 2 2 3 2 2 2" xfId="22288"/>
    <cellStyle name="Normal 57 3 2 2 3 2 3" xfId="8463"/>
    <cellStyle name="Normal 57 3 2 2 3 2 4" xfId="17281"/>
    <cellStyle name="Normal 57 3 2 2 3 3" xfId="4658"/>
    <cellStyle name="Normal 57 3 2 2 3 3 2" xfId="13498"/>
    <cellStyle name="Normal 57 3 2 2 3 3 2 2" xfId="23749"/>
    <cellStyle name="Normal 57 3 2 2 3 3 3" xfId="9919"/>
    <cellStyle name="Normal 57 3 2 2 3 3 4" xfId="18742"/>
    <cellStyle name="Normal 57 3 2 2 3 4" xfId="2034"/>
    <cellStyle name="Normal 57 3 2 2 3 4 2" xfId="11401"/>
    <cellStyle name="Normal 57 3 2 2 3 4 3" xfId="21405"/>
    <cellStyle name="Normal 57 3 2 2 3 5" xfId="6116"/>
    <cellStyle name="Normal 57 3 2 2 3 5 2" xfId="14943"/>
    <cellStyle name="Normal 57 3 2 2 3 5 3" xfId="25194"/>
    <cellStyle name="Normal 57 3 2 2 3 6" xfId="7561"/>
    <cellStyle name="Normal 57 3 2 2 3 6 2" xfId="19887"/>
    <cellStyle name="Normal 57 3 2 2 3 7" xfId="16398"/>
    <cellStyle name="Normal 57 3 2 2 4" xfId="842"/>
    <cellStyle name="Normal 57 3 2 2 4 2" xfId="3329"/>
    <cellStyle name="Normal 57 3 2 2 4 2 2" xfId="12473"/>
    <cellStyle name="Normal 57 3 2 2 4 2 2 2" xfId="22692"/>
    <cellStyle name="Normal 57 3 2 2 4 2 3" xfId="8895"/>
    <cellStyle name="Normal 57 3 2 2 4 2 4" xfId="17685"/>
    <cellStyle name="Normal 57 3 2 2 4 3" xfId="5007"/>
    <cellStyle name="Normal 57 3 2 2 4 3 2" xfId="13846"/>
    <cellStyle name="Normal 57 3 2 2 4 3 2 2" xfId="24097"/>
    <cellStyle name="Normal 57 3 2 2 4 3 3" xfId="10267"/>
    <cellStyle name="Normal 57 3 2 2 4 3 4" xfId="19090"/>
    <cellStyle name="Normal 57 3 2 2 4 4" xfId="2438"/>
    <cellStyle name="Normal 57 3 2 2 4 4 2" xfId="11805"/>
    <cellStyle name="Normal 57 3 2 2 4 4 3" xfId="21809"/>
    <cellStyle name="Normal 57 3 2 2 4 5" xfId="6464"/>
    <cellStyle name="Normal 57 3 2 2 4 5 2" xfId="15291"/>
    <cellStyle name="Normal 57 3 2 2 4 5 3" xfId="25542"/>
    <cellStyle name="Normal 57 3 2 2 4 6" xfId="7910"/>
    <cellStyle name="Normal 57 3 2 2 4 6 2" xfId="20291"/>
    <cellStyle name="Normal 57 3 2 2 4 7" xfId="16802"/>
    <cellStyle name="Normal 57 3 2 2 5" xfId="1209"/>
    <cellStyle name="Normal 57 3 2 2 5 2" xfId="3640"/>
    <cellStyle name="Normal 57 3 2 2 5 2 2" xfId="12778"/>
    <cellStyle name="Normal 57 3 2 2 5 2 2 2" xfId="22997"/>
    <cellStyle name="Normal 57 3 2 2 5 2 3" xfId="9199"/>
    <cellStyle name="Normal 57 3 2 2 5 2 4" xfId="17990"/>
    <cellStyle name="Normal 57 3 2 2 5 3" xfId="5303"/>
    <cellStyle name="Normal 57 3 2 2 5 3 2" xfId="14142"/>
    <cellStyle name="Normal 57 3 2 2 5 3 2 2" xfId="24393"/>
    <cellStyle name="Normal 57 3 2 2 5 3 3" xfId="10563"/>
    <cellStyle name="Normal 57 3 2 2 5 3 4" xfId="19386"/>
    <cellStyle name="Normal 57 3 2 2 5 4" xfId="1814"/>
    <cellStyle name="Normal 57 3 2 2 5 4 2" xfId="11184"/>
    <cellStyle name="Normal 57 3 2 2 5 4 3" xfId="21188"/>
    <cellStyle name="Normal 57 3 2 2 5 5" xfId="6760"/>
    <cellStyle name="Normal 57 3 2 2 5 5 2" xfId="15587"/>
    <cellStyle name="Normal 57 3 2 2 5 5 3" xfId="25838"/>
    <cellStyle name="Normal 57 3 2 2 5 6" xfId="8206"/>
    <cellStyle name="Normal 57 3 2 2 5 6 2" xfId="20596"/>
    <cellStyle name="Normal 57 3 2 2 5 7" xfId="16181"/>
    <cellStyle name="Normal 57 3 2 2 6" xfId="2708"/>
    <cellStyle name="Normal 57 3 2 2 6 2" xfId="12027"/>
    <cellStyle name="Normal 57 3 2 2 6 2 2" xfId="22071"/>
    <cellStyle name="Normal 57 3 2 2 6 3" xfId="8507"/>
    <cellStyle name="Normal 57 3 2 2 6 4" xfId="17064"/>
    <cellStyle name="Normal 57 3 2 2 7" xfId="4259"/>
    <cellStyle name="Normal 57 3 2 2 7 2" xfId="13099"/>
    <cellStyle name="Normal 57 3 2 2 7 2 2" xfId="23350"/>
    <cellStyle name="Normal 57 3 2 2 7 3" xfId="9520"/>
    <cellStyle name="Normal 57 3 2 2 7 4" xfId="18343"/>
    <cellStyle name="Normal 57 3 2 2 8" xfId="1531"/>
    <cellStyle name="Normal 57 3 2 2 8 2" xfId="10910"/>
    <cellStyle name="Normal 57 3 2 2 8 3" xfId="20914"/>
    <cellStyle name="Normal 57 3 2 2 9" xfId="5717"/>
    <cellStyle name="Normal 57 3 2 2 9 2" xfId="14544"/>
    <cellStyle name="Normal 57 3 2 2 9 3" xfId="24795"/>
    <cellStyle name="Normal 57 3 2 2_Degree data" xfId="3950"/>
    <cellStyle name="Normal 57 3 2 3" xfId="276"/>
    <cellStyle name="Normal 57 3 2 3 10" xfId="7118"/>
    <cellStyle name="Normal 57 3 2 3 10 2" xfId="19731"/>
    <cellStyle name="Normal 57 3 2 3 11" xfId="15864"/>
    <cellStyle name="Normal 57 3 2 3 2" xfId="598"/>
    <cellStyle name="Normal 57 3 2 3 2 2" xfId="845"/>
    <cellStyle name="Normal 57 3 2 3 2 2 2" xfId="3332"/>
    <cellStyle name="Normal 57 3 2 3 2 2 2 2" xfId="12476"/>
    <cellStyle name="Normal 57 3 2 3 2 2 2 2 2" xfId="22695"/>
    <cellStyle name="Normal 57 3 2 3 2 2 2 3" xfId="8898"/>
    <cellStyle name="Normal 57 3 2 3 2 2 2 4" xfId="17688"/>
    <cellStyle name="Normal 57 3 2 3 2 2 3" xfId="4661"/>
    <cellStyle name="Normal 57 3 2 3 2 2 3 2" xfId="13501"/>
    <cellStyle name="Normal 57 3 2 3 2 2 3 2 2" xfId="23752"/>
    <cellStyle name="Normal 57 3 2 3 2 2 3 3" xfId="9922"/>
    <cellStyle name="Normal 57 3 2 3 2 2 3 4" xfId="18745"/>
    <cellStyle name="Normal 57 3 2 3 2 2 4" xfId="2441"/>
    <cellStyle name="Normal 57 3 2 3 2 2 4 2" xfId="11808"/>
    <cellStyle name="Normal 57 3 2 3 2 2 4 3" xfId="21812"/>
    <cellStyle name="Normal 57 3 2 3 2 2 5" xfId="6119"/>
    <cellStyle name="Normal 57 3 2 3 2 2 5 2" xfId="14946"/>
    <cellStyle name="Normal 57 3 2 3 2 2 5 3" xfId="25197"/>
    <cellStyle name="Normal 57 3 2 3 2 2 6" xfId="7564"/>
    <cellStyle name="Normal 57 3 2 3 2 2 6 2" xfId="20294"/>
    <cellStyle name="Normal 57 3 2 3 2 2 7" xfId="16805"/>
    <cellStyle name="Normal 57 3 2 3 2 3" xfId="1370"/>
    <cellStyle name="Normal 57 3 2 3 2 3 2" xfId="3801"/>
    <cellStyle name="Normal 57 3 2 3 2 3 2 2" xfId="12939"/>
    <cellStyle name="Normal 57 3 2 3 2 3 2 2 2" xfId="23158"/>
    <cellStyle name="Normal 57 3 2 3 2 3 2 3" xfId="9360"/>
    <cellStyle name="Normal 57 3 2 3 2 3 2 4" xfId="18151"/>
    <cellStyle name="Normal 57 3 2 3 2 3 3" xfId="5010"/>
    <cellStyle name="Normal 57 3 2 3 2 3 3 2" xfId="13849"/>
    <cellStyle name="Normal 57 3 2 3 2 3 3 2 2" xfId="24100"/>
    <cellStyle name="Normal 57 3 2 3 2 3 3 3" xfId="10270"/>
    <cellStyle name="Normal 57 3 2 3 2 3 3 4" xfId="19093"/>
    <cellStyle name="Normal 57 3 2 3 2 3 4" xfId="2195"/>
    <cellStyle name="Normal 57 3 2 3 2 3 4 2" xfId="11562"/>
    <cellStyle name="Normal 57 3 2 3 2 3 4 3" xfId="21566"/>
    <cellStyle name="Normal 57 3 2 3 2 3 5" xfId="6467"/>
    <cellStyle name="Normal 57 3 2 3 2 3 5 2" xfId="15294"/>
    <cellStyle name="Normal 57 3 2 3 2 3 5 3" xfId="25545"/>
    <cellStyle name="Normal 57 3 2 3 2 3 6" xfId="7913"/>
    <cellStyle name="Normal 57 3 2 3 2 3 6 2" xfId="20757"/>
    <cellStyle name="Normal 57 3 2 3 2 3 7" xfId="16559"/>
    <cellStyle name="Normal 57 3 2 3 2 4" xfId="3086"/>
    <cellStyle name="Normal 57 3 2 3 2 4 2" xfId="5464"/>
    <cellStyle name="Normal 57 3 2 3 2 4 2 2" xfId="14303"/>
    <cellStyle name="Normal 57 3 2 3 2 4 2 2 2" xfId="24554"/>
    <cellStyle name="Normal 57 3 2 3 2 4 2 3" xfId="10724"/>
    <cellStyle name="Normal 57 3 2 3 2 4 2 4" xfId="19547"/>
    <cellStyle name="Normal 57 3 2 3 2 4 3" xfId="6921"/>
    <cellStyle name="Normal 57 3 2 3 2 4 3 2" xfId="15748"/>
    <cellStyle name="Normal 57 3 2 3 2 4 3 3" xfId="25999"/>
    <cellStyle name="Normal 57 3 2 3 2 4 4" xfId="8367"/>
    <cellStyle name="Normal 57 3 2 3 2 4 4 2" xfId="22449"/>
    <cellStyle name="Normal 57 3 2 3 2 4 5" xfId="17442"/>
    <cellStyle name="Normal 57 3 2 3 2 5" xfId="4420"/>
    <cellStyle name="Normal 57 3 2 3 2 5 2" xfId="13260"/>
    <cellStyle name="Normal 57 3 2 3 2 5 2 2" xfId="23511"/>
    <cellStyle name="Normal 57 3 2 3 2 5 3" xfId="9681"/>
    <cellStyle name="Normal 57 3 2 3 2 5 4" xfId="18504"/>
    <cellStyle name="Normal 57 3 2 3 2 6" xfId="1692"/>
    <cellStyle name="Normal 57 3 2 3 2 6 2" xfId="11071"/>
    <cellStyle name="Normal 57 3 2 3 2 6 3" xfId="21075"/>
    <cellStyle name="Normal 57 3 2 3 2 7" xfId="5878"/>
    <cellStyle name="Normal 57 3 2 3 2 7 2" xfId="14705"/>
    <cellStyle name="Normal 57 3 2 3 2 7 3" xfId="24956"/>
    <cellStyle name="Normal 57 3 2 3 2 8" xfId="7322"/>
    <cellStyle name="Normal 57 3 2 3 2 8 2" xfId="20048"/>
    <cellStyle name="Normal 57 3 2 3 2 9" xfId="16068"/>
    <cellStyle name="Normal 57 3 2 3 2_Degree data" xfId="3953"/>
    <cellStyle name="Normal 57 3 2 3 3" xfId="394"/>
    <cellStyle name="Normal 57 3 2 3 3 2" xfId="2882"/>
    <cellStyle name="Normal 57 3 2 3 3 2 2" xfId="12172"/>
    <cellStyle name="Normal 57 3 2 3 3 2 2 2" xfId="22245"/>
    <cellStyle name="Normal 57 3 2 3 3 2 3" xfId="8536"/>
    <cellStyle name="Normal 57 3 2 3 3 2 4" xfId="17238"/>
    <cellStyle name="Normal 57 3 2 3 3 3" xfId="4660"/>
    <cellStyle name="Normal 57 3 2 3 3 3 2" xfId="13500"/>
    <cellStyle name="Normal 57 3 2 3 3 3 2 2" xfId="23751"/>
    <cellStyle name="Normal 57 3 2 3 3 3 3" xfId="9921"/>
    <cellStyle name="Normal 57 3 2 3 3 3 4" xfId="18744"/>
    <cellStyle name="Normal 57 3 2 3 3 4" xfId="1991"/>
    <cellStyle name="Normal 57 3 2 3 3 4 2" xfId="11358"/>
    <cellStyle name="Normal 57 3 2 3 3 4 3" xfId="21362"/>
    <cellStyle name="Normal 57 3 2 3 3 5" xfId="6118"/>
    <cellStyle name="Normal 57 3 2 3 3 5 2" xfId="14945"/>
    <cellStyle name="Normal 57 3 2 3 3 5 3" xfId="25196"/>
    <cellStyle name="Normal 57 3 2 3 3 6" xfId="7563"/>
    <cellStyle name="Normal 57 3 2 3 3 6 2" xfId="19844"/>
    <cellStyle name="Normal 57 3 2 3 3 7" xfId="16355"/>
    <cellStyle name="Normal 57 3 2 3 4" xfId="844"/>
    <cellStyle name="Normal 57 3 2 3 4 2" xfId="3331"/>
    <cellStyle name="Normal 57 3 2 3 4 2 2" xfId="12475"/>
    <cellStyle name="Normal 57 3 2 3 4 2 2 2" xfId="22694"/>
    <cellStyle name="Normal 57 3 2 3 4 2 3" xfId="8897"/>
    <cellStyle name="Normal 57 3 2 3 4 2 4" xfId="17687"/>
    <cellStyle name="Normal 57 3 2 3 4 3" xfId="5009"/>
    <cellStyle name="Normal 57 3 2 3 4 3 2" xfId="13848"/>
    <cellStyle name="Normal 57 3 2 3 4 3 2 2" xfId="24099"/>
    <cellStyle name="Normal 57 3 2 3 4 3 3" xfId="10269"/>
    <cellStyle name="Normal 57 3 2 3 4 3 4" xfId="19092"/>
    <cellStyle name="Normal 57 3 2 3 4 4" xfId="2440"/>
    <cellStyle name="Normal 57 3 2 3 4 4 2" xfId="11807"/>
    <cellStyle name="Normal 57 3 2 3 4 4 3" xfId="21811"/>
    <cellStyle name="Normal 57 3 2 3 4 5" xfId="6466"/>
    <cellStyle name="Normal 57 3 2 3 4 5 2" xfId="15293"/>
    <cellStyle name="Normal 57 3 2 3 4 5 3" xfId="25544"/>
    <cellStyle name="Normal 57 3 2 3 4 6" xfId="7912"/>
    <cellStyle name="Normal 57 3 2 3 4 6 2" xfId="20293"/>
    <cellStyle name="Normal 57 3 2 3 4 7" xfId="16804"/>
    <cellStyle name="Normal 57 3 2 3 5" xfId="1166"/>
    <cellStyle name="Normal 57 3 2 3 5 2" xfId="3597"/>
    <cellStyle name="Normal 57 3 2 3 5 2 2" xfId="12735"/>
    <cellStyle name="Normal 57 3 2 3 5 2 2 2" xfId="22954"/>
    <cellStyle name="Normal 57 3 2 3 5 2 3" xfId="9156"/>
    <cellStyle name="Normal 57 3 2 3 5 2 4" xfId="17947"/>
    <cellStyle name="Normal 57 3 2 3 5 3" xfId="5260"/>
    <cellStyle name="Normal 57 3 2 3 5 3 2" xfId="14099"/>
    <cellStyle name="Normal 57 3 2 3 5 3 2 2" xfId="24350"/>
    <cellStyle name="Normal 57 3 2 3 5 3 3" xfId="10520"/>
    <cellStyle name="Normal 57 3 2 3 5 3 4" xfId="19343"/>
    <cellStyle name="Normal 57 3 2 3 5 4" xfId="1875"/>
    <cellStyle name="Normal 57 3 2 3 5 4 2" xfId="11245"/>
    <cellStyle name="Normal 57 3 2 3 5 4 3" xfId="21249"/>
    <cellStyle name="Normal 57 3 2 3 5 5" xfId="6717"/>
    <cellStyle name="Normal 57 3 2 3 5 5 2" xfId="15544"/>
    <cellStyle name="Normal 57 3 2 3 5 5 3" xfId="25795"/>
    <cellStyle name="Normal 57 3 2 3 5 6" xfId="8163"/>
    <cellStyle name="Normal 57 3 2 3 5 6 2" xfId="20553"/>
    <cellStyle name="Normal 57 3 2 3 5 7" xfId="16242"/>
    <cellStyle name="Normal 57 3 2 3 6" xfId="2769"/>
    <cellStyle name="Normal 57 3 2 3 6 2" xfId="12088"/>
    <cellStyle name="Normal 57 3 2 3 6 2 2" xfId="22132"/>
    <cellStyle name="Normal 57 3 2 3 6 3" xfId="8624"/>
    <cellStyle name="Normal 57 3 2 3 6 4" xfId="17125"/>
    <cellStyle name="Normal 57 3 2 3 7" xfId="4216"/>
    <cellStyle name="Normal 57 3 2 3 7 2" xfId="13056"/>
    <cellStyle name="Normal 57 3 2 3 7 2 2" xfId="23307"/>
    <cellStyle name="Normal 57 3 2 3 7 3" xfId="9477"/>
    <cellStyle name="Normal 57 3 2 3 7 4" xfId="18300"/>
    <cellStyle name="Normal 57 3 2 3 8" xfId="1488"/>
    <cellStyle name="Normal 57 3 2 3 8 2" xfId="10867"/>
    <cellStyle name="Normal 57 3 2 3 8 3" xfId="20871"/>
    <cellStyle name="Normal 57 3 2 3 9" xfId="5674"/>
    <cellStyle name="Normal 57 3 2 3 9 2" xfId="14501"/>
    <cellStyle name="Normal 57 3 2 3 9 3" xfId="24752"/>
    <cellStyle name="Normal 57 3 2 3_Degree data" xfId="3952"/>
    <cellStyle name="Normal 57 3 2 4" xfId="494"/>
    <cellStyle name="Normal 57 3 2 4 2" xfId="846"/>
    <cellStyle name="Normal 57 3 2 4 2 2" xfId="3333"/>
    <cellStyle name="Normal 57 3 2 4 2 2 2" xfId="12477"/>
    <cellStyle name="Normal 57 3 2 4 2 2 2 2" xfId="22696"/>
    <cellStyle name="Normal 57 3 2 4 2 2 3" xfId="8899"/>
    <cellStyle name="Normal 57 3 2 4 2 2 4" xfId="17689"/>
    <cellStyle name="Normal 57 3 2 4 2 3" xfId="4662"/>
    <cellStyle name="Normal 57 3 2 4 2 3 2" xfId="13502"/>
    <cellStyle name="Normal 57 3 2 4 2 3 2 2" xfId="23753"/>
    <cellStyle name="Normal 57 3 2 4 2 3 3" xfId="9923"/>
    <cellStyle name="Normal 57 3 2 4 2 3 4" xfId="18746"/>
    <cellStyle name="Normal 57 3 2 4 2 4" xfId="2442"/>
    <cellStyle name="Normal 57 3 2 4 2 4 2" xfId="11809"/>
    <cellStyle name="Normal 57 3 2 4 2 4 3" xfId="21813"/>
    <cellStyle name="Normal 57 3 2 4 2 5" xfId="6120"/>
    <cellStyle name="Normal 57 3 2 4 2 5 2" xfId="14947"/>
    <cellStyle name="Normal 57 3 2 4 2 5 3" xfId="25198"/>
    <cellStyle name="Normal 57 3 2 4 2 6" xfId="7565"/>
    <cellStyle name="Normal 57 3 2 4 2 6 2" xfId="20295"/>
    <cellStyle name="Normal 57 3 2 4 2 7" xfId="16806"/>
    <cellStyle name="Normal 57 3 2 4 3" xfId="1266"/>
    <cellStyle name="Normal 57 3 2 4 3 2" xfId="3697"/>
    <cellStyle name="Normal 57 3 2 4 3 2 2" xfId="12835"/>
    <cellStyle name="Normal 57 3 2 4 3 2 2 2" xfId="23054"/>
    <cellStyle name="Normal 57 3 2 4 3 2 3" xfId="9256"/>
    <cellStyle name="Normal 57 3 2 4 3 2 4" xfId="18047"/>
    <cellStyle name="Normal 57 3 2 4 3 3" xfId="5011"/>
    <cellStyle name="Normal 57 3 2 4 3 3 2" xfId="13850"/>
    <cellStyle name="Normal 57 3 2 4 3 3 2 2" xfId="24101"/>
    <cellStyle name="Normal 57 3 2 4 3 3 3" xfId="10271"/>
    <cellStyle name="Normal 57 3 2 4 3 3 4" xfId="19094"/>
    <cellStyle name="Normal 57 3 2 4 3 4" xfId="2091"/>
    <cellStyle name="Normal 57 3 2 4 3 4 2" xfId="11458"/>
    <cellStyle name="Normal 57 3 2 4 3 4 3" xfId="21462"/>
    <cellStyle name="Normal 57 3 2 4 3 5" xfId="6468"/>
    <cellStyle name="Normal 57 3 2 4 3 5 2" xfId="15295"/>
    <cellStyle name="Normal 57 3 2 4 3 5 3" xfId="25546"/>
    <cellStyle name="Normal 57 3 2 4 3 6" xfId="7914"/>
    <cellStyle name="Normal 57 3 2 4 3 6 2" xfId="20653"/>
    <cellStyle name="Normal 57 3 2 4 3 7" xfId="16455"/>
    <cellStyle name="Normal 57 3 2 4 4" xfId="2982"/>
    <cellStyle name="Normal 57 3 2 4 4 2" xfId="5360"/>
    <cellStyle name="Normal 57 3 2 4 4 2 2" xfId="14199"/>
    <cellStyle name="Normal 57 3 2 4 4 2 2 2" xfId="24450"/>
    <cellStyle name="Normal 57 3 2 4 4 2 3" xfId="10620"/>
    <cellStyle name="Normal 57 3 2 4 4 2 4" xfId="19443"/>
    <cellStyle name="Normal 57 3 2 4 4 3" xfId="6817"/>
    <cellStyle name="Normal 57 3 2 4 4 3 2" xfId="15644"/>
    <cellStyle name="Normal 57 3 2 4 4 3 3" xfId="25895"/>
    <cellStyle name="Normal 57 3 2 4 4 4" xfId="8263"/>
    <cellStyle name="Normal 57 3 2 4 4 4 2" xfId="22345"/>
    <cellStyle name="Normal 57 3 2 4 4 5" xfId="17338"/>
    <cellStyle name="Normal 57 3 2 4 5" xfId="4316"/>
    <cellStyle name="Normal 57 3 2 4 5 2" xfId="13156"/>
    <cellStyle name="Normal 57 3 2 4 5 2 2" xfId="23407"/>
    <cellStyle name="Normal 57 3 2 4 5 3" xfId="9577"/>
    <cellStyle name="Normal 57 3 2 4 5 4" xfId="18400"/>
    <cellStyle name="Normal 57 3 2 4 6" xfId="1588"/>
    <cellStyle name="Normal 57 3 2 4 6 2" xfId="10967"/>
    <cellStyle name="Normal 57 3 2 4 6 3" xfId="20971"/>
    <cellStyle name="Normal 57 3 2 4 7" xfId="5774"/>
    <cellStyle name="Normal 57 3 2 4 7 2" xfId="14601"/>
    <cellStyle name="Normal 57 3 2 4 7 3" xfId="24852"/>
    <cellStyle name="Normal 57 3 2 4 8" xfId="7218"/>
    <cellStyle name="Normal 57 3 2 4 8 2" xfId="19944"/>
    <cellStyle name="Normal 57 3 2 4 9" xfId="15964"/>
    <cellStyle name="Normal 57 3 2 4_Degree data" xfId="3954"/>
    <cellStyle name="Normal 57 3 2 5" xfId="337"/>
    <cellStyle name="Normal 57 3 2 5 2" xfId="847"/>
    <cellStyle name="Normal 57 3 2 5 2 2" xfId="3334"/>
    <cellStyle name="Normal 57 3 2 5 2 2 2" xfId="12478"/>
    <cellStyle name="Normal 57 3 2 5 2 2 2 2" xfId="22697"/>
    <cellStyle name="Normal 57 3 2 5 2 2 3" xfId="8900"/>
    <cellStyle name="Normal 57 3 2 5 2 2 4" xfId="17690"/>
    <cellStyle name="Normal 57 3 2 5 2 3" xfId="4663"/>
    <cellStyle name="Normal 57 3 2 5 2 3 2" xfId="13503"/>
    <cellStyle name="Normal 57 3 2 5 2 3 2 2" xfId="23754"/>
    <cellStyle name="Normal 57 3 2 5 2 3 3" xfId="9924"/>
    <cellStyle name="Normal 57 3 2 5 2 3 4" xfId="18747"/>
    <cellStyle name="Normal 57 3 2 5 2 4" xfId="2443"/>
    <cellStyle name="Normal 57 3 2 5 2 4 2" xfId="11810"/>
    <cellStyle name="Normal 57 3 2 5 2 4 3" xfId="21814"/>
    <cellStyle name="Normal 57 3 2 5 2 5" xfId="6121"/>
    <cellStyle name="Normal 57 3 2 5 2 5 2" xfId="14948"/>
    <cellStyle name="Normal 57 3 2 5 2 5 3" xfId="25199"/>
    <cellStyle name="Normal 57 3 2 5 2 6" xfId="7566"/>
    <cellStyle name="Normal 57 3 2 5 2 6 2" xfId="20296"/>
    <cellStyle name="Normal 57 3 2 5 2 7" xfId="16807"/>
    <cellStyle name="Normal 57 3 2 5 3" xfId="1109"/>
    <cellStyle name="Normal 57 3 2 5 3 2" xfId="3540"/>
    <cellStyle name="Normal 57 3 2 5 3 2 2" xfId="12678"/>
    <cellStyle name="Normal 57 3 2 5 3 2 2 2" xfId="22897"/>
    <cellStyle name="Normal 57 3 2 5 3 2 3" xfId="9099"/>
    <cellStyle name="Normal 57 3 2 5 3 2 4" xfId="17890"/>
    <cellStyle name="Normal 57 3 2 5 3 3" xfId="5012"/>
    <cellStyle name="Normal 57 3 2 5 3 3 2" xfId="13851"/>
    <cellStyle name="Normal 57 3 2 5 3 3 2 2" xfId="24102"/>
    <cellStyle name="Normal 57 3 2 5 3 3 3" xfId="10272"/>
    <cellStyle name="Normal 57 3 2 5 3 3 4" xfId="19095"/>
    <cellStyle name="Normal 57 3 2 5 3 4" xfId="2603"/>
    <cellStyle name="Normal 57 3 2 5 3 4 2" xfId="11969"/>
    <cellStyle name="Normal 57 3 2 5 3 4 3" xfId="21973"/>
    <cellStyle name="Normal 57 3 2 5 3 5" xfId="6469"/>
    <cellStyle name="Normal 57 3 2 5 3 5 2" xfId="15296"/>
    <cellStyle name="Normal 57 3 2 5 3 5 3" xfId="25547"/>
    <cellStyle name="Normal 57 3 2 5 3 6" xfId="7915"/>
    <cellStyle name="Normal 57 3 2 5 3 6 2" xfId="20496"/>
    <cellStyle name="Normal 57 3 2 5 3 7" xfId="16966"/>
    <cellStyle name="Normal 57 3 2 5 4" xfId="2825"/>
    <cellStyle name="Normal 57 3 2 5 4 2" xfId="5203"/>
    <cellStyle name="Normal 57 3 2 5 4 2 2" xfId="14042"/>
    <cellStyle name="Normal 57 3 2 5 4 2 2 2" xfId="24293"/>
    <cellStyle name="Normal 57 3 2 5 4 2 3" xfId="10463"/>
    <cellStyle name="Normal 57 3 2 5 4 2 4" xfId="19286"/>
    <cellStyle name="Normal 57 3 2 5 4 3" xfId="6660"/>
    <cellStyle name="Normal 57 3 2 5 4 3 2" xfId="15487"/>
    <cellStyle name="Normal 57 3 2 5 4 3 3" xfId="25738"/>
    <cellStyle name="Normal 57 3 2 5 4 4" xfId="8106"/>
    <cellStyle name="Normal 57 3 2 5 4 4 2" xfId="22188"/>
    <cellStyle name="Normal 57 3 2 5 4 5" xfId="17181"/>
    <cellStyle name="Normal 57 3 2 5 5" xfId="4157"/>
    <cellStyle name="Normal 57 3 2 5 5 2" xfId="12997"/>
    <cellStyle name="Normal 57 3 2 5 5 2 2" xfId="23248"/>
    <cellStyle name="Normal 57 3 2 5 5 3" xfId="9418"/>
    <cellStyle name="Normal 57 3 2 5 5 4" xfId="18241"/>
    <cellStyle name="Normal 57 3 2 5 6" xfId="1934"/>
    <cellStyle name="Normal 57 3 2 5 6 2" xfId="11301"/>
    <cellStyle name="Normal 57 3 2 5 6 3" xfId="21305"/>
    <cellStyle name="Normal 57 3 2 5 7" xfId="5617"/>
    <cellStyle name="Normal 57 3 2 5 7 2" xfId="14444"/>
    <cellStyle name="Normal 57 3 2 5 7 3" xfId="24695"/>
    <cellStyle name="Normal 57 3 2 5 8" xfId="7061"/>
    <cellStyle name="Normal 57 3 2 5 8 2" xfId="19787"/>
    <cellStyle name="Normal 57 3 2 5 9" xfId="16298"/>
    <cellStyle name="Normal 57 3 2 5_Degree data" xfId="3955"/>
    <cellStyle name="Normal 57 3 2 6" xfId="841"/>
    <cellStyle name="Normal 57 3 2 6 2" xfId="3328"/>
    <cellStyle name="Normal 57 3 2 6 2 2" xfId="12472"/>
    <cellStyle name="Normal 57 3 2 6 2 2 2" xfId="22691"/>
    <cellStyle name="Normal 57 3 2 6 2 3" xfId="8894"/>
    <cellStyle name="Normal 57 3 2 6 2 4" xfId="17684"/>
    <cellStyle name="Normal 57 3 2 6 3" xfId="4657"/>
    <cellStyle name="Normal 57 3 2 6 3 2" xfId="13497"/>
    <cellStyle name="Normal 57 3 2 6 3 2 2" xfId="23748"/>
    <cellStyle name="Normal 57 3 2 6 3 3" xfId="9918"/>
    <cellStyle name="Normal 57 3 2 6 3 4" xfId="18741"/>
    <cellStyle name="Normal 57 3 2 6 4" xfId="2437"/>
    <cellStyle name="Normal 57 3 2 6 4 2" xfId="11804"/>
    <cellStyle name="Normal 57 3 2 6 4 3" xfId="21808"/>
    <cellStyle name="Normal 57 3 2 6 5" xfId="6115"/>
    <cellStyle name="Normal 57 3 2 6 5 2" xfId="14942"/>
    <cellStyle name="Normal 57 3 2 6 5 3" xfId="25193"/>
    <cellStyle name="Normal 57 3 2 6 6" xfId="7560"/>
    <cellStyle name="Normal 57 3 2 6 6 2" xfId="20290"/>
    <cellStyle name="Normal 57 3 2 6 7" xfId="16801"/>
    <cellStyle name="Normal 57 3 2 7" xfId="1064"/>
    <cellStyle name="Normal 57 3 2 7 2" xfId="3495"/>
    <cellStyle name="Normal 57 3 2 7 2 2" xfId="12633"/>
    <cellStyle name="Normal 57 3 2 7 2 2 2" xfId="22852"/>
    <cellStyle name="Normal 57 3 2 7 2 3" xfId="9055"/>
    <cellStyle name="Normal 57 3 2 7 2 4" xfId="17845"/>
    <cellStyle name="Normal 57 3 2 7 3" xfId="5006"/>
    <cellStyle name="Normal 57 3 2 7 3 2" xfId="13845"/>
    <cellStyle name="Normal 57 3 2 7 3 2 2" xfId="24096"/>
    <cellStyle name="Normal 57 3 2 7 3 3" xfId="10266"/>
    <cellStyle name="Normal 57 3 2 7 3 4" xfId="19089"/>
    <cellStyle name="Normal 57 3 2 7 4" xfId="1768"/>
    <cellStyle name="Normal 57 3 2 7 4 2" xfId="11141"/>
    <cellStyle name="Normal 57 3 2 7 4 3" xfId="21145"/>
    <cellStyle name="Normal 57 3 2 7 5" xfId="6463"/>
    <cellStyle name="Normal 57 3 2 7 5 2" xfId="15290"/>
    <cellStyle name="Normal 57 3 2 7 5 3" xfId="25541"/>
    <cellStyle name="Normal 57 3 2 7 6" xfId="7909"/>
    <cellStyle name="Normal 57 3 2 7 6 2" xfId="20451"/>
    <cellStyle name="Normal 57 3 2 7 7" xfId="16138"/>
    <cellStyle name="Normal 57 3 2 8" xfId="2665"/>
    <cellStyle name="Normal 57 3 2 8 2" xfId="5158"/>
    <cellStyle name="Normal 57 3 2 8 2 2" xfId="13997"/>
    <cellStyle name="Normal 57 3 2 8 2 2 2" xfId="24248"/>
    <cellStyle name="Normal 57 3 2 8 2 3" xfId="10418"/>
    <cellStyle name="Normal 57 3 2 8 2 4" xfId="19241"/>
    <cellStyle name="Normal 57 3 2 8 3" xfId="6615"/>
    <cellStyle name="Normal 57 3 2 8 3 2" xfId="15442"/>
    <cellStyle name="Normal 57 3 2 8 3 3" xfId="25693"/>
    <cellStyle name="Normal 57 3 2 8 4" xfId="8061"/>
    <cellStyle name="Normal 57 3 2 8 4 2" xfId="22028"/>
    <cellStyle name="Normal 57 3 2 8 5" xfId="17021"/>
    <cellStyle name="Normal 57 3 2 9" xfId="4112"/>
    <cellStyle name="Normal 57 3 2 9 2" xfId="5572"/>
    <cellStyle name="Normal 57 3 2 9 2 2" xfId="14399"/>
    <cellStyle name="Normal 57 3 2 9 2 3" xfId="24650"/>
    <cellStyle name="Normal 57 3 2 9 3" xfId="7016"/>
    <cellStyle name="Normal 57 3 2 9 3 2" xfId="23203"/>
    <cellStyle name="Normal 57 3 2 9 4" xfId="18196"/>
    <cellStyle name="Normal 57 3 2_Degree data" xfId="3949"/>
    <cellStyle name="Normal 57 3 3" xfId="147"/>
    <cellStyle name="Normal 57 3 3 10" xfId="1417"/>
    <cellStyle name="Normal 57 3 3 10 2" xfId="10796"/>
    <cellStyle name="Normal 57 3 3 10 3" xfId="20800"/>
    <cellStyle name="Normal 57 3 3 11" xfId="5528"/>
    <cellStyle name="Normal 57 3 3 11 2" xfId="14357"/>
    <cellStyle name="Normal 57 3 3 11 3" xfId="24608"/>
    <cellStyle name="Normal 57 3 3 12" xfId="6970"/>
    <cellStyle name="Normal 57 3 3 12 2" xfId="19615"/>
    <cellStyle name="Normal 57 3 3 13" xfId="15793"/>
    <cellStyle name="Normal 57 3 3 2" xfId="197"/>
    <cellStyle name="Normal 57 3 3 2 10" xfId="7149"/>
    <cellStyle name="Normal 57 3 3 2 10 2" xfId="19658"/>
    <cellStyle name="Normal 57 3 3 2 11" xfId="15895"/>
    <cellStyle name="Normal 57 3 3 2 2" xfId="525"/>
    <cellStyle name="Normal 57 3 3 2 2 2" xfId="850"/>
    <cellStyle name="Normal 57 3 3 2 2 2 2" xfId="3337"/>
    <cellStyle name="Normal 57 3 3 2 2 2 2 2" xfId="12481"/>
    <cellStyle name="Normal 57 3 3 2 2 2 2 2 2" xfId="22700"/>
    <cellStyle name="Normal 57 3 3 2 2 2 2 3" xfId="8903"/>
    <cellStyle name="Normal 57 3 3 2 2 2 2 4" xfId="17693"/>
    <cellStyle name="Normal 57 3 3 2 2 2 3" xfId="4666"/>
    <cellStyle name="Normal 57 3 3 2 2 2 3 2" xfId="13506"/>
    <cellStyle name="Normal 57 3 3 2 2 2 3 2 2" xfId="23757"/>
    <cellStyle name="Normal 57 3 3 2 2 2 3 3" xfId="9927"/>
    <cellStyle name="Normal 57 3 3 2 2 2 3 4" xfId="18750"/>
    <cellStyle name="Normal 57 3 3 2 2 2 4" xfId="2446"/>
    <cellStyle name="Normal 57 3 3 2 2 2 4 2" xfId="11813"/>
    <cellStyle name="Normal 57 3 3 2 2 2 4 3" xfId="21817"/>
    <cellStyle name="Normal 57 3 3 2 2 2 5" xfId="6124"/>
    <cellStyle name="Normal 57 3 3 2 2 2 5 2" xfId="14951"/>
    <cellStyle name="Normal 57 3 3 2 2 2 5 3" xfId="25202"/>
    <cellStyle name="Normal 57 3 3 2 2 2 6" xfId="7569"/>
    <cellStyle name="Normal 57 3 3 2 2 2 6 2" xfId="20299"/>
    <cellStyle name="Normal 57 3 3 2 2 2 7" xfId="16810"/>
    <cellStyle name="Normal 57 3 3 2 2 3" xfId="1297"/>
    <cellStyle name="Normal 57 3 3 2 2 3 2" xfId="3728"/>
    <cellStyle name="Normal 57 3 3 2 2 3 2 2" xfId="12866"/>
    <cellStyle name="Normal 57 3 3 2 2 3 2 2 2" xfId="23085"/>
    <cellStyle name="Normal 57 3 3 2 2 3 2 3" xfId="9287"/>
    <cellStyle name="Normal 57 3 3 2 2 3 2 4" xfId="18078"/>
    <cellStyle name="Normal 57 3 3 2 2 3 3" xfId="5015"/>
    <cellStyle name="Normal 57 3 3 2 2 3 3 2" xfId="13854"/>
    <cellStyle name="Normal 57 3 3 2 2 3 3 2 2" xfId="24105"/>
    <cellStyle name="Normal 57 3 3 2 2 3 3 3" xfId="10275"/>
    <cellStyle name="Normal 57 3 3 2 2 3 3 4" xfId="19098"/>
    <cellStyle name="Normal 57 3 3 2 2 3 4" xfId="2122"/>
    <cellStyle name="Normal 57 3 3 2 2 3 4 2" xfId="11489"/>
    <cellStyle name="Normal 57 3 3 2 2 3 4 3" xfId="21493"/>
    <cellStyle name="Normal 57 3 3 2 2 3 5" xfId="6472"/>
    <cellStyle name="Normal 57 3 3 2 2 3 5 2" xfId="15299"/>
    <cellStyle name="Normal 57 3 3 2 2 3 5 3" xfId="25550"/>
    <cellStyle name="Normal 57 3 3 2 2 3 6" xfId="7918"/>
    <cellStyle name="Normal 57 3 3 2 2 3 6 2" xfId="20684"/>
    <cellStyle name="Normal 57 3 3 2 2 3 7" xfId="16486"/>
    <cellStyle name="Normal 57 3 3 2 2 4" xfId="3013"/>
    <cellStyle name="Normal 57 3 3 2 2 4 2" xfId="5391"/>
    <cellStyle name="Normal 57 3 3 2 2 4 2 2" xfId="14230"/>
    <cellStyle name="Normal 57 3 3 2 2 4 2 2 2" xfId="24481"/>
    <cellStyle name="Normal 57 3 3 2 2 4 2 3" xfId="10651"/>
    <cellStyle name="Normal 57 3 3 2 2 4 2 4" xfId="19474"/>
    <cellStyle name="Normal 57 3 3 2 2 4 3" xfId="6848"/>
    <cellStyle name="Normal 57 3 3 2 2 4 3 2" xfId="15675"/>
    <cellStyle name="Normal 57 3 3 2 2 4 3 3" xfId="25926"/>
    <cellStyle name="Normal 57 3 3 2 2 4 4" xfId="8294"/>
    <cellStyle name="Normal 57 3 3 2 2 4 4 2" xfId="22376"/>
    <cellStyle name="Normal 57 3 3 2 2 4 5" xfId="17369"/>
    <cellStyle name="Normal 57 3 3 2 2 5" xfId="4347"/>
    <cellStyle name="Normal 57 3 3 2 2 5 2" xfId="13187"/>
    <cellStyle name="Normal 57 3 3 2 2 5 2 2" xfId="23438"/>
    <cellStyle name="Normal 57 3 3 2 2 5 3" xfId="9608"/>
    <cellStyle name="Normal 57 3 3 2 2 5 4" xfId="18431"/>
    <cellStyle name="Normal 57 3 3 2 2 6" xfId="1619"/>
    <cellStyle name="Normal 57 3 3 2 2 6 2" xfId="10998"/>
    <cellStyle name="Normal 57 3 3 2 2 6 3" xfId="21002"/>
    <cellStyle name="Normal 57 3 3 2 2 7" xfId="5805"/>
    <cellStyle name="Normal 57 3 3 2 2 7 2" xfId="14632"/>
    <cellStyle name="Normal 57 3 3 2 2 7 3" xfId="24883"/>
    <cellStyle name="Normal 57 3 3 2 2 8" xfId="7249"/>
    <cellStyle name="Normal 57 3 3 2 2 8 2" xfId="19975"/>
    <cellStyle name="Normal 57 3 3 2 2 9" xfId="15995"/>
    <cellStyle name="Normal 57 3 3 2 2_Degree data" xfId="3958"/>
    <cellStyle name="Normal 57 3 3 2 3" xfId="425"/>
    <cellStyle name="Normal 57 3 3 2 3 2" xfId="2913"/>
    <cellStyle name="Normal 57 3 3 2 3 2 2" xfId="12203"/>
    <cellStyle name="Normal 57 3 3 2 3 2 2 2" xfId="22276"/>
    <cellStyle name="Normal 57 3 3 2 3 2 3" xfId="8526"/>
    <cellStyle name="Normal 57 3 3 2 3 2 4" xfId="17269"/>
    <cellStyle name="Normal 57 3 3 2 3 3" xfId="4665"/>
    <cellStyle name="Normal 57 3 3 2 3 3 2" xfId="13505"/>
    <cellStyle name="Normal 57 3 3 2 3 3 2 2" xfId="23756"/>
    <cellStyle name="Normal 57 3 3 2 3 3 3" xfId="9926"/>
    <cellStyle name="Normal 57 3 3 2 3 3 4" xfId="18749"/>
    <cellStyle name="Normal 57 3 3 2 3 4" xfId="2022"/>
    <cellStyle name="Normal 57 3 3 2 3 4 2" xfId="11389"/>
    <cellStyle name="Normal 57 3 3 2 3 4 3" xfId="21393"/>
    <cellStyle name="Normal 57 3 3 2 3 5" xfId="6123"/>
    <cellStyle name="Normal 57 3 3 2 3 5 2" xfId="14950"/>
    <cellStyle name="Normal 57 3 3 2 3 5 3" xfId="25201"/>
    <cellStyle name="Normal 57 3 3 2 3 6" xfId="7568"/>
    <cellStyle name="Normal 57 3 3 2 3 6 2" xfId="19875"/>
    <cellStyle name="Normal 57 3 3 2 3 7" xfId="16386"/>
    <cellStyle name="Normal 57 3 3 2 4" xfId="849"/>
    <cellStyle name="Normal 57 3 3 2 4 2" xfId="3336"/>
    <cellStyle name="Normal 57 3 3 2 4 2 2" xfId="12480"/>
    <cellStyle name="Normal 57 3 3 2 4 2 2 2" xfId="22699"/>
    <cellStyle name="Normal 57 3 3 2 4 2 3" xfId="8902"/>
    <cellStyle name="Normal 57 3 3 2 4 2 4" xfId="17692"/>
    <cellStyle name="Normal 57 3 3 2 4 3" xfId="5014"/>
    <cellStyle name="Normal 57 3 3 2 4 3 2" xfId="13853"/>
    <cellStyle name="Normal 57 3 3 2 4 3 2 2" xfId="24104"/>
    <cellStyle name="Normal 57 3 3 2 4 3 3" xfId="10274"/>
    <cellStyle name="Normal 57 3 3 2 4 3 4" xfId="19097"/>
    <cellStyle name="Normal 57 3 3 2 4 4" xfId="2445"/>
    <cellStyle name="Normal 57 3 3 2 4 4 2" xfId="11812"/>
    <cellStyle name="Normal 57 3 3 2 4 4 3" xfId="21816"/>
    <cellStyle name="Normal 57 3 3 2 4 5" xfId="6471"/>
    <cellStyle name="Normal 57 3 3 2 4 5 2" xfId="15298"/>
    <cellStyle name="Normal 57 3 3 2 4 5 3" xfId="25549"/>
    <cellStyle name="Normal 57 3 3 2 4 6" xfId="7917"/>
    <cellStyle name="Normal 57 3 3 2 4 6 2" xfId="20298"/>
    <cellStyle name="Normal 57 3 3 2 4 7" xfId="16809"/>
    <cellStyle name="Normal 57 3 3 2 5" xfId="1197"/>
    <cellStyle name="Normal 57 3 3 2 5 2" xfId="3628"/>
    <cellStyle name="Normal 57 3 3 2 5 2 2" xfId="12766"/>
    <cellStyle name="Normal 57 3 3 2 5 2 2 2" xfId="22985"/>
    <cellStyle name="Normal 57 3 3 2 5 2 3" xfId="9187"/>
    <cellStyle name="Normal 57 3 3 2 5 2 4" xfId="17978"/>
    <cellStyle name="Normal 57 3 3 2 5 3" xfId="5291"/>
    <cellStyle name="Normal 57 3 3 2 5 3 2" xfId="14130"/>
    <cellStyle name="Normal 57 3 3 2 5 3 2 2" xfId="24381"/>
    <cellStyle name="Normal 57 3 3 2 5 3 3" xfId="10551"/>
    <cellStyle name="Normal 57 3 3 2 5 3 4" xfId="19374"/>
    <cellStyle name="Normal 57 3 3 2 5 4" xfId="1801"/>
    <cellStyle name="Normal 57 3 3 2 5 4 2" xfId="11172"/>
    <cellStyle name="Normal 57 3 3 2 5 4 3" xfId="21176"/>
    <cellStyle name="Normal 57 3 3 2 5 5" xfId="6748"/>
    <cellStyle name="Normal 57 3 3 2 5 5 2" xfId="15575"/>
    <cellStyle name="Normal 57 3 3 2 5 5 3" xfId="25826"/>
    <cellStyle name="Normal 57 3 3 2 5 6" xfId="8194"/>
    <cellStyle name="Normal 57 3 3 2 5 6 2" xfId="20584"/>
    <cellStyle name="Normal 57 3 3 2 5 7" xfId="16169"/>
    <cellStyle name="Normal 57 3 3 2 6" xfId="2696"/>
    <cellStyle name="Normal 57 3 3 2 6 2" xfId="12015"/>
    <cellStyle name="Normal 57 3 3 2 6 2 2" xfId="22059"/>
    <cellStyle name="Normal 57 3 3 2 6 3" xfId="8614"/>
    <cellStyle name="Normal 57 3 3 2 6 4" xfId="17052"/>
    <cellStyle name="Normal 57 3 3 2 7" xfId="4247"/>
    <cellStyle name="Normal 57 3 3 2 7 2" xfId="13087"/>
    <cellStyle name="Normal 57 3 3 2 7 2 2" xfId="23338"/>
    <cellStyle name="Normal 57 3 3 2 7 3" xfId="9508"/>
    <cellStyle name="Normal 57 3 3 2 7 4" xfId="18331"/>
    <cellStyle name="Normal 57 3 3 2 8" xfId="1519"/>
    <cellStyle name="Normal 57 3 3 2 8 2" xfId="10898"/>
    <cellStyle name="Normal 57 3 3 2 8 3" xfId="20902"/>
    <cellStyle name="Normal 57 3 3 2 9" xfId="5705"/>
    <cellStyle name="Normal 57 3 3 2 9 2" xfId="14532"/>
    <cellStyle name="Normal 57 3 3 2 9 3" xfId="24783"/>
    <cellStyle name="Normal 57 3 3 2_Degree data" xfId="3957"/>
    <cellStyle name="Normal 57 3 3 3" xfId="264"/>
    <cellStyle name="Normal 57 3 3 3 10" xfId="7106"/>
    <cellStyle name="Normal 57 3 3 3 10 2" xfId="19720"/>
    <cellStyle name="Normal 57 3 3 3 11" xfId="15852"/>
    <cellStyle name="Normal 57 3 3 3 2" xfId="587"/>
    <cellStyle name="Normal 57 3 3 3 2 2" xfId="852"/>
    <cellStyle name="Normal 57 3 3 3 2 2 2" xfId="3339"/>
    <cellStyle name="Normal 57 3 3 3 2 2 2 2" xfId="12483"/>
    <cellStyle name="Normal 57 3 3 3 2 2 2 2 2" xfId="22702"/>
    <cellStyle name="Normal 57 3 3 3 2 2 2 3" xfId="8905"/>
    <cellStyle name="Normal 57 3 3 3 2 2 2 4" xfId="17695"/>
    <cellStyle name="Normal 57 3 3 3 2 2 3" xfId="4668"/>
    <cellStyle name="Normal 57 3 3 3 2 2 3 2" xfId="13508"/>
    <cellStyle name="Normal 57 3 3 3 2 2 3 2 2" xfId="23759"/>
    <cellStyle name="Normal 57 3 3 3 2 2 3 3" xfId="9929"/>
    <cellStyle name="Normal 57 3 3 3 2 2 3 4" xfId="18752"/>
    <cellStyle name="Normal 57 3 3 3 2 2 4" xfId="2448"/>
    <cellStyle name="Normal 57 3 3 3 2 2 4 2" xfId="11815"/>
    <cellStyle name="Normal 57 3 3 3 2 2 4 3" xfId="21819"/>
    <cellStyle name="Normal 57 3 3 3 2 2 5" xfId="6126"/>
    <cellStyle name="Normal 57 3 3 3 2 2 5 2" xfId="14953"/>
    <cellStyle name="Normal 57 3 3 3 2 2 5 3" xfId="25204"/>
    <cellStyle name="Normal 57 3 3 3 2 2 6" xfId="7571"/>
    <cellStyle name="Normal 57 3 3 3 2 2 6 2" xfId="20301"/>
    <cellStyle name="Normal 57 3 3 3 2 2 7" xfId="16812"/>
    <cellStyle name="Normal 57 3 3 3 2 3" xfId="1359"/>
    <cellStyle name="Normal 57 3 3 3 2 3 2" xfId="3790"/>
    <cellStyle name="Normal 57 3 3 3 2 3 2 2" xfId="12928"/>
    <cellStyle name="Normal 57 3 3 3 2 3 2 2 2" xfId="23147"/>
    <cellStyle name="Normal 57 3 3 3 2 3 2 3" xfId="9349"/>
    <cellStyle name="Normal 57 3 3 3 2 3 2 4" xfId="18140"/>
    <cellStyle name="Normal 57 3 3 3 2 3 3" xfId="5017"/>
    <cellStyle name="Normal 57 3 3 3 2 3 3 2" xfId="13856"/>
    <cellStyle name="Normal 57 3 3 3 2 3 3 2 2" xfId="24107"/>
    <cellStyle name="Normal 57 3 3 3 2 3 3 3" xfId="10277"/>
    <cellStyle name="Normal 57 3 3 3 2 3 3 4" xfId="19100"/>
    <cellStyle name="Normal 57 3 3 3 2 3 4" xfId="2184"/>
    <cellStyle name="Normal 57 3 3 3 2 3 4 2" xfId="11551"/>
    <cellStyle name="Normal 57 3 3 3 2 3 4 3" xfId="21555"/>
    <cellStyle name="Normal 57 3 3 3 2 3 5" xfId="6474"/>
    <cellStyle name="Normal 57 3 3 3 2 3 5 2" xfId="15301"/>
    <cellStyle name="Normal 57 3 3 3 2 3 5 3" xfId="25552"/>
    <cellStyle name="Normal 57 3 3 3 2 3 6" xfId="7920"/>
    <cellStyle name="Normal 57 3 3 3 2 3 6 2" xfId="20746"/>
    <cellStyle name="Normal 57 3 3 3 2 3 7" xfId="16548"/>
    <cellStyle name="Normal 57 3 3 3 2 4" xfId="3075"/>
    <cellStyle name="Normal 57 3 3 3 2 4 2" xfId="5453"/>
    <cellStyle name="Normal 57 3 3 3 2 4 2 2" xfId="14292"/>
    <cellStyle name="Normal 57 3 3 3 2 4 2 2 2" xfId="24543"/>
    <cellStyle name="Normal 57 3 3 3 2 4 2 3" xfId="10713"/>
    <cellStyle name="Normal 57 3 3 3 2 4 2 4" xfId="19536"/>
    <cellStyle name="Normal 57 3 3 3 2 4 3" xfId="6910"/>
    <cellStyle name="Normal 57 3 3 3 2 4 3 2" xfId="15737"/>
    <cellStyle name="Normal 57 3 3 3 2 4 3 3" xfId="25988"/>
    <cellStyle name="Normal 57 3 3 3 2 4 4" xfId="8356"/>
    <cellStyle name="Normal 57 3 3 3 2 4 4 2" xfId="22438"/>
    <cellStyle name="Normal 57 3 3 3 2 4 5" xfId="17431"/>
    <cellStyle name="Normal 57 3 3 3 2 5" xfId="4409"/>
    <cellStyle name="Normal 57 3 3 3 2 5 2" xfId="13249"/>
    <cellStyle name="Normal 57 3 3 3 2 5 2 2" xfId="23500"/>
    <cellStyle name="Normal 57 3 3 3 2 5 3" xfId="9670"/>
    <cellStyle name="Normal 57 3 3 3 2 5 4" xfId="18493"/>
    <cellStyle name="Normal 57 3 3 3 2 6" xfId="1681"/>
    <cellStyle name="Normal 57 3 3 3 2 6 2" xfId="11060"/>
    <cellStyle name="Normal 57 3 3 3 2 6 3" xfId="21064"/>
    <cellStyle name="Normal 57 3 3 3 2 7" xfId="5867"/>
    <cellStyle name="Normal 57 3 3 3 2 7 2" xfId="14694"/>
    <cellStyle name="Normal 57 3 3 3 2 7 3" xfId="24945"/>
    <cellStyle name="Normal 57 3 3 3 2 8" xfId="7311"/>
    <cellStyle name="Normal 57 3 3 3 2 8 2" xfId="20037"/>
    <cellStyle name="Normal 57 3 3 3 2 9" xfId="16057"/>
    <cellStyle name="Normal 57 3 3 3 2_Degree data" xfId="3960"/>
    <cellStyle name="Normal 57 3 3 3 3" xfId="382"/>
    <cellStyle name="Normal 57 3 3 3 3 2" xfId="2870"/>
    <cellStyle name="Normal 57 3 3 3 3 2 2" xfId="12160"/>
    <cellStyle name="Normal 57 3 3 3 3 2 2 2" xfId="22233"/>
    <cellStyle name="Normal 57 3 3 3 3 2 3" xfId="8607"/>
    <cellStyle name="Normal 57 3 3 3 3 2 4" xfId="17226"/>
    <cellStyle name="Normal 57 3 3 3 3 3" xfId="4667"/>
    <cellStyle name="Normal 57 3 3 3 3 3 2" xfId="13507"/>
    <cellStyle name="Normal 57 3 3 3 3 3 2 2" xfId="23758"/>
    <cellStyle name="Normal 57 3 3 3 3 3 3" xfId="9928"/>
    <cellStyle name="Normal 57 3 3 3 3 3 4" xfId="18751"/>
    <cellStyle name="Normal 57 3 3 3 3 4" xfId="1979"/>
    <cellStyle name="Normal 57 3 3 3 3 4 2" xfId="11346"/>
    <cellStyle name="Normal 57 3 3 3 3 4 3" xfId="21350"/>
    <cellStyle name="Normal 57 3 3 3 3 5" xfId="6125"/>
    <cellStyle name="Normal 57 3 3 3 3 5 2" xfId="14952"/>
    <cellStyle name="Normal 57 3 3 3 3 5 3" xfId="25203"/>
    <cellStyle name="Normal 57 3 3 3 3 6" xfId="7570"/>
    <cellStyle name="Normal 57 3 3 3 3 6 2" xfId="19832"/>
    <cellStyle name="Normal 57 3 3 3 3 7" xfId="16343"/>
    <cellStyle name="Normal 57 3 3 3 4" xfId="851"/>
    <cellStyle name="Normal 57 3 3 3 4 2" xfId="3338"/>
    <cellStyle name="Normal 57 3 3 3 4 2 2" xfId="12482"/>
    <cellStyle name="Normal 57 3 3 3 4 2 2 2" xfId="22701"/>
    <cellStyle name="Normal 57 3 3 3 4 2 3" xfId="8904"/>
    <cellStyle name="Normal 57 3 3 3 4 2 4" xfId="17694"/>
    <cellStyle name="Normal 57 3 3 3 4 3" xfId="5016"/>
    <cellStyle name="Normal 57 3 3 3 4 3 2" xfId="13855"/>
    <cellStyle name="Normal 57 3 3 3 4 3 2 2" xfId="24106"/>
    <cellStyle name="Normal 57 3 3 3 4 3 3" xfId="10276"/>
    <cellStyle name="Normal 57 3 3 3 4 3 4" xfId="19099"/>
    <cellStyle name="Normal 57 3 3 3 4 4" xfId="2447"/>
    <cellStyle name="Normal 57 3 3 3 4 4 2" xfId="11814"/>
    <cellStyle name="Normal 57 3 3 3 4 4 3" xfId="21818"/>
    <cellStyle name="Normal 57 3 3 3 4 5" xfId="6473"/>
    <cellStyle name="Normal 57 3 3 3 4 5 2" xfId="15300"/>
    <cellStyle name="Normal 57 3 3 3 4 5 3" xfId="25551"/>
    <cellStyle name="Normal 57 3 3 3 4 6" xfId="7919"/>
    <cellStyle name="Normal 57 3 3 3 4 6 2" xfId="20300"/>
    <cellStyle name="Normal 57 3 3 3 4 7" xfId="16811"/>
    <cellStyle name="Normal 57 3 3 3 5" xfId="1154"/>
    <cellStyle name="Normal 57 3 3 3 5 2" xfId="3585"/>
    <cellStyle name="Normal 57 3 3 3 5 2 2" xfId="12723"/>
    <cellStyle name="Normal 57 3 3 3 5 2 2 2" xfId="22942"/>
    <cellStyle name="Normal 57 3 3 3 5 2 3" xfId="9144"/>
    <cellStyle name="Normal 57 3 3 3 5 2 4" xfId="17935"/>
    <cellStyle name="Normal 57 3 3 3 5 3" xfId="5248"/>
    <cellStyle name="Normal 57 3 3 3 5 3 2" xfId="14087"/>
    <cellStyle name="Normal 57 3 3 3 5 3 2 2" xfId="24338"/>
    <cellStyle name="Normal 57 3 3 3 5 3 3" xfId="10508"/>
    <cellStyle name="Normal 57 3 3 3 5 3 4" xfId="19331"/>
    <cellStyle name="Normal 57 3 3 3 5 4" xfId="1864"/>
    <cellStyle name="Normal 57 3 3 3 5 4 2" xfId="11234"/>
    <cellStyle name="Normal 57 3 3 3 5 4 3" xfId="21238"/>
    <cellStyle name="Normal 57 3 3 3 5 5" xfId="6705"/>
    <cellStyle name="Normal 57 3 3 3 5 5 2" xfId="15532"/>
    <cellStyle name="Normal 57 3 3 3 5 5 3" xfId="25783"/>
    <cellStyle name="Normal 57 3 3 3 5 6" xfId="8151"/>
    <cellStyle name="Normal 57 3 3 3 5 6 2" xfId="20541"/>
    <cellStyle name="Normal 57 3 3 3 5 7" xfId="16231"/>
    <cellStyle name="Normal 57 3 3 3 6" xfId="2758"/>
    <cellStyle name="Normal 57 3 3 3 6 2" xfId="12077"/>
    <cellStyle name="Normal 57 3 3 3 6 2 2" xfId="22121"/>
    <cellStyle name="Normal 57 3 3 3 6 3" xfId="8612"/>
    <cellStyle name="Normal 57 3 3 3 6 4" xfId="17114"/>
    <cellStyle name="Normal 57 3 3 3 7" xfId="4204"/>
    <cellStyle name="Normal 57 3 3 3 7 2" xfId="13044"/>
    <cellStyle name="Normal 57 3 3 3 7 2 2" xfId="23295"/>
    <cellStyle name="Normal 57 3 3 3 7 3" xfId="9465"/>
    <cellStyle name="Normal 57 3 3 3 7 4" xfId="18288"/>
    <cellStyle name="Normal 57 3 3 3 8" xfId="1476"/>
    <cellStyle name="Normal 57 3 3 3 8 2" xfId="10855"/>
    <cellStyle name="Normal 57 3 3 3 8 3" xfId="20859"/>
    <cellStyle name="Normal 57 3 3 3 9" xfId="5662"/>
    <cellStyle name="Normal 57 3 3 3 9 2" xfId="14489"/>
    <cellStyle name="Normal 57 3 3 3 9 3" xfId="24740"/>
    <cellStyle name="Normal 57 3 3 3_Degree data" xfId="3959"/>
    <cellStyle name="Normal 57 3 3 4" xfId="482"/>
    <cellStyle name="Normal 57 3 3 4 2" xfId="853"/>
    <cellStyle name="Normal 57 3 3 4 2 2" xfId="3340"/>
    <cellStyle name="Normal 57 3 3 4 2 2 2" xfId="12484"/>
    <cellStyle name="Normal 57 3 3 4 2 2 2 2" xfId="22703"/>
    <cellStyle name="Normal 57 3 3 4 2 2 3" xfId="8906"/>
    <cellStyle name="Normal 57 3 3 4 2 2 4" xfId="17696"/>
    <cellStyle name="Normal 57 3 3 4 2 3" xfId="4669"/>
    <cellStyle name="Normal 57 3 3 4 2 3 2" xfId="13509"/>
    <cellStyle name="Normal 57 3 3 4 2 3 2 2" xfId="23760"/>
    <cellStyle name="Normal 57 3 3 4 2 3 3" xfId="9930"/>
    <cellStyle name="Normal 57 3 3 4 2 3 4" xfId="18753"/>
    <cellStyle name="Normal 57 3 3 4 2 4" xfId="2449"/>
    <cellStyle name="Normal 57 3 3 4 2 4 2" xfId="11816"/>
    <cellStyle name="Normal 57 3 3 4 2 4 3" xfId="21820"/>
    <cellStyle name="Normal 57 3 3 4 2 5" xfId="6127"/>
    <cellStyle name="Normal 57 3 3 4 2 5 2" xfId="14954"/>
    <cellStyle name="Normal 57 3 3 4 2 5 3" xfId="25205"/>
    <cellStyle name="Normal 57 3 3 4 2 6" xfId="7572"/>
    <cellStyle name="Normal 57 3 3 4 2 6 2" xfId="20302"/>
    <cellStyle name="Normal 57 3 3 4 2 7" xfId="16813"/>
    <cellStyle name="Normal 57 3 3 4 3" xfId="1254"/>
    <cellStyle name="Normal 57 3 3 4 3 2" xfId="3685"/>
    <cellStyle name="Normal 57 3 3 4 3 2 2" xfId="12823"/>
    <cellStyle name="Normal 57 3 3 4 3 2 2 2" xfId="23042"/>
    <cellStyle name="Normal 57 3 3 4 3 2 3" xfId="9244"/>
    <cellStyle name="Normal 57 3 3 4 3 2 4" xfId="18035"/>
    <cellStyle name="Normal 57 3 3 4 3 3" xfId="5018"/>
    <cellStyle name="Normal 57 3 3 4 3 3 2" xfId="13857"/>
    <cellStyle name="Normal 57 3 3 4 3 3 2 2" xfId="24108"/>
    <cellStyle name="Normal 57 3 3 4 3 3 3" xfId="10278"/>
    <cellStyle name="Normal 57 3 3 4 3 3 4" xfId="19101"/>
    <cellStyle name="Normal 57 3 3 4 3 4" xfId="2079"/>
    <cellStyle name="Normal 57 3 3 4 3 4 2" xfId="11446"/>
    <cellStyle name="Normal 57 3 3 4 3 4 3" xfId="21450"/>
    <cellStyle name="Normal 57 3 3 4 3 5" xfId="6475"/>
    <cellStyle name="Normal 57 3 3 4 3 5 2" xfId="15302"/>
    <cellStyle name="Normal 57 3 3 4 3 5 3" xfId="25553"/>
    <cellStyle name="Normal 57 3 3 4 3 6" xfId="7921"/>
    <cellStyle name="Normal 57 3 3 4 3 6 2" xfId="20641"/>
    <cellStyle name="Normal 57 3 3 4 3 7" xfId="16443"/>
    <cellStyle name="Normal 57 3 3 4 4" xfId="2970"/>
    <cellStyle name="Normal 57 3 3 4 4 2" xfId="5348"/>
    <cellStyle name="Normal 57 3 3 4 4 2 2" xfId="14187"/>
    <cellStyle name="Normal 57 3 3 4 4 2 2 2" xfId="24438"/>
    <cellStyle name="Normal 57 3 3 4 4 2 3" xfId="10608"/>
    <cellStyle name="Normal 57 3 3 4 4 2 4" xfId="19431"/>
    <cellStyle name="Normal 57 3 3 4 4 3" xfId="6805"/>
    <cellStyle name="Normal 57 3 3 4 4 3 2" xfId="15632"/>
    <cellStyle name="Normal 57 3 3 4 4 3 3" xfId="25883"/>
    <cellStyle name="Normal 57 3 3 4 4 4" xfId="8251"/>
    <cellStyle name="Normal 57 3 3 4 4 4 2" xfId="22333"/>
    <cellStyle name="Normal 57 3 3 4 4 5" xfId="17326"/>
    <cellStyle name="Normal 57 3 3 4 5" xfId="4304"/>
    <cellStyle name="Normal 57 3 3 4 5 2" xfId="13144"/>
    <cellStyle name="Normal 57 3 3 4 5 2 2" xfId="23395"/>
    <cellStyle name="Normal 57 3 3 4 5 3" xfId="9565"/>
    <cellStyle name="Normal 57 3 3 4 5 4" xfId="18388"/>
    <cellStyle name="Normal 57 3 3 4 6" xfId="1576"/>
    <cellStyle name="Normal 57 3 3 4 6 2" xfId="10955"/>
    <cellStyle name="Normal 57 3 3 4 6 3" xfId="20959"/>
    <cellStyle name="Normal 57 3 3 4 7" xfId="5762"/>
    <cellStyle name="Normal 57 3 3 4 7 2" xfId="14589"/>
    <cellStyle name="Normal 57 3 3 4 7 3" xfId="24840"/>
    <cellStyle name="Normal 57 3 3 4 8" xfId="7206"/>
    <cellStyle name="Normal 57 3 3 4 8 2" xfId="19932"/>
    <cellStyle name="Normal 57 3 3 4 9" xfId="15952"/>
    <cellStyle name="Normal 57 3 3 4_Degree data" xfId="3961"/>
    <cellStyle name="Normal 57 3 3 5" xfId="323"/>
    <cellStyle name="Normal 57 3 3 5 2" xfId="2811"/>
    <cellStyle name="Normal 57 3 3 5 2 2" xfId="12117"/>
    <cellStyle name="Normal 57 3 3 5 2 2 2" xfId="22174"/>
    <cellStyle name="Normal 57 3 3 5 2 3" xfId="8486"/>
    <cellStyle name="Normal 57 3 3 5 2 4" xfId="17167"/>
    <cellStyle name="Normal 57 3 3 5 3" xfId="4664"/>
    <cellStyle name="Normal 57 3 3 5 3 2" xfId="13504"/>
    <cellStyle name="Normal 57 3 3 5 3 2 2" xfId="23755"/>
    <cellStyle name="Normal 57 3 3 5 3 3" xfId="9925"/>
    <cellStyle name="Normal 57 3 3 5 3 4" xfId="18748"/>
    <cellStyle name="Normal 57 3 3 5 4" xfId="1920"/>
    <cellStyle name="Normal 57 3 3 5 4 2" xfId="11287"/>
    <cellStyle name="Normal 57 3 3 5 4 3" xfId="21291"/>
    <cellStyle name="Normal 57 3 3 5 5" xfId="6122"/>
    <cellStyle name="Normal 57 3 3 5 5 2" xfId="14949"/>
    <cellStyle name="Normal 57 3 3 5 5 3" xfId="25200"/>
    <cellStyle name="Normal 57 3 3 5 6" xfId="7567"/>
    <cellStyle name="Normal 57 3 3 5 6 2" xfId="19773"/>
    <cellStyle name="Normal 57 3 3 5 7" xfId="16284"/>
    <cellStyle name="Normal 57 3 3 6" xfId="848"/>
    <cellStyle name="Normal 57 3 3 6 2" xfId="3335"/>
    <cellStyle name="Normal 57 3 3 6 2 2" xfId="12479"/>
    <cellStyle name="Normal 57 3 3 6 2 2 2" xfId="22698"/>
    <cellStyle name="Normal 57 3 3 6 2 3" xfId="8901"/>
    <cellStyle name="Normal 57 3 3 6 2 4" xfId="17691"/>
    <cellStyle name="Normal 57 3 3 6 3" xfId="5013"/>
    <cellStyle name="Normal 57 3 3 6 3 2" xfId="13852"/>
    <cellStyle name="Normal 57 3 3 6 3 2 2" xfId="24103"/>
    <cellStyle name="Normal 57 3 3 6 3 3" xfId="10273"/>
    <cellStyle name="Normal 57 3 3 6 3 4" xfId="19096"/>
    <cellStyle name="Normal 57 3 3 6 4" xfId="2444"/>
    <cellStyle name="Normal 57 3 3 6 4 2" xfId="11811"/>
    <cellStyle name="Normal 57 3 3 6 4 3" xfId="21815"/>
    <cellStyle name="Normal 57 3 3 6 5" xfId="6470"/>
    <cellStyle name="Normal 57 3 3 6 5 2" xfId="15297"/>
    <cellStyle name="Normal 57 3 3 6 5 3" xfId="25548"/>
    <cellStyle name="Normal 57 3 3 6 6" xfId="7916"/>
    <cellStyle name="Normal 57 3 3 6 6 2" xfId="20297"/>
    <cellStyle name="Normal 57 3 3 6 7" xfId="16808"/>
    <cellStyle name="Normal 57 3 3 7" xfId="1095"/>
    <cellStyle name="Normal 57 3 3 7 2" xfId="3526"/>
    <cellStyle name="Normal 57 3 3 7 2 2" xfId="12664"/>
    <cellStyle name="Normal 57 3 3 7 2 2 2" xfId="22883"/>
    <cellStyle name="Normal 57 3 3 7 2 3" xfId="9086"/>
    <cellStyle name="Normal 57 3 3 7 2 4" xfId="17876"/>
    <cellStyle name="Normal 57 3 3 7 3" xfId="5189"/>
    <cellStyle name="Normal 57 3 3 7 3 2" xfId="14028"/>
    <cellStyle name="Normal 57 3 3 7 3 2 2" xfId="24279"/>
    <cellStyle name="Normal 57 3 3 7 3 3" xfId="10449"/>
    <cellStyle name="Normal 57 3 3 7 3 4" xfId="19272"/>
    <cellStyle name="Normal 57 3 3 7 4" xfId="1755"/>
    <cellStyle name="Normal 57 3 3 7 4 2" xfId="11128"/>
    <cellStyle name="Normal 57 3 3 7 4 3" xfId="21132"/>
    <cellStyle name="Normal 57 3 3 7 5" xfId="6646"/>
    <cellStyle name="Normal 57 3 3 7 5 2" xfId="15473"/>
    <cellStyle name="Normal 57 3 3 7 5 3" xfId="25724"/>
    <cellStyle name="Normal 57 3 3 7 6" xfId="8092"/>
    <cellStyle name="Normal 57 3 3 7 6 2" xfId="20482"/>
    <cellStyle name="Normal 57 3 3 7 7" xfId="16125"/>
    <cellStyle name="Normal 57 3 3 8" xfId="2653"/>
    <cellStyle name="Normal 57 3 3 8 2" xfId="5603"/>
    <cellStyle name="Normal 57 3 3 8 2 2" xfId="14430"/>
    <cellStyle name="Normal 57 3 3 8 2 3" xfId="24681"/>
    <cellStyle name="Normal 57 3 3 8 3" xfId="7047"/>
    <cellStyle name="Normal 57 3 3 8 3 2" xfId="22016"/>
    <cellStyle name="Normal 57 3 3 8 4" xfId="17009"/>
    <cellStyle name="Normal 57 3 3 9" xfId="4143"/>
    <cellStyle name="Normal 57 3 3 9 2" xfId="12983"/>
    <cellStyle name="Normal 57 3 3 9 2 2" xfId="23234"/>
    <cellStyle name="Normal 57 3 3 9 3" xfId="9404"/>
    <cellStyle name="Normal 57 3 3 9 4" xfId="18227"/>
    <cellStyle name="Normal 57 3 3_Degree data" xfId="3956"/>
    <cellStyle name="Normal 57 3 4" xfId="191"/>
    <cellStyle name="Normal 57 3 4 10" xfId="7143"/>
    <cellStyle name="Normal 57 3 4 10 2" xfId="19652"/>
    <cellStyle name="Normal 57 3 4 11" xfId="15889"/>
    <cellStyle name="Normal 57 3 4 2" xfId="519"/>
    <cellStyle name="Normal 57 3 4 2 2" xfId="855"/>
    <cellStyle name="Normal 57 3 4 2 2 2" xfId="3342"/>
    <cellStyle name="Normal 57 3 4 2 2 2 2" xfId="12486"/>
    <cellStyle name="Normal 57 3 4 2 2 2 2 2" xfId="22705"/>
    <cellStyle name="Normal 57 3 4 2 2 2 3" xfId="8908"/>
    <cellStyle name="Normal 57 3 4 2 2 2 4" xfId="17698"/>
    <cellStyle name="Normal 57 3 4 2 2 3" xfId="4671"/>
    <cellStyle name="Normal 57 3 4 2 2 3 2" xfId="13511"/>
    <cellStyle name="Normal 57 3 4 2 2 3 2 2" xfId="23762"/>
    <cellStyle name="Normal 57 3 4 2 2 3 3" xfId="9932"/>
    <cellStyle name="Normal 57 3 4 2 2 3 4" xfId="18755"/>
    <cellStyle name="Normal 57 3 4 2 2 4" xfId="2451"/>
    <cellStyle name="Normal 57 3 4 2 2 4 2" xfId="11818"/>
    <cellStyle name="Normal 57 3 4 2 2 4 3" xfId="21822"/>
    <cellStyle name="Normal 57 3 4 2 2 5" xfId="6129"/>
    <cellStyle name="Normal 57 3 4 2 2 5 2" xfId="14956"/>
    <cellStyle name="Normal 57 3 4 2 2 5 3" xfId="25207"/>
    <cellStyle name="Normal 57 3 4 2 2 6" xfId="7574"/>
    <cellStyle name="Normal 57 3 4 2 2 6 2" xfId="20304"/>
    <cellStyle name="Normal 57 3 4 2 2 7" xfId="16815"/>
    <cellStyle name="Normal 57 3 4 2 3" xfId="1291"/>
    <cellStyle name="Normal 57 3 4 2 3 2" xfId="3722"/>
    <cellStyle name="Normal 57 3 4 2 3 2 2" xfId="12860"/>
    <cellStyle name="Normal 57 3 4 2 3 2 2 2" xfId="23079"/>
    <cellStyle name="Normal 57 3 4 2 3 2 3" xfId="9281"/>
    <cellStyle name="Normal 57 3 4 2 3 2 4" xfId="18072"/>
    <cellStyle name="Normal 57 3 4 2 3 3" xfId="5020"/>
    <cellStyle name="Normal 57 3 4 2 3 3 2" xfId="13859"/>
    <cellStyle name="Normal 57 3 4 2 3 3 2 2" xfId="24110"/>
    <cellStyle name="Normal 57 3 4 2 3 3 3" xfId="10280"/>
    <cellStyle name="Normal 57 3 4 2 3 3 4" xfId="19103"/>
    <cellStyle name="Normal 57 3 4 2 3 4" xfId="2116"/>
    <cellStyle name="Normal 57 3 4 2 3 4 2" xfId="11483"/>
    <cellStyle name="Normal 57 3 4 2 3 4 3" xfId="21487"/>
    <cellStyle name="Normal 57 3 4 2 3 5" xfId="6477"/>
    <cellStyle name="Normal 57 3 4 2 3 5 2" xfId="15304"/>
    <cellStyle name="Normal 57 3 4 2 3 5 3" xfId="25555"/>
    <cellStyle name="Normal 57 3 4 2 3 6" xfId="7923"/>
    <cellStyle name="Normal 57 3 4 2 3 6 2" xfId="20678"/>
    <cellStyle name="Normal 57 3 4 2 3 7" xfId="16480"/>
    <cellStyle name="Normal 57 3 4 2 4" xfId="3007"/>
    <cellStyle name="Normal 57 3 4 2 4 2" xfId="5385"/>
    <cellStyle name="Normal 57 3 4 2 4 2 2" xfId="14224"/>
    <cellStyle name="Normal 57 3 4 2 4 2 2 2" xfId="24475"/>
    <cellStyle name="Normal 57 3 4 2 4 2 3" xfId="10645"/>
    <cellStyle name="Normal 57 3 4 2 4 2 4" xfId="19468"/>
    <cellStyle name="Normal 57 3 4 2 4 3" xfId="6842"/>
    <cellStyle name="Normal 57 3 4 2 4 3 2" xfId="15669"/>
    <cellStyle name="Normal 57 3 4 2 4 3 3" xfId="25920"/>
    <cellStyle name="Normal 57 3 4 2 4 4" xfId="8288"/>
    <cellStyle name="Normal 57 3 4 2 4 4 2" xfId="22370"/>
    <cellStyle name="Normal 57 3 4 2 4 5" xfId="17363"/>
    <cellStyle name="Normal 57 3 4 2 5" xfId="4341"/>
    <cellStyle name="Normal 57 3 4 2 5 2" xfId="13181"/>
    <cellStyle name="Normal 57 3 4 2 5 2 2" xfId="23432"/>
    <cellStyle name="Normal 57 3 4 2 5 3" xfId="9602"/>
    <cellStyle name="Normal 57 3 4 2 5 4" xfId="18425"/>
    <cellStyle name="Normal 57 3 4 2 6" xfId="1613"/>
    <cellStyle name="Normal 57 3 4 2 6 2" xfId="10992"/>
    <cellStyle name="Normal 57 3 4 2 6 3" xfId="20996"/>
    <cellStyle name="Normal 57 3 4 2 7" xfId="5799"/>
    <cellStyle name="Normal 57 3 4 2 7 2" xfId="14626"/>
    <cellStyle name="Normal 57 3 4 2 7 3" xfId="24877"/>
    <cellStyle name="Normal 57 3 4 2 8" xfId="7243"/>
    <cellStyle name="Normal 57 3 4 2 8 2" xfId="19969"/>
    <cellStyle name="Normal 57 3 4 2 9" xfId="15989"/>
    <cellStyle name="Normal 57 3 4 2_Degree data" xfId="3963"/>
    <cellStyle name="Normal 57 3 4 3" xfId="419"/>
    <cellStyle name="Normal 57 3 4 3 2" xfId="2907"/>
    <cellStyle name="Normal 57 3 4 3 2 2" xfId="12197"/>
    <cellStyle name="Normal 57 3 4 3 2 2 2" xfId="22270"/>
    <cellStyle name="Normal 57 3 4 3 2 3" xfId="8426"/>
    <cellStyle name="Normal 57 3 4 3 2 4" xfId="17263"/>
    <cellStyle name="Normal 57 3 4 3 3" xfId="4670"/>
    <cellStyle name="Normal 57 3 4 3 3 2" xfId="13510"/>
    <cellStyle name="Normal 57 3 4 3 3 2 2" xfId="23761"/>
    <cellStyle name="Normal 57 3 4 3 3 3" xfId="9931"/>
    <cellStyle name="Normal 57 3 4 3 3 4" xfId="18754"/>
    <cellStyle name="Normal 57 3 4 3 4" xfId="2016"/>
    <cellStyle name="Normal 57 3 4 3 4 2" xfId="11383"/>
    <cellStyle name="Normal 57 3 4 3 4 3" xfId="21387"/>
    <cellStyle name="Normal 57 3 4 3 5" xfId="6128"/>
    <cellStyle name="Normal 57 3 4 3 5 2" xfId="14955"/>
    <cellStyle name="Normal 57 3 4 3 5 3" xfId="25206"/>
    <cellStyle name="Normal 57 3 4 3 6" xfId="7573"/>
    <cellStyle name="Normal 57 3 4 3 6 2" xfId="19869"/>
    <cellStyle name="Normal 57 3 4 3 7" xfId="16380"/>
    <cellStyle name="Normal 57 3 4 4" xfId="854"/>
    <cellStyle name="Normal 57 3 4 4 2" xfId="3341"/>
    <cellStyle name="Normal 57 3 4 4 2 2" xfId="12485"/>
    <cellStyle name="Normal 57 3 4 4 2 2 2" xfId="22704"/>
    <cellStyle name="Normal 57 3 4 4 2 3" xfId="8907"/>
    <cellStyle name="Normal 57 3 4 4 2 4" xfId="17697"/>
    <cellStyle name="Normal 57 3 4 4 3" xfId="5019"/>
    <cellStyle name="Normal 57 3 4 4 3 2" xfId="13858"/>
    <cellStyle name="Normal 57 3 4 4 3 2 2" xfId="24109"/>
    <cellStyle name="Normal 57 3 4 4 3 3" xfId="10279"/>
    <cellStyle name="Normal 57 3 4 4 3 4" xfId="19102"/>
    <cellStyle name="Normal 57 3 4 4 4" xfId="2450"/>
    <cellStyle name="Normal 57 3 4 4 4 2" xfId="11817"/>
    <cellStyle name="Normal 57 3 4 4 4 3" xfId="21821"/>
    <cellStyle name="Normal 57 3 4 4 5" xfId="6476"/>
    <cellStyle name="Normal 57 3 4 4 5 2" xfId="15303"/>
    <cellStyle name="Normal 57 3 4 4 5 3" xfId="25554"/>
    <cellStyle name="Normal 57 3 4 4 6" xfId="7922"/>
    <cellStyle name="Normal 57 3 4 4 6 2" xfId="20303"/>
    <cellStyle name="Normal 57 3 4 4 7" xfId="16814"/>
    <cellStyle name="Normal 57 3 4 5" xfId="1191"/>
    <cellStyle name="Normal 57 3 4 5 2" xfId="3622"/>
    <cellStyle name="Normal 57 3 4 5 2 2" xfId="12760"/>
    <cellStyle name="Normal 57 3 4 5 2 2 2" xfId="22979"/>
    <cellStyle name="Normal 57 3 4 5 2 3" xfId="9181"/>
    <cellStyle name="Normal 57 3 4 5 2 4" xfId="17972"/>
    <cellStyle name="Normal 57 3 4 5 3" xfId="5285"/>
    <cellStyle name="Normal 57 3 4 5 3 2" xfId="14124"/>
    <cellStyle name="Normal 57 3 4 5 3 2 2" xfId="24375"/>
    <cellStyle name="Normal 57 3 4 5 3 3" xfId="10545"/>
    <cellStyle name="Normal 57 3 4 5 3 4" xfId="19368"/>
    <cellStyle name="Normal 57 3 4 5 4" xfId="1795"/>
    <cellStyle name="Normal 57 3 4 5 4 2" xfId="11166"/>
    <cellStyle name="Normal 57 3 4 5 4 3" xfId="21170"/>
    <cellStyle name="Normal 57 3 4 5 5" xfId="6742"/>
    <cellStyle name="Normal 57 3 4 5 5 2" xfId="15569"/>
    <cellStyle name="Normal 57 3 4 5 5 3" xfId="25820"/>
    <cellStyle name="Normal 57 3 4 5 6" xfId="8188"/>
    <cellStyle name="Normal 57 3 4 5 6 2" xfId="20578"/>
    <cellStyle name="Normal 57 3 4 5 7" xfId="16163"/>
    <cellStyle name="Normal 57 3 4 6" xfId="2690"/>
    <cellStyle name="Normal 57 3 4 6 2" xfId="12009"/>
    <cellStyle name="Normal 57 3 4 6 2 2" xfId="22053"/>
    <cellStyle name="Normal 57 3 4 6 3" xfId="8601"/>
    <cellStyle name="Normal 57 3 4 6 4" xfId="17046"/>
    <cellStyle name="Normal 57 3 4 7" xfId="4241"/>
    <cellStyle name="Normal 57 3 4 7 2" xfId="13081"/>
    <cellStyle name="Normal 57 3 4 7 2 2" xfId="23332"/>
    <cellStyle name="Normal 57 3 4 7 3" xfId="9502"/>
    <cellStyle name="Normal 57 3 4 7 4" xfId="18325"/>
    <cellStyle name="Normal 57 3 4 8" xfId="1513"/>
    <cellStyle name="Normal 57 3 4 8 2" xfId="10892"/>
    <cellStyle name="Normal 57 3 4 8 3" xfId="20896"/>
    <cellStyle name="Normal 57 3 4 9" xfId="5699"/>
    <cellStyle name="Normal 57 3 4 9 2" xfId="14526"/>
    <cellStyle name="Normal 57 3 4 9 3" xfId="24777"/>
    <cellStyle name="Normal 57 3 4_Degree data" xfId="3962"/>
    <cellStyle name="Normal 57 3 5" xfId="246"/>
    <cellStyle name="Normal 57 3 5 10" xfId="7088"/>
    <cellStyle name="Normal 57 3 5 10 2" xfId="19702"/>
    <cellStyle name="Normal 57 3 5 11" xfId="15834"/>
    <cellStyle name="Normal 57 3 5 2" xfId="569"/>
    <cellStyle name="Normal 57 3 5 2 2" xfId="857"/>
    <cellStyle name="Normal 57 3 5 2 2 2" xfId="3344"/>
    <cellStyle name="Normal 57 3 5 2 2 2 2" xfId="12488"/>
    <cellStyle name="Normal 57 3 5 2 2 2 2 2" xfId="22707"/>
    <cellStyle name="Normal 57 3 5 2 2 2 3" xfId="8910"/>
    <cellStyle name="Normal 57 3 5 2 2 2 4" xfId="17700"/>
    <cellStyle name="Normal 57 3 5 2 2 3" xfId="4673"/>
    <cellStyle name="Normal 57 3 5 2 2 3 2" xfId="13513"/>
    <cellStyle name="Normal 57 3 5 2 2 3 2 2" xfId="23764"/>
    <cellStyle name="Normal 57 3 5 2 2 3 3" xfId="9934"/>
    <cellStyle name="Normal 57 3 5 2 2 3 4" xfId="18757"/>
    <cellStyle name="Normal 57 3 5 2 2 4" xfId="2453"/>
    <cellStyle name="Normal 57 3 5 2 2 4 2" xfId="11820"/>
    <cellStyle name="Normal 57 3 5 2 2 4 3" xfId="21824"/>
    <cellStyle name="Normal 57 3 5 2 2 5" xfId="6131"/>
    <cellStyle name="Normal 57 3 5 2 2 5 2" xfId="14958"/>
    <cellStyle name="Normal 57 3 5 2 2 5 3" xfId="25209"/>
    <cellStyle name="Normal 57 3 5 2 2 6" xfId="7576"/>
    <cellStyle name="Normal 57 3 5 2 2 6 2" xfId="20306"/>
    <cellStyle name="Normal 57 3 5 2 2 7" xfId="16817"/>
    <cellStyle name="Normal 57 3 5 2 3" xfId="1341"/>
    <cellStyle name="Normal 57 3 5 2 3 2" xfId="3772"/>
    <cellStyle name="Normal 57 3 5 2 3 2 2" xfId="12910"/>
    <cellStyle name="Normal 57 3 5 2 3 2 2 2" xfId="23129"/>
    <cellStyle name="Normal 57 3 5 2 3 2 3" xfId="9331"/>
    <cellStyle name="Normal 57 3 5 2 3 2 4" xfId="18122"/>
    <cellStyle name="Normal 57 3 5 2 3 3" xfId="5022"/>
    <cellStyle name="Normal 57 3 5 2 3 3 2" xfId="13861"/>
    <cellStyle name="Normal 57 3 5 2 3 3 2 2" xfId="24112"/>
    <cellStyle name="Normal 57 3 5 2 3 3 3" xfId="10282"/>
    <cellStyle name="Normal 57 3 5 2 3 3 4" xfId="19105"/>
    <cellStyle name="Normal 57 3 5 2 3 4" xfId="2166"/>
    <cellStyle name="Normal 57 3 5 2 3 4 2" xfId="11533"/>
    <cellStyle name="Normal 57 3 5 2 3 4 3" xfId="21537"/>
    <cellStyle name="Normal 57 3 5 2 3 5" xfId="6479"/>
    <cellStyle name="Normal 57 3 5 2 3 5 2" xfId="15306"/>
    <cellStyle name="Normal 57 3 5 2 3 5 3" xfId="25557"/>
    <cellStyle name="Normal 57 3 5 2 3 6" xfId="7925"/>
    <cellStyle name="Normal 57 3 5 2 3 6 2" xfId="20728"/>
    <cellStyle name="Normal 57 3 5 2 3 7" xfId="16530"/>
    <cellStyle name="Normal 57 3 5 2 4" xfId="3057"/>
    <cellStyle name="Normal 57 3 5 2 4 2" xfId="5435"/>
    <cellStyle name="Normal 57 3 5 2 4 2 2" xfId="14274"/>
    <cellStyle name="Normal 57 3 5 2 4 2 2 2" xfId="24525"/>
    <cellStyle name="Normal 57 3 5 2 4 2 3" xfId="10695"/>
    <cellStyle name="Normal 57 3 5 2 4 2 4" xfId="19518"/>
    <cellStyle name="Normal 57 3 5 2 4 3" xfId="6892"/>
    <cellStyle name="Normal 57 3 5 2 4 3 2" xfId="15719"/>
    <cellStyle name="Normal 57 3 5 2 4 3 3" xfId="25970"/>
    <cellStyle name="Normal 57 3 5 2 4 4" xfId="8338"/>
    <cellStyle name="Normal 57 3 5 2 4 4 2" xfId="22420"/>
    <cellStyle name="Normal 57 3 5 2 4 5" xfId="17413"/>
    <cellStyle name="Normal 57 3 5 2 5" xfId="4391"/>
    <cellStyle name="Normal 57 3 5 2 5 2" xfId="13231"/>
    <cellStyle name="Normal 57 3 5 2 5 2 2" xfId="23482"/>
    <cellStyle name="Normal 57 3 5 2 5 3" xfId="9652"/>
    <cellStyle name="Normal 57 3 5 2 5 4" xfId="18475"/>
    <cellStyle name="Normal 57 3 5 2 6" xfId="1663"/>
    <cellStyle name="Normal 57 3 5 2 6 2" xfId="11042"/>
    <cellStyle name="Normal 57 3 5 2 6 3" xfId="21046"/>
    <cellStyle name="Normal 57 3 5 2 7" xfId="5849"/>
    <cellStyle name="Normal 57 3 5 2 7 2" xfId="14676"/>
    <cellStyle name="Normal 57 3 5 2 7 3" xfId="24927"/>
    <cellStyle name="Normal 57 3 5 2 8" xfId="7293"/>
    <cellStyle name="Normal 57 3 5 2 8 2" xfId="20019"/>
    <cellStyle name="Normal 57 3 5 2 9" xfId="16039"/>
    <cellStyle name="Normal 57 3 5 2_Degree data" xfId="3965"/>
    <cellStyle name="Normal 57 3 5 3" xfId="364"/>
    <cellStyle name="Normal 57 3 5 3 2" xfId="2852"/>
    <cellStyle name="Normal 57 3 5 3 2 2" xfId="12142"/>
    <cellStyle name="Normal 57 3 5 3 2 2 2" xfId="22215"/>
    <cellStyle name="Normal 57 3 5 3 2 3" xfId="8653"/>
    <cellStyle name="Normal 57 3 5 3 2 4" xfId="17208"/>
    <cellStyle name="Normal 57 3 5 3 3" xfId="4672"/>
    <cellStyle name="Normal 57 3 5 3 3 2" xfId="13512"/>
    <cellStyle name="Normal 57 3 5 3 3 2 2" xfId="23763"/>
    <cellStyle name="Normal 57 3 5 3 3 3" xfId="9933"/>
    <cellStyle name="Normal 57 3 5 3 3 4" xfId="18756"/>
    <cellStyle name="Normal 57 3 5 3 4" xfId="1961"/>
    <cellStyle name="Normal 57 3 5 3 4 2" xfId="11328"/>
    <cellStyle name="Normal 57 3 5 3 4 3" xfId="21332"/>
    <cellStyle name="Normal 57 3 5 3 5" xfId="6130"/>
    <cellStyle name="Normal 57 3 5 3 5 2" xfId="14957"/>
    <cellStyle name="Normal 57 3 5 3 5 3" xfId="25208"/>
    <cellStyle name="Normal 57 3 5 3 6" xfId="7575"/>
    <cellStyle name="Normal 57 3 5 3 6 2" xfId="19814"/>
    <cellStyle name="Normal 57 3 5 3 7" xfId="16325"/>
    <cellStyle name="Normal 57 3 5 4" xfId="856"/>
    <cellStyle name="Normal 57 3 5 4 2" xfId="3343"/>
    <cellStyle name="Normal 57 3 5 4 2 2" xfId="12487"/>
    <cellStyle name="Normal 57 3 5 4 2 2 2" xfId="22706"/>
    <cellStyle name="Normal 57 3 5 4 2 3" xfId="8909"/>
    <cellStyle name="Normal 57 3 5 4 2 4" xfId="17699"/>
    <cellStyle name="Normal 57 3 5 4 3" xfId="5021"/>
    <cellStyle name="Normal 57 3 5 4 3 2" xfId="13860"/>
    <cellStyle name="Normal 57 3 5 4 3 2 2" xfId="24111"/>
    <cellStyle name="Normal 57 3 5 4 3 3" xfId="10281"/>
    <cellStyle name="Normal 57 3 5 4 3 4" xfId="19104"/>
    <cellStyle name="Normal 57 3 5 4 4" xfId="2452"/>
    <cellStyle name="Normal 57 3 5 4 4 2" xfId="11819"/>
    <cellStyle name="Normal 57 3 5 4 4 3" xfId="21823"/>
    <cellStyle name="Normal 57 3 5 4 5" xfId="6478"/>
    <cellStyle name="Normal 57 3 5 4 5 2" xfId="15305"/>
    <cellStyle name="Normal 57 3 5 4 5 3" xfId="25556"/>
    <cellStyle name="Normal 57 3 5 4 6" xfId="7924"/>
    <cellStyle name="Normal 57 3 5 4 6 2" xfId="20305"/>
    <cellStyle name="Normal 57 3 5 4 7" xfId="16816"/>
    <cellStyle name="Normal 57 3 5 5" xfId="1136"/>
    <cellStyle name="Normal 57 3 5 5 2" xfId="3567"/>
    <cellStyle name="Normal 57 3 5 5 2 2" xfId="12705"/>
    <cellStyle name="Normal 57 3 5 5 2 2 2" xfId="22924"/>
    <cellStyle name="Normal 57 3 5 5 2 3" xfId="9126"/>
    <cellStyle name="Normal 57 3 5 5 2 4" xfId="17917"/>
    <cellStyle name="Normal 57 3 5 5 3" xfId="5230"/>
    <cellStyle name="Normal 57 3 5 5 3 2" xfId="14069"/>
    <cellStyle name="Normal 57 3 5 5 3 2 2" xfId="24320"/>
    <cellStyle name="Normal 57 3 5 5 3 3" xfId="10490"/>
    <cellStyle name="Normal 57 3 5 5 3 4" xfId="19313"/>
    <cellStyle name="Normal 57 3 5 5 4" xfId="1846"/>
    <cellStyle name="Normal 57 3 5 5 4 2" xfId="11216"/>
    <cellStyle name="Normal 57 3 5 5 4 3" xfId="21220"/>
    <cellStyle name="Normal 57 3 5 5 5" xfId="6687"/>
    <cellStyle name="Normal 57 3 5 5 5 2" xfId="15514"/>
    <cellStyle name="Normal 57 3 5 5 5 3" xfId="25765"/>
    <cellStyle name="Normal 57 3 5 5 6" xfId="8133"/>
    <cellStyle name="Normal 57 3 5 5 6 2" xfId="20523"/>
    <cellStyle name="Normal 57 3 5 5 7" xfId="16213"/>
    <cellStyle name="Normal 57 3 5 6" xfId="2740"/>
    <cellStyle name="Normal 57 3 5 6 2" xfId="12059"/>
    <cellStyle name="Normal 57 3 5 6 2 2" xfId="22103"/>
    <cellStyle name="Normal 57 3 5 6 3" xfId="8561"/>
    <cellStyle name="Normal 57 3 5 6 4" xfId="17096"/>
    <cellStyle name="Normal 57 3 5 7" xfId="4186"/>
    <cellStyle name="Normal 57 3 5 7 2" xfId="13026"/>
    <cellStyle name="Normal 57 3 5 7 2 2" xfId="23277"/>
    <cellStyle name="Normal 57 3 5 7 3" xfId="9447"/>
    <cellStyle name="Normal 57 3 5 7 4" xfId="18270"/>
    <cellStyle name="Normal 57 3 5 8" xfId="1458"/>
    <cellStyle name="Normal 57 3 5 8 2" xfId="10837"/>
    <cellStyle name="Normal 57 3 5 8 3" xfId="20841"/>
    <cellStyle name="Normal 57 3 5 9" xfId="5644"/>
    <cellStyle name="Normal 57 3 5 9 2" xfId="14471"/>
    <cellStyle name="Normal 57 3 5 9 3" xfId="24722"/>
    <cellStyle name="Normal 57 3 5_Degree data" xfId="3964"/>
    <cellStyle name="Normal 57 3 6" xfId="464"/>
    <cellStyle name="Normal 57 3 6 2" xfId="858"/>
    <cellStyle name="Normal 57 3 6 2 2" xfId="3345"/>
    <cellStyle name="Normal 57 3 6 2 2 2" xfId="12489"/>
    <cellStyle name="Normal 57 3 6 2 2 2 2" xfId="22708"/>
    <cellStyle name="Normal 57 3 6 2 2 3" xfId="8911"/>
    <cellStyle name="Normal 57 3 6 2 2 4" xfId="17701"/>
    <cellStyle name="Normal 57 3 6 2 3" xfId="4674"/>
    <cellStyle name="Normal 57 3 6 2 3 2" xfId="13514"/>
    <cellStyle name="Normal 57 3 6 2 3 2 2" xfId="23765"/>
    <cellStyle name="Normal 57 3 6 2 3 3" xfId="9935"/>
    <cellStyle name="Normal 57 3 6 2 3 4" xfId="18758"/>
    <cellStyle name="Normal 57 3 6 2 4" xfId="2454"/>
    <cellStyle name="Normal 57 3 6 2 4 2" xfId="11821"/>
    <cellStyle name="Normal 57 3 6 2 4 3" xfId="21825"/>
    <cellStyle name="Normal 57 3 6 2 5" xfId="6132"/>
    <cellStyle name="Normal 57 3 6 2 5 2" xfId="14959"/>
    <cellStyle name="Normal 57 3 6 2 5 3" xfId="25210"/>
    <cellStyle name="Normal 57 3 6 2 6" xfId="7577"/>
    <cellStyle name="Normal 57 3 6 2 6 2" xfId="20307"/>
    <cellStyle name="Normal 57 3 6 2 7" xfId="16818"/>
    <cellStyle name="Normal 57 3 6 3" xfId="1236"/>
    <cellStyle name="Normal 57 3 6 3 2" xfId="3667"/>
    <cellStyle name="Normal 57 3 6 3 2 2" xfId="12805"/>
    <cellStyle name="Normal 57 3 6 3 2 2 2" xfId="23024"/>
    <cellStyle name="Normal 57 3 6 3 2 3" xfId="9226"/>
    <cellStyle name="Normal 57 3 6 3 2 4" xfId="18017"/>
    <cellStyle name="Normal 57 3 6 3 3" xfId="5023"/>
    <cellStyle name="Normal 57 3 6 3 3 2" xfId="13862"/>
    <cellStyle name="Normal 57 3 6 3 3 2 2" xfId="24113"/>
    <cellStyle name="Normal 57 3 6 3 3 3" xfId="10283"/>
    <cellStyle name="Normal 57 3 6 3 3 4" xfId="19106"/>
    <cellStyle name="Normal 57 3 6 3 4" xfId="2061"/>
    <cellStyle name="Normal 57 3 6 3 4 2" xfId="11428"/>
    <cellStyle name="Normal 57 3 6 3 4 3" xfId="21432"/>
    <cellStyle name="Normal 57 3 6 3 5" xfId="6480"/>
    <cellStyle name="Normal 57 3 6 3 5 2" xfId="15307"/>
    <cellStyle name="Normal 57 3 6 3 5 3" xfId="25558"/>
    <cellStyle name="Normal 57 3 6 3 6" xfId="7926"/>
    <cellStyle name="Normal 57 3 6 3 6 2" xfId="20623"/>
    <cellStyle name="Normal 57 3 6 3 7" xfId="16425"/>
    <cellStyle name="Normal 57 3 6 4" xfId="2952"/>
    <cellStyle name="Normal 57 3 6 4 2" xfId="5330"/>
    <cellStyle name="Normal 57 3 6 4 2 2" xfId="14169"/>
    <cellStyle name="Normal 57 3 6 4 2 2 2" xfId="24420"/>
    <cellStyle name="Normal 57 3 6 4 2 3" xfId="10590"/>
    <cellStyle name="Normal 57 3 6 4 2 4" xfId="19413"/>
    <cellStyle name="Normal 57 3 6 4 3" xfId="6787"/>
    <cellStyle name="Normal 57 3 6 4 3 2" xfId="15614"/>
    <cellStyle name="Normal 57 3 6 4 3 3" xfId="25865"/>
    <cellStyle name="Normal 57 3 6 4 4" xfId="8233"/>
    <cellStyle name="Normal 57 3 6 4 4 2" xfId="22315"/>
    <cellStyle name="Normal 57 3 6 4 5" xfId="17308"/>
    <cellStyle name="Normal 57 3 6 5" xfId="4286"/>
    <cellStyle name="Normal 57 3 6 5 2" xfId="13126"/>
    <cellStyle name="Normal 57 3 6 5 2 2" xfId="23377"/>
    <cellStyle name="Normal 57 3 6 5 3" xfId="9547"/>
    <cellStyle name="Normal 57 3 6 5 4" xfId="18370"/>
    <cellStyle name="Normal 57 3 6 6" xfId="1558"/>
    <cellStyle name="Normal 57 3 6 6 2" xfId="10937"/>
    <cellStyle name="Normal 57 3 6 6 3" xfId="20941"/>
    <cellStyle name="Normal 57 3 6 7" xfId="5744"/>
    <cellStyle name="Normal 57 3 6 7 2" xfId="14571"/>
    <cellStyle name="Normal 57 3 6 7 3" xfId="24822"/>
    <cellStyle name="Normal 57 3 6 8" xfId="7188"/>
    <cellStyle name="Normal 57 3 6 8 2" xfId="19914"/>
    <cellStyle name="Normal 57 3 6 9" xfId="15934"/>
    <cellStyle name="Normal 57 3 6_Degree data" xfId="3966"/>
    <cellStyle name="Normal 57 3 7" xfId="312"/>
    <cellStyle name="Normal 57 3 7 2" xfId="859"/>
    <cellStyle name="Normal 57 3 7 2 2" xfId="3346"/>
    <cellStyle name="Normal 57 3 7 2 2 2" xfId="12490"/>
    <cellStyle name="Normal 57 3 7 2 2 2 2" xfId="22709"/>
    <cellStyle name="Normal 57 3 7 2 2 3" xfId="8912"/>
    <cellStyle name="Normal 57 3 7 2 2 4" xfId="17702"/>
    <cellStyle name="Normal 57 3 7 2 3" xfId="4675"/>
    <cellStyle name="Normal 57 3 7 2 3 2" xfId="13515"/>
    <cellStyle name="Normal 57 3 7 2 3 2 2" xfId="23766"/>
    <cellStyle name="Normal 57 3 7 2 3 3" xfId="9936"/>
    <cellStyle name="Normal 57 3 7 2 3 4" xfId="18759"/>
    <cellStyle name="Normal 57 3 7 2 4" xfId="2455"/>
    <cellStyle name="Normal 57 3 7 2 4 2" xfId="11822"/>
    <cellStyle name="Normal 57 3 7 2 4 3" xfId="21826"/>
    <cellStyle name="Normal 57 3 7 2 5" xfId="6133"/>
    <cellStyle name="Normal 57 3 7 2 5 2" xfId="14960"/>
    <cellStyle name="Normal 57 3 7 2 5 3" xfId="25211"/>
    <cellStyle name="Normal 57 3 7 2 6" xfId="7578"/>
    <cellStyle name="Normal 57 3 7 2 6 2" xfId="20308"/>
    <cellStyle name="Normal 57 3 7 2 7" xfId="16819"/>
    <cellStyle name="Normal 57 3 7 3" xfId="1084"/>
    <cellStyle name="Normal 57 3 7 3 2" xfId="3515"/>
    <cellStyle name="Normal 57 3 7 3 2 2" xfId="12653"/>
    <cellStyle name="Normal 57 3 7 3 2 2 2" xfId="22872"/>
    <cellStyle name="Normal 57 3 7 3 2 3" xfId="9075"/>
    <cellStyle name="Normal 57 3 7 3 2 4" xfId="17865"/>
    <cellStyle name="Normal 57 3 7 3 3" xfId="5024"/>
    <cellStyle name="Normal 57 3 7 3 3 2" xfId="13863"/>
    <cellStyle name="Normal 57 3 7 3 3 2 2" xfId="24114"/>
    <cellStyle name="Normal 57 3 7 3 3 3" xfId="10284"/>
    <cellStyle name="Normal 57 3 7 3 3 4" xfId="19107"/>
    <cellStyle name="Normal 57 3 7 3 4" xfId="2604"/>
    <cellStyle name="Normal 57 3 7 3 4 2" xfId="11970"/>
    <cellStyle name="Normal 57 3 7 3 4 3" xfId="21974"/>
    <cellStyle name="Normal 57 3 7 3 5" xfId="6481"/>
    <cellStyle name="Normal 57 3 7 3 5 2" xfId="15308"/>
    <cellStyle name="Normal 57 3 7 3 5 3" xfId="25559"/>
    <cellStyle name="Normal 57 3 7 3 6" xfId="7927"/>
    <cellStyle name="Normal 57 3 7 3 6 2" xfId="20471"/>
    <cellStyle name="Normal 57 3 7 3 7" xfId="16967"/>
    <cellStyle name="Normal 57 3 7 4" xfId="2800"/>
    <cellStyle name="Normal 57 3 7 4 2" xfId="5178"/>
    <cellStyle name="Normal 57 3 7 4 2 2" xfId="14017"/>
    <cellStyle name="Normal 57 3 7 4 2 2 2" xfId="24268"/>
    <cellStyle name="Normal 57 3 7 4 2 3" xfId="10438"/>
    <cellStyle name="Normal 57 3 7 4 2 4" xfId="19261"/>
    <cellStyle name="Normal 57 3 7 4 3" xfId="6635"/>
    <cellStyle name="Normal 57 3 7 4 3 2" xfId="15462"/>
    <cellStyle name="Normal 57 3 7 4 3 3" xfId="25713"/>
    <cellStyle name="Normal 57 3 7 4 4" xfId="8081"/>
    <cellStyle name="Normal 57 3 7 4 4 2" xfId="22163"/>
    <cellStyle name="Normal 57 3 7 4 5" xfId="17156"/>
    <cellStyle name="Normal 57 3 7 5" xfId="4132"/>
    <cellStyle name="Normal 57 3 7 5 2" xfId="12972"/>
    <cellStyle name="Normal 57 3 7 5 2 2" xfId="23223"/>
    <cellStyle name="Normal 57 3 7 5 3" xfId="9393"/>
    <cellStyle name="Normal 57 3 7 5 4" xfId="18216"/>
    <cellStyle name="Normal 57 3 7 6" xfId="1909"/>
    <cellStyle name="Normal 57 3 7 6 2" xfId="11276"/>
    <cellStyle name="Normal 57 3 7 6 3" xfId="21280"/>
    <cellStyle name="Normal 57 3 7 7" xfId="5592"/>
    <cellStyle name="Normal 57 3 7 7 2" xfId="14419"/>
    <cellStyle name="Normal 57 3 7 7 3" xfId="24670"/>
    <cellStyle name="Normal 57 3 7 8" xfId="7036"/>
    <cellStyle name="Normal 57 3 7 8 2" xfId="19762"/>
    <cellStyle name="Normal 57 3 7 9" xfId="16273"/>
    <cellStyle name="Normal 57 3 7_Degree data" xfId="3967"/>
    <cellStyle name="Normal 57 3 8" xfId="840"/>
    <cellStyle name="Normal 57 3 8 2" xfId="3327"/>
    <cellStyle name="Normal 57 3 8 2 2" xfId="12471"/>
    <cellStyle name="Normal 57 3 8 2 2 2" xfId="22690"/>
    <cellStyle name="Normal 57 3 8 2 3" xfId="8893"/>
    <cellStyle name="Normal 57 3 8 2 4" xfId="17683"/>
    <cellStyle name="Normal 57 3 8 3" xfId="4656"/>
    <cellStyle name="Normal 57 3 8 3 2" xfId="13496"/>
    <cellStyle name="Normal 57 3 8 3 2 2" xfId="23747"/>
    <cellStyle name="Normal 57 3 8 3 3" xfId="9917"/>
    <cellStyle name="Normal 57 3 8 3 4" xfId="18740"/>
    <cellStyle name="Normal 57 3 8 4" xfId="2436"/>
    <cellStyle name="Normal 57 3 8 4 2" xfId="11803"/>
    <cellStyle name="Normal 57 3 8 4 3" xfId="21807"/>
    <cellStyle name="Normal 57 3 8 5" xfId="6114"/>
    <cellStyle name="Normal 57 3 8 5 2" xfId="14941"/>
    <cellStyle name="Normal 57 3 8 5 3" xfId="25192"/>
    <cellStyle name="Normal 57 3 8 6" xfId="7559"/>
    <cellStyle name="Normal 57 3 8 6 2" xfId="20289"/>
    <cellStyle name="Normal 57 3 8 7" xfId="16800"/>
    <cellStyle name="Normal 57 3 9" xfId="1052"/>
    <cellStyle name="Normal 57 3 9 2" xfId="3483"/>
    <cellStyle name="Normal 57 3 9 2 2" xfId="12621"/>
    <cellStyle name="Normal 57 3 9 2 2 2" xfId="22840"/>
    <cellStyle name="Normal 57 3 9 2 3" xfId="9043"/>
    <cellStyle name="Normal 57 3 9 2 4" xfId="17833"/>
    <cellStyle name="Normal 57 3 9 3" xfId="5005"/>
    <cellStyle name="Normal 57 3 9 3 2" xfId="13844"/>
    <cellStyle name="Normal 57 3 9 3 2 2" xfId="24095"/>
    <cellStyle name="Normal 57 3 9 3 3" xfId="10265"/>
    <cellStyle name="Normal 57 3 9 3 4" xfId="19088"/>
    <cellStyle name="Normal 57 3 9 4" xfId="1734"/>
    <cellStyle name="Normal 57 3 9 4 2" xfId="11110"/>
    <cellStyle name="Normal 57 3 9 4 3" xfId="21114"/>
    <cellStyle name="Normal 57 3 9 5" xfId="6462"/>
    <cellStyle name="Normal 57 3 9 5 2" xfId="15289"/>
    <cellStyle name="Normal 57 3 9 5 3" xfId="25540"/>
    <cellStyle name="Normal 57 3 9 6" xfId="7908"/>
    <cellStyle name="Normal 57 3 9 6 2" xfId="20439"/>
    <cellStyle name="Normal 57 3 9 7" xfId="16107"/>
    <cellStyle name="Normal 57 3_Degree data" xfId="3948"/>
    <cellStyle name="Normal 57 4" xfId="114"/>
    <cellStyle name="Normal 57 4 10" xfId="4106"/>
    <cellStyle name="Normal 57 4 10 2" xfId="5566"/>
    <cellStyle name="Normal 57 4 10 2 2" xfId="14393"/>
    <cellStyle name="Normal 57 4 10 2 3" xfId="24644"/>
    <cellStyle name="Normal 57 4 10 3" xfId="7010"/>
    <cellStyle name="Normal 57 4 10 3 2" xfId="23197"/>
    <cellStyle name="Normal 57 4 10 4" xfId="18190"/>
    <cellStyle name="Normal 57 4 11" xfId="1423"/>
    <cellStyle name="Normal 57 4 11 2" xfId="10802"/>
    <cellStyle name="Normal 57 4 11 3" xfId="20806"/>
    <cellStyle name="Normal 57 4 12" xfId="5514"/>
    <cellStyle name="Normal 57 4 12 2" xfId="14343"/>
    <cellStyle name="Normal 57 4 12 3" xfId="24594"/>
    <cellStyle name="Normal 57 4 13" xfId="6955"/>
    <cellStyle name="Normal 57 4 13 2" xfId="19593"/>
    <cellStyle name="Normal 57 4 14" xfId="15799"/>
    <cellStyle name="Normal 57 4 2" xfId="153"/>
    <cellStyle name="Normal 57 4 2 10" xfId="5534"/>
    <cellStyle name="Normal 57 4 2 10 2" xfId="14363"/>
    <cellStyle name="Normal 57 4 2 10 3" xfId="24614"/>
    <cellStyle name="Normal 57 4 2 11" xfId="6977"/>
    <cellStyle name="Normal 57 4 2 11 2" xfId="19621"/>
    <cellStyle name="Normal 57 4 2 12" xfId="15858"/>
    <cellStyle name="Normal 57 4 2 2" xfId="203"/>
    <cellStyle name="Normal 57 4 2 2 10" xfId="7155"/>
    <cellStyle name="Normal 57 4 2 2 10 2" xfId="19664"/>
    <cellStyle name="Normal 57 4 2 2 11" xfId="15901"/>
    <cellStyle name="Normal 57 4 2 2 2" xfId="531"/>
    <cellStyle name="Normal 57 4 2 2 2 2" xfId="863"/>
    <cellStyle name="Normal 57 4 2 2 2 2 2" xfId="3350"/>
    <cellStyle name="Normal 57 4 2 2 2 2 2 2" xfId="12494"/>
    <cellStyle name="Normal 57 4 2 2 2 2 2 2 2" xfId="22713"/>
    <cellStyle name="Normal 57 4 2 2 2 2 2 3" xfId="8916"/>
    <cellStyle name="Normal 57 4 2 2 2 2 2 4" xfId="17706"/>
    <cellStyle name="Normal 57 4 2 2 2 2 3" xfId="4679"/>
    <cellStyle name="Normal 57 4 2 2 2 2 3 2" xfId="13519"/>
    <cellStyle name="Normal 57 4 2 2 2 2 3 2 2" xfId="23770"/>
    <cellStyle name="Normal 57 4 2 2 2 2 3 3" xfId="9940"/>
    <cellStyle name="Normal 57 4 2 2 2 2 3 4" xfId="18763"/>
    <cellStyle name="Normal 57 4 2 2 2 2 4" xfId="2459"/>
    <cellStyle name="Normal 57 4 2 2 2 2 4 2" xfId="11826"/>
    <cellStyle name="Normal 57 4 2 2 2 2 4 3" xfId="21830"/>
    <cellStyle name="Normal 57 4 2 2 2 2 5" xfId="6137"/>
    <cellStyle name="Normal 57 4 2 2 2 2 5 2" xfId="14964"/>
    <cellStyle name="Normal 57 4 2 2 2 2 5 3" xfId="25215"/>
    <cellStyle name="Normal 57 4 2 2 2 2 6" xfId="7582"/>
    <cellStyle name="Normal 57 4 2 2 2 2 6 2" xfId="20312"/>
    <cellStyle name="Normal 57 4 2 2 2 2 7" xfId="16823"/>
    <cellStyle name="Normal 57 4 2 2 2 3" xfId="1303"/>
    <cellStyle name="Normal 57 4 2 2 2 3 2" xfId="3734"/>
    <cellStyle name="Normal 57 4 2 2 2 3 2 2" xfId="12872"/>
    <cellStyle name="Normal 57 4 2 2 2 3 2 2 2" xfId="23091"/>
    <cellStyle name="Normal 57 4 2 2 2 3 2 3" xfId="9293"/>
    <cellStyle name="Normal 57 4 2 2 2 3 2 4" xfId="18084"/>
    <cellStyle name="Normal 57 4 2 2 2 3 3" xfId="5028"/>
    <cellStyle name="Normal 57 4 2 2 2 3 3 2" xfId="13867"/>
    <cellStyle name="Normal 57 4 2 2 2 3 3 2 2" xfId="24118"/>
    <cellStyle name="Normal 57 4 2 2 2 3 3 3" xfId="10288"/>
    <cellStyle name="Normal 57 4 2 2 2 3 3 4" xfId="19111"/>
    <cellStyle name="Normal 57 4 2 2 2 3 4" xfId="2128"/>
    <cellStyle name="Normal 57 4 2 2 2 3 4 2" xfId="11495"/>
    <cellStyle name="Normal 57 4 2 2 2 3 4 3" xfId="21499"/>
    <cellStyle name="Normal 57 4 2 2 2 3 5" xfId="6485"/>
    <cellStyle name="Normal 57 4 2 2 2 3 5 2" xfId="15312"/>
    <cellStyle name="Normal 57 4 2 2 2 3 5 3" xfId="25563"/>
    <cellStyle name="Normal 57 4 2 2 2 3 6" xfId="7931"/>
    <cellStyle name="Normal 57 4 2 2 2 3 6 2" xfId="20690"/>
    <cellStyle name="Normal 57 4 2 2 2 3 7" xfId="16492"/>
    <cellStyle name="Normal 57 4 2 2 2 4" xfId="3019"/>
    <cellStyle name="Normal 57 4 2 2 2 4 2" xfId="5397"/>
    <cellStyle name="Normal 57 4 2 2 2 4 2 2" xfId="14236"/>
    <cellStyle name="Normal 57 4 2 2 2 4 2 2 2" xfId="24487"/>
    <cellStyle name="Normal 57 4 2 2 2 4 2 3" xfId="10657"/>
    <cellStyle name="Normal 57 4 2 2 2 4 2 4" xfId="19480"/>
    <cellStyle name="Normal 57 4 2 2 2 4 3" xfId="6854"/>
    <cellStyle name="Normal 57 4 2 2 2 4 3 2" xfId="15681"/>
    <cellStyle name="Normal 57 4 2 2 2 4 3 3" xfId="25932"/>
    <cellStyle name="Normal 57 4 2 2 2 4 4" xfId="8300"/>
    <cellStyle name="Normal 57 4 2 2 2 4 4 2" xfId="22382"/>
    <cellStyle name="Normal 57 4 2 2 2 4 5" xfId="17375"/>
    <cellStyle name="Normal 57 4 2 2 2 5" xfId="4353"/>
    <cellStyle name="Normal 57 4 2 2 2 5 2" xfId="13193"/>
    <cellStyle name="Normal 57 4 2 2 2 5 2 2" xfId="23444"/>
    <cellStyle name="Normal 57 4 2 2 2 5 3" xfId="9614"/>
    <cellStyle name="Normal 57 4 2 2 2 5 4" xfId="18437"/>
    <cellStyle name="Normal 57 4 2 2 2 6" xfId="1625"/>
    <cellStyle name="Normal 57 4 2 2 2 6 2" xfId="11004"/>
    <cellStyle name="Normal 57 4 2 2 2 6 3" xfId="21008"/>
    <cellStyle name="Normal 57 4 2 2 2 7" xfId="5811"/>
    <cellStyle name="Normal 57 4 2 2 2 7 2" xfId="14638"/>
    <cellStyle name="Normal 57 4 2 2 2 7 3" xfId="24889"/>
    <cellStyle name="Normal 57 4 2 2 2 8" xfId="7255"/>
    <cellStyle name="Normal 57 4 2 2 2 8 2" xfId="19981"/>
    <cellStyle name="Normal 57 4 2 2 2 9" xfId="16001"/>
    <cellStyle name="Normal 57 4 2 2 2_Degree data" xfId="3971"/>
    <cellStyle name="Normal 57 4 2 2 3" xfId="431"/>
    <cellStyle name="Normal 57 4 2 2 3 2" xfId="2919"/>
    <cellStyle name="Normal 57 4 2 2 3 2 2" xfId="12209"/>
    <cellStyle name="Normal 57 4 2 2 3 2 2 2" xfId="22282"/>
    <cellStyle name="Normal 57 4 2 2 3 2 3" xfId="8408"/>
    <cellStyle name="Normal 57 4 2 2 3 2 4" xfId="17275"/>
    <cellStyle name="Normal 57 4 2 2 3 3" xfId="4678"/>
    <cellStyle name="Normal 57 4 2 2 3 3 2" xfId="13518"/>
    <cellStyle name="Normal 57 4 2 2 3 3 2 2" xfId="23769"/>
    <cellStyle name="Normal 57 4 2 2 3 3 3" xfId="9939"/>
    <cellStyle name="Normal 57 4 2 2 3 3 4" xfId="18762"/>
    <cellStyle name="Normal 57 4 2 2 3 4" xfId="2028"/>
    <cellStyle name="Normal 57 4 2 2 3 4 2" xfId="11395"/>
    <cellStyle name="Normal 57 4 2 2 3 4 3" xfId="21399"/>
    <cellStyle name="Normal 57 4 2 2 3 5" xfId="6136"/>
    <cellStyle name="Normal 57 4 2 2 3 5 2" xfId="14963"/>
    <cellStyle name="Normal 57 4 2 2 3 5 3" xfId="25214"/>
    <cellStyle name="Normal 57 4 2 2 3 6" xfId="7581"/>
    <cellStyle name="Normal 57 4 2 2 3 6 2" xfId="19881"/>
    <cellStyle name="Normal 57 4 2 2 3 7" xfId="16392"/>
    <cellStyle name="Normal 57 4 2 2 4" xfId="862"/>
    <cellStyle name="Normal 57 4 2 2 4 2" xfId="3349"/>
    <cellStyle name="Normal 57 4 2 2 4 2 2" xfId="12493"/>
    <cellStyle name="Normal 57 4 2 2 4 2 2 2" xfId="22712"/>
    <cellStyle name="Normal 57 4 2 2 4 2 3" xfId="8915"/>
    <cellStyle name="Normal 57 4 2 2 4 2 4" xfId="17705"/>
    <cellStyle name="Normal 57 4 2 2 4 3" xfId="5027"/>
    <cellStyle name="Normal 57 4 2 2 4 3 2" xfId="13866"/>
    <cellStyle name="Normal 57 4 2 2 4 3 2 2" xfId="24117"/>
    <cellStyle name="Normal 57 4 2 2 4 3 3" xfId="10287"/>
    <cellStyle name="Normal 57 4 2 2 4 3 4" xfId="19110"/>
    <cellStyle name="Normal 57 4 2 2 4 4" xfId="2458"/>
    <cellStyle name="Normal 57 4 2 2 4 4 2" xfId="11825"/>
    <cellStyle name="Normal 57 4 2 2 4 4 3" xfId="21829"/>
    <cellStyle name="Normal 57 4 2 2 4 5" xfId="6484"/>
    <cellStyle name="Normal 57 4 2 2 4 5 2" xfId="15311"/>
    <cellStyle name="Normal 57 4 2 2 4 5 3" xfId="25562"/>
    <cellStyle name="Normal 57 4 2 2 4 6" xfId="7930"/>
    <cellStyle name="Normal 57 4 2 2 4 6 2" xfId="20311"/>
    <cellStyle name="Normal 57 4 2 2 4 7" xfId="16822"/>
    <cellStyle name="Normal 57 4 2 2 5" xfId="1203"/>
    <cellStyle name="Normal 57 4 2 2 5 2" xfId="3634"/>
    <cellStyle name="Normal 57 4 2 2 5 2 2" xfId="12772"/>
    <cellStyle name="Normal 57 4 2 2 5 2 2 2" xfId="22991"/>
    <cellStyle name="Normal 57 4 2 2 5 2 3" xfId="9193"/>
    <cellStyle name="Normal 57 4 2 2 5 2 4" xfId="17984"/>
    <cellStyle name="Normal 57 4 2 2 5 3" xfId="5297"/>
    <cellStyle name="Normal 57 4 2 2 5 3 2" xfId="14136"/>
    <cellStyle name="Normal 57 4 2 2 5 3 2 2" xfId="24387"/>
    <cellStyle name="Normal 57 4 2 2 5 3 3" xfId="10557"/>
    <cellStyle name="Normal 57 4 2 2 5 3 4" xfId="19380"/>
    <cellStyle name="Normal 57 4 2 2 5 4" xfId="1807"/>
    <cellStyle name="Normal 57 4 2 2 5 4 2" xfId="11178"/>
    <cellStyle name="Normal 57 4 2 2 5 4 3" xfId="21182"/>
    <cellStyle name="Normal 57 4 2 2 5 5" xfId="6754"/>
    <cellStyle name="Normal 57 4 2 2 5 5 2" xfId="15581"/>
    <cellStyle name="Normal 57 4 2 2 5 5 3" xfId="25832"/>
    <cellStyle name="Normal 57 4 2 2 5 6" xfId="8200"/>
    <cellStyle name="Normal 57 4 2 2 5 6 2" xfId="20590"/>
    <cellStyle name="Normal 57 4 2 2 5 7" xfId="16175"/>
    <cellStyle name="Normal 57 4 2 2 6" xfId="2702"/>
    <cellStyle name="Normal 57 4 2 2 6 2" xfId="12021"/>
    <cellStyle name="Normal 57 4 2 2 6 2 2" xfId="22065"/>
    <cellStyle name="Normal 57 4 2 2 6 3" xfId="8510"/>
    <cellStyle name="Normal 57 4 2 2 6 4" xfId="17058"/>
    <cellStyle name="Normal 57 4 2 2 7" xfId="4253"/>
    <cellStyle name="Normal 57 4 2 2 7 2" xfId="13093"/>
    <cellStyle name="Normal 57 4 2 2 7 2 2" xfId="23344"/>
    <cellStyle name="Normal 57 4 2 2 7 3" xfId="9514"/>
    <cellStyle name="Normal 57 4 2 2 7 4" xfId="18337"/>
    <cellStyle name="Normal 57 4 2 2 8" xfId="1525"/>
    <cellStyle name="Normal 57 4 2 2 8 2" xfId="10904"/>
    <cellStyle name="Normal 57 4 2 2 8 3" xfId="20908"/>
    <cellStyle name="Normal 57 4 2 2 9" xfId="5711"/>
    <cellStyle name="Normal 57 4 2 2 9 2" xfId="14538"/>
    <cellStyle name="Normal 57 4 2 2 9 3" xfId="24789"/>
    <cellStyle name="Normal 57 4 2 2_Degree data" xfId="3970"/>
    <cellStyle name="Normal 57 4 2 3" xfId="488"/>
    <cellStyle name="Normal 57 4 2 3 2" xfId="864"/>
    <cellStyle name="Normal 57 4 2 3 2 2" xfId="3351"/>
    <cellStyle name="Normal 57 4 2 3 2 2 2" xfId="12495"/>
    <cellStyle name="Normal 57 4 2 3 2 2 2 2" xfId="22714"/>
    <cellStyle name="Normal 57 4 2 3 2 2 3" xfId="8917"/>
    <cellStyle name="Normal 57 4 2 3 2 2 4" xfId="17707"/>
    <cellStyle name="Normal 57 4 2 3 2 3" xfId="4680"/>
    <cellStyle name="Normal 57 4 2 3 2 3 2" xfId="13520"/>
    <cellStyle name="Normal 57 4 2 3 2 3 2 2" xfId="23771"/>
    <cellStyle name="Normal 57 4 2 3 2 3 3" xfId="9941"/>
    <cellStyle name="Normal 57 4 2 3 2 3 4" xfId="18764"/>
    <cellStyle name="Normal 57 4 2 3 2 4" xfId="2460"/>
    <cellStyle name="Normal 57 4 2 3 2 4 2" xfId="11827"/>
    <cellStyle name="Normal 57 4 2 3 2 4 3" xfId="21831"/>
    <cellStyle name="Normal 57 4 2 3 2 5" xfId="6138"/>
    <cellStyle name="Normal 57 4 2 3 2 5 2" xfId="14965"/>
    <cellStyle name="Normal 57 4 2 3 2 5 3" xfId="25216"/>
    <cellStyle name="Normal 57 4 2 3 2 6" xfId="7583"/>
    <cellStyle name="Normal 57 4 2 3 2 6 2" xfId="20313"/>
    <cellStyle name="Normal 57 4 2 3 2 7" xfId="16824"/>
    <cellStyle name="Normal 57 4 2 3 3" xfId="1260"/>
    <cellStyle name="Normal 57 4 2 3 3 2" xfId="3691"/>
    <cellStyle name="Normal 57 4 2 3 3 2 2" xfId="12829"/>
    <cellStyle name="Normal 57 4 2 3 3 2 2 2" xfId="23048"/>
    <cellStyle name="Normal 57 4 2 3 3 2 3" xfId="9250"/>
    <cellStyle name="Normal 57 4 2 3 3 2 4" xfId="18041"/>
    <cellStyle name="Normal 57 4 2 3 3 3" xfId="5029"/>
    <cellStyle name="Normal 57 4 2 3 3 3 2" xfId="13868"/>
    <cellStyle name="Normal 57 4 2 3 3 3 2 2" xfId="24119"/>
    <cellStyle name="Normal 57 4 2 3 3 3 3" xfId="10289"/>
    <cellStyle name="Normal 57 4 2 3 3 3 4" xfId="19112"/>
    <cellStyle name="Normal 57 4 2 3 3 4" xfId="2085"/>
    <cellStyle name="Normal 57 4 2 3 3 4 2" xfId="11452"/>
    <cellStyle name="Normal 57 4 2 3 3 4 3" xfId="21456"/>
    <cellStyle name="Normal 57 4 2 3 3 5" xfId="6486"/>
    <cellStyle name="Normal 57 4 2 3 3 5 2" xfId="15313"/>
    <cellStyle name="Normal 57 4 2 3 3 5 3" xfId="25564"/>
    <cellStyle name="Normal 57 4 2 3 3 6" xfId="7932"/>
    <cellStyle name="Normal 57 4 2 3 3 6 2" xfId="20647"/>
    <cellStyle name="Normal 57 4 2 3 3 7" xfId="16449"/>
    <cellStyle name="Normal 57 4 2 3 4" xfId="2976"/>
    <cellStyle name="Normal 57 4 2 3 4 2" xfId="5354"/>
    <cellStyle name="Normal 57 4 2 3 4 2 2" xfId="14193"/>
    <cellStyle name="Normal 57 4 2 3 4 2 2 2" xfId="24444"/>
    <cellStyle name="Normal 57 4 2 3 4 2 3" xfId="10614"/>
    <cellStyle name="Normal 57 4 2 3 4 2 4" xfId="19437"/>
    <cellStyle name="Normal 57 4 2 3 4 3" xfId="6811"/>
    <cellStyle name="Normal 57 4 2 3 4 3 2" xfId="15638"/>
    <cellStyle name="Normal 57 4 2 3 4 3 3" xfId="25889"/>
    <cellStyle name="Normal 57 4 2 3 4 4" xfId="8257"/>
    <cellStyle name="Normal 57 4 2 3 4 4 2" xfId="22339"/>
    <cellStyle name="Normal 57 4 2 3 4 5" xfId="17332"/>
    <cellStyle name="Normal 57 4 2 3 5" xfId="4310"/>
    <cellStyle name="Normal 57 4 2 3 5 2" xfId="13150"/>
    <cellStyle name="Normal 57 4 2 3 5 2 2" xfId="23401"/>
    <cellStyle name="Normal 57 4 2 3 5 3" xfId="9571"/>
    <cellStyle name="Normal 57 4 2 3 5 4" xfId="18394"/>
    <cellStyle name="Normal 57 4 2 3 6" xfId="1582"/>
    <cellStyle name="Normal 57 4 2 3 6 2" xfId="10961"/>
    <cellStyle name="Normal 57 4 2 3 6 3" xfId="20965"/>
    <cellStyle name="Normal 57 4 2 3 7" xfId="5768"/>
    <cellStyle name="Normal 57 4 2 3 7 2" xfId="14595"/>
    <cellStyle name="Normal 57 4 2 3 7 3" xfId="24846"/>
    <cellStyle name="Normal 57 4 2 3 8" xfId="7212"/>
    <cellStyle name="Normal 57 4 2 3 8 2" xfId="19938"/>
    <cellStyle name="Normal 57 4 2 3 9" xfId="15958"/>
    <cellStyle name="Normal 57 4 2 3_Degree data" xfId="3972"/>
    <cellStyle name="Normal 57 4 2 4" xfId="388"/>
    <cellStyle name="Normal 57 4 2 4 2" xfId="2876"/>
    <cellStyle name="Normal 57 4 2 4 2 2" xfId="12166"/>
    <cellStyle name="Normal 57 4 2 4 2 2 2" xfId="22239"/>
    <cellStyle name="Normal 57 4 2 4 2 3" xfId="8447"/>
    <cellStyle name="Normal 57 4 2 4 2 4" xfId="17232"/>
    <cellStyle name="Normal 57 4 2 4 3" xfId="4677"/>
    <cellStyle name="Normal 57 4 2 4 3 2" xfId="13517"/>
    <cellStyle name="Normal 57 4 2 4 3 2 2" xfId="23768"/>
    <cellStyle name="Normal 57 4 2 4 3 3" xfId="9938"/>
    <cellStyle name="Normal 57 4 2 4 3 4" xfId="18761"/>
    <cellStyle name="Normal 57 4 2 4 4" xfId="1985"/>
    <cellStyle name="Normal 57 4 2 4 4 2" xfId="11352"/>
    <cellStyle name="Normal 57 4 2 4 4 3" xfId="21356"/>
    <cellStyle name="Normal 57 4 2 4 5" xfId="6135"/>
    <cellStyle name="Normal 57 4 2 4 5 2" xfId="14962"/>
    <cellStyle name="Normal 57 4 2 4 5 3" xfId="25213"/>
    <cellStyle name="Normal 57 4 2 4 6" xfId="7580"/>
    <cellStyle name="Normal 57 4 2 4 6 2" xfId="19838"/>
    <cellStyle name="Normal 57 4 2 4 7" xfId="16349"/>
    <cellStyle name="Normal 57 4 2 5" xfId="861"/>
    <cellStyle name="Normal 57 4 2 5 2" xfId="3348"/>
    <cellStyle name="Normal 57 4 2 5 2 2" xfId="12492"/>
    <cellStyle name="Normal 57 4 2 5 2 2 2" xfId="22711"/>
    <cellStyle name="Normal 57 4 2 5 2 3" xfId="8914"/>
    <cellStyle name="Normal 57 4 2 5 2 4" xfId="17704"/>
    <cellStyle name="Normal 57 4 2 5 3" xfId="5026"/>
    <cellStyle name="Normal 57 4 2 5 3 2" xfId="13865"/>
    <cellStyle name="Normal 57 4 2 5 3 2 2" xfId="24116"/>
    <cellStyle name="Normal 57 4 2 5 3 3" xfId="10286"/>
    <cellStyle name="Normal 57 4 2 5 3 4" xfId="19109"/>
    <cellStyle name="Normal 57 4 2 5 4" xfId="2457"/>
    <cellStyle name="Normal 57 4 2 5 4 2" xfId="11824"/>
    <cellStyle name="Normal 57 4 2 5 4 3" xfId="21828"/>
    <cellStyle name="Normal 57 4 2 5 5" xfId="6483"/>
    <cellStyle name="Normal 57 4 2 5 5 2" xfId="15310"/>
    <cellStyle name="Normal 57 4 2 5 5 3" xfId="25561"/>
    <cellStyle name="Normal 57 4 2 5 6" xfId="7929"/>
    <cellStyle name="Normal 57 4 2 5 6 2" xfId="20310"/>
    <cellStyle name="Normal 57 4 2 5 7" xfId="16821"/>
    <cellStyle name="Normal 57 4 2 6" xfId="1160"/>
    <cellStyle name="Normal 57 4 2 6 2" xfId="3591"/>
    <cellStyle name="Normal 57 4 2 6 2 2" xfId="12729"/>
    <cellStyle name="Normal 57 4 2 6 2 2 2" xfId="22948"/>
    <cellStyle name="Normal 57 4 2 6 2 3" xfId="9150"/>
    <cellStyle name="Normal 57 4 2 6 2 4" xfId="17941"/>
    <cellStyle name="Normal 57 4 2 6 3" xfId="5254"/>
    <cellStyle name="Normal 57 4 2 6 3 2" xfId="14093"/>
    <cellStyle name="Normal 57 4 2 6 3 2 2" xfId="24344"/>
    <cellStyle name="Normal 57 4 2 6 3 3" xfId="10514"/>
    <cellStyle name="Normal 57 4 2 6 3 4" xfId="19337"/>
    <cellStyle name="Normal 57 4 2 6 4" xfId="1761"/>
    <cellStyle name="Normal 57 4 2 6 4 2" xfId="11134"/>
    <cellStyle name="Normal 57 4 2 6 4 3" xfId="21138"/>
    <cellStyle name="Normal 57 4 2 6 5" xfId="6711"/>
    <cellStyle name="Normal 57 4 2 6 5 2" xfId="15538"/>
    <cellStyle name="Normal 57 4 2 6 5 3" xfId="25789"/>
    <cellStyle name="Normal 57 4 2 6 6" xfId="8157"/>
    <cellStyle name="Normal 57 4 2 6 6 2" xfId="20547"/>
    <cellStyle name="Normal 57 4 2 6 7" xfId="16131"/>
    <cellStyle name="Normal 57 4 2 7" xfId="2659"/>
    <cellStyle name="Normal 57 4 2 7 2" xfId="5668"/>
    <cellStyle name="Normal 57 4 2 7 2 2" xfId="14495"/>
    <cellStyle name="Normal 57 4 2 7 2 3" xfId="24746"/>
    <cellStyle name="Normal 57 4 2 7 3" xfId="7112"/>
    <cellStyle name="Normal 57 4 2 7 3 2" xfId="22022"/>
    <cellStyle name="Normal 57 4 2 7 4" xfId="17015"/>
    <cellStyle name="Normal 57 4 2 8" xfId="4210"/>
    <cellStyle name="Normal 57 4 2 8 2" xfId="13050"/>
    <cellStyle name="Normal 57 4 2 8 2 2" xfId="23301"/>
    <cellStyle name="Normal 57 4 2 8 3" xfId="9471"/>
    <cellStyle name="Normal 57 4 2 8 4" xfId="18294"/>
    <cellStyle name="Normal 57 4 2 9" xfId="1482"/>
    <cellStyle name="Normal 57 4 2 9 2" xfId="10861"/>
    <cellStyle name="Normal 57 4 2 9 3" xfId="20865"/>
    <cellStyle name="Normal 57 4 2_Degree data" xfId="3969"/>
    <cellStyle name="Normal 57 4 3" xfId="188"/>
    <cellStyle name="Normal 57 4 3 10" xfId="7140"/>
    <cellStyle name="Normal 57 4 3 10 2" xfId="19649"/>
    <cellStyle name="Normal 57 4 3 11" xfId="15886"/>
    <cellStyle name="Normal 57 4 3 2" xfId="516"/>
    <cellStyle name="Normal 57 4 3 2 2" xfId="866"/>
    <cellStyle name="Normal 57 4 3 2 2 2" xfId="3353"/>
    <cellStyle name="Normal 57 4 3 2 2 2 2" xfId="12497"/>
    <cellStyle name="Normal 57 4 3 2 2 2 2 2" xfId="22716"/>
    <cellStyle name="Normal 57 4 3 2 2 2 3" xfId="8919"/>
    <cellStyle name="Normal 57 4 3 2 2 2 4" xfId="17709"/>
    <cellStyle name="Normal 57 4 3 2 2 3" xfId="4682"/>
    <cellStyle name="Normal 57 4 3 2 2 3 2" xfId="13522"/>
    <cellStyle name="Normal 57 4 3 2 2 3 2 2" xfId="23773"/>
    <cellStyle name="Normal 57 4 3 2 2 3 3" xfId="9943"/>
    <cellStyle name="Normal 57 4 3 2 2 3 4" xfId="18766"/>
    <cellStyle name="Normal 57 4 3 2 2 4" xfId="2462"/>
    <cellStyle name="Normal 57 4 3 2 2 4 2" xfId="11829"/>
    <cellStyle name="Normal 57 4 3 2 2 4 3" xfId="21833"/>
    <cellStyle name="Normal 57 4 3 2 2 5" xfId="6140"/>
    <cellStyle name="Normal 57 4 3 2 2 5 2" xfId="14967"/>
    <cellStyle name="Normal 57 4 3 2 2 5 3" xfId="25218"/>
    <cellStyle name="Normal 57 4 3 2 2 6" xfId="7585"/>
    <cellStyle name="Normal 57 4 3 2 2 6 2" xfId="20315"/>
    <cellStyle name="Normal 57 4 3 2 2 7" xfId="16826"/>
    <cellStyle name="Normal 57 4 3 2 3" xfId="1288"/>
    <cellStyle name="Normal 57 4 3 2 3 2" xfId="3719"/>
    <cellStyle name="Normal 57 4 3 2 3 2 2" xfId="12857"/>
    <cellStyle name="Normal 57 4 3 2 3 2 2 2" xfId="23076"/>
    <cellStyle name="Normal 57 4 3 2 3 2 3" xfId="9278"/>
    <cellStyle name="Normal 57 4 3 2 3 2 4" xfId="18069"/>
    <cellStyle name="Normal 57 4 3 2 3 3" xfId="5031"/>
    <cellStyle name="Normal 57 4 3 2 3 3 2" xfId="13870"/>
    <cellStyle name="Normal 57 4 3 2 3 3 2 2" xfId="24121"/>
    <cellStyle name="Normal 57 4 3 2 3 3 3" xfId="10291"/>
    <cellStyle name="Normal 57 4 3 2 3 3 4" xfId="19114"/>
    <cellStyle name="Normal 57 4 3 2 3 4" xfId="2113"/>
    <cellStyle name="Normal 57 4 3 2 3 4 2" xfId="11480"/>
    <cellStyle name="Normal 57 4 3 2 3 4 3" xfId="21484"/>
    <cellStyle name="Normal 57 4 3 2 3 5" xfId="6488"/>
    <cellStyle name="Normal 57 4 3 2 3 5 2" xfId="15315"/>
    <cellStyle name="Normal 57 4 3 2 3 5 3" xfId="25566"/>
    <cellStyle name="Normal 57 4 3 2 3 6" xfId="7934"/>
    <cellStyle name="Normal 57 4 3 2 3 6 2" xfId="20675"/>
    <cellStyle name="Normal 57 4 3 2 3 7" xfId="16477"/>
    <cellStyle name="Normal 57 4 3 2 4" xfId="3004"/>
    <cellStyle name="Normal 57 4 3 2 4 2" xfId="5382"/>
    <cellStyle name="Normal 57 4 3 2 4 2 2" xfId="14221"/>
    <cellStyle name="Normal 57 4 3 2 4 2 2 2" xfId="24472"/>
    <cellStyle name="Normal 57 4 3 2 4 2 3" xfId="10642"/>
    <cellStyle name="Normal 57 4 3 2 4 2 4" xfId="19465"/>
    <cellStyle name="Normal 57 4 3 2 4 3" xfId="6839"/>
    <cellStyle name="Normal 57 4 3 2 4 3 2" xfId="15666"/>
    <cellStyle name="Normal 57 4 3 2 4 3 3" xfId="25917"/>
    <cellStyle name="Normal 57 4 3 2 4 4" xfId="8285"/>
    <cellStyle name="Normal 57 4 3 2 4 4 2" xfId="22367"/>
    <cellStyle name="Normal 57 4 3 2 4 5" xfId="17360"/>
    <cellStyle name="Normal 57 4 3 2 5" xfId="4338"/>
    <cellStyle name="Normal 57 4 3 2 5 2" xfId="13178"/>
    <cellStyle name="Normal 57 4 3 2 5 2 2" xfId="23429"/>
    <cellStyle name="Normal 57 4 3 2 5 3" xfId="9599"/>
    <cellStyle name="Normal 57 4 3 2 5 4" xfId="18422"/>
    <cellStyle name="Normal 57 4 3 2 6" xfId="1610"/>
    <cellStyle name="Normal 57 4 3 2 6 2" xfId="10989"/>
    <cellStyle name="Normal 57 4 3 2 6 3" xfId="20993"/>
    <cellStyle name="Normal 57 4 3 2 7" xfId="5796"/>
    <cellStyle name="Normal 57 4 3 2 7 2" xfId="14623"/>
    <cellStyle name="Normal 57 4 3 2 7 3" xfId="24874"/>
    <cellStyle name="Normal 57 4 3 2 8" xfId="7240"/>
    <cellStyle name="Normal 57 4 3 2 8 2" xfId="19966"/>
    <cellStyle name="Normal 57 4 3 2 9" xfId="15986"/>
    <cellStyle name="Normal 57 4 3 2_Degree data" xfId="3974"/>
    <cellStyle name="Normal 57 4 3 3" xfId="416"/>
    <cellStyle name="Normal 57 4 3 3 2" xfId="2904"/>
    <cellStyle name="Normal 57 4 3 3 2 2" xfId="12194"/>
    <cellStyle name="Normal 57 4 3 3 2 2 2" xfId="22267"/>
    <cellStyle name="Normal 57 4 3 3 2 3" xfId="8625"/>
    <cellStyle name="Normal 57 4 3 3 2 4" xfId="17260"/>
    <cellStyle name="Normal 57 4 3 3 3" xfId="4681"/>
    <cellStyle name="Normal 57 4 3 3 3 2" xfId="13521"/>
    <cellStyle name="Normal 57 4 3 3 3 2 2" xfId="23772"/>
    <cellStyle name="Normal 57 4 3 3 3 3" xfId="9942"/>
    <cellStyle name="Normal 57 4 3 3 3 4" xfId="18765"/>
    <cellStyle name="Normal 57 4 3 3 4" xfId="2013"/>
    <cellStyle name="Normal 57 4 3 3 4 2" xfId="11380"/>
    <cellStyle name="Normal 57 4 3 3 4 3" xfId="21384"/>
    <cellStyle name="Normal 57 4 3 3 5" xfId="6139"/>
    <cellStyle name="Normal 57 4 3 3 5 2" xfId="14966"/>
    <cellStyle name="Normal 57 4 3 3 5 3" xfId="25217"/>
    <cellStyle name="Normal 57 4 3 3 6" xfId="7584"/>
    <cellStyle name="Normal 57 4 3 3 6 2" xfId="19866"/>
    <cellStyle name="Normal 57 4 3 3 7" xfId="16377"/>
    <cellStyle name="Normal 57 4 3 4" xfId="865"/>
    <cellStyle name="Normal 57 4 3 4 2" xfId="3352"/>
    <cellStyle name="Normal 57 4 3 4 2 2" xfId="12496"/>
    <cellStyle name="Normal 57 4 3 4 2 2 2" xfId="22715"/>
    <cellStyle name="Normal 57 4 3 4 2 3" xfId="8918"/>
    <cellStyle name="Normal 57 4 3 4 2 4" xfId="17708"/>
    <cellStyle name="Normal 57 4 3 4 3" xfId="5030"/>
    <cellStyle name="Normal 57 4 3 4 3 2" xfId="13869"/>
    <cellStyle name="Normal 57 4 3 4 3 2 2" xfId="24120"/>
    <cellStyle name="Normal 57 4 3 4 3 3" xfId="10290"/>
    <cellStyle name="Normal 57 4 3 4 3 4" xfId="19113"/>
    <cellStyle name="Normal 57 4 3 4 4" xfId="2461"/>
    <cellStyle name="Normal 57 4 3 4 4 2" xfId="11828"/>
    <cellStyle name="Normal 57 4 3 4 4 3" xfId="21832"/>
    <cellStyle name="Normal 57 4 3 4 5" xfId="6487"/>
    <cellStyle name="Normal 57 4 3 4 5 2" xfId="15314"/>
    <cellStyle name="Normal 57 4 3 4 5 3" xfId="25565"/>
    <cellStyle name="Normal 57 4 3 4 6" xfId="7933"/>
    <cellStyle name="Normal 57 4 3 4 6 2" xfId="20314"/>
    <cellStyle name="Normal 57 4 3 4 7" xfId="16825"/>
    <cellStyle name="Normal 57 4 3 5" xfId="1188"/>
    <cellStyle name="Normal 57 4 3 5 2" xfId="3619"/>
    <cellStyle name="Normal 57 4 3 5 2 2" xfId="12757"/>
    <cellStyle name="Normal 57 4 3 5 2 2 2" xfId="22976"/>
    <cellStyle name="Normal 57 4 3 5 2 3" xfId="9178"/>
    <cellStyle name="Normal 57 4 3 5 2 4" xfId="17969"/>
    <cellStyle name="Normal 57 4 3 5 3" xfId="5282"/>
    <cellStyle name="Normal 57 4 3 5 3 2" xfId="14121"/>
    <cellStyle name="Normal 57 4 3 5 3 2 2" xfId="24372"/>
    <cellStyle name="Normal 57 4 3 5 3 3" xfId="10542"/>
    <cellStyle name="Normal 57 4 3 5 3 4" xfId="19365"/>
    <cellStyle name="Normal 57 4 3 5 4" xfId="1792"/>
    <cellStyle name="Normal 57 4 3 5 4 2" xfId="11163"/>
    <cellStyle name="Normal 57 4 3 5 4 3" xfId="21167"/>
    <cellStyle name="Normal 57 4 3 5 5" xfId="6739"/>
    <cellStyle name="Normal 57 4 3 5 5 2" xfId="15566"/>
    <cellStyle name="Normal 57 4 3 5 5 3" xfId="25817"/>
    <cellStyle name="Normal 57 4 3 5 6" xfId="8185"/>
    <cellStyle name="Normal 57 4 3 5 6 2" xfId="20575"/>
    <cellStyle name="Normal 57 4 3 5 7" xfId="16160"/>
    <cellStyle name="Normal 57 4 3 6" xfId="2687"/>
    <cellStyle name="Normal 57 4 3 6 2" xfId="12006"/>
    <cellStyle name="Normal 57 4 3 6 2 2" xfId="22050"/>
    <cellStyle name="Normal 57 4 3 6 3" xfId="8600"/>
    <cellStyle name="Normal 57 4 3 6 4" xfId="17043"/>
    <cellStyle name="Normal 57 4 3 7" xfId="4238"/>
    <cellStyle name="Normal 57 4 3 7 2" xfId="13078"/>
    <cellStyle name="Normal 57 4 3 7 2 2" xfId="23329"/>
    <cellStyle name="Normal 57 4 3 7 3" xfId="9499"/>
    <cellStyle name="Normal 57 4 3 7 4" xfId="18322"/>
    <cellStyle name="Normal 57 4 3 8" xfId="1510"/>
    <cellStyle name="Normal 57 4 3 8 2" xfId="10889"/>
    <cellStyle name="Normal 57 4 3 8 3" xfId="20893"/>
    <cellStyle name="Normal 57 4 3 9" xfId="5696"/>
    <cellStyle name="Normal 57 4 3 9 2" xfId="14523"/>
    <cellStyle name="Normal 57 4 3 9 3" xfId="24774"/>
    <cellStyle name="Normal 57 4 3_Degree data" xfId="3973"/>
    <cellStyle name="Normal 57 4 4" xfId="242"/>
    <cellStyle name="Normal 57 4 4 10" xfId="7084"/>
    <cellStyle name="Normal 57 4 4 10 2" xfId="19698"/>
    <cellStyle name="Normal 57 4 4 11" xfId="15830"/>
    <cellStyle name="Normal 57 4 4 2" xfId="565"/>
    <cellStyle name="Normal 57 4 4 2 2" xfId="868"/>
    <cellStyle name="Normal 57 4 4 2 2 2" xfId="3355"/>
    <cellStyle name="Normal 57 4 4 2 2 2 2" xfId="12499"/>
    <cellStyle name="Normal 57 4 4 2 2 2 2 2" xfId="22718"/>
    <cellStyle name="Normal 57 4 4 2 2 2 3" xfId="8921"/>
    <cellStyle name="Normal 57 4 4 2 2 2 4" xfId="17711"/>
    <cellStyle name="Normal 57 4 4 2 2 3" xfId="4684"/>
    <cellStyle name="Normal 57 4 4 2 2 3 2" xfId="13524"/>
    <cellStyle name="Normal 57 4 4 2 2 3 2 2" xfId="23775"/>
    <cellStyle name="Normal 57 4 4 2 2 3 3" xfId="9945"/>
    <cellStyle name="Normal 57 4 4 2 2 3 4" xfId="18768"/>
    <cellStyle name="Normal 57 4 4 2 2 4" xfId="2464"/>
    <cellStyle name="Normal 57 4 4 2 2 4 2" xfId="11831"/>
    <cellStyle name="Normal 57 4 4 2 2 4 3" xfId="21835"/>
    <cellStyle name="Normal 57 4 4 2 2 5" xfId="6142"/>
    <cellStyle name="Normal 57 4 4 2 2 5 2" xfId="14969"/>
    <cellStyle name="Normal 57 4 4 2 2 5 3" xfId="25220"/>
    <cellStyle name="Normal 57 4 4 2 2 6" xfId="7587"/>
    <cellStyle name="Normal 57 4 4 2 2 6 2" xfId="20317"/>
    <cellStyle name="Normal 57 4 4 2 2 7" xfId="16828"/>
    <cellStyle name="Normal 57 4 4 2 3" xfId="1337"/>
    <cellStyle name="Normal 57 4 4 2 3 2" xfId="3768"/>
    <cellStyle name="Normal 57 4 4 2 3 2 2" xfId="12906"/>
    <cellStyle name="Normal 57 4 4 2 3 2 2 2" xfId="23125"/>
    <cellStyle name="Normal 57 4 4 2 3 2 3" xfId="9327"/>
    <cellStyle name="Normal 57 4 4 2 3 2 4" xfId="18118"/>
    <cellStyle name="Normal 57 4 4 2 3 3" xfId="5033"/>
    <cellStyle name="Normal 57 4 4 2 3 3 2" xfId="13872"/>
    <cellStyle name="Normal 57 4 4 2 3 3 2 2" xfId="24123"/>
    <cellStyle name="Normal 57 4 4 2 3 3 3" xfId="10293"/>
    <cellStyle name="Normal 57 4 4 2 3 3 4" xfId="19116"/>
    <cellStyle name="Normal 57 4 4 2 3 4" xfId="2162"/>
    <cellStyle name="Normal 57 4 4 2 3 4 2" xfId="11529"/>
    <cellStyle name="Normal 57 4 4 2 3 4 3" xfId="21533"/>
    <cellStyle name="Normal 57 4 4 2 3 5" xfId="6490"/>
    <cellStyle name="Normal 57 4 4 2 3 5 2" xfId="15317"/>
    <cellStyle name="Normal 57 4 4 2 3 5 3" xfId="25568"/>
    <cellStyle name="Normal 57 4 4 2 3 6" xfId="7936"/>
    <cellStyle name="Normal 57 4 4 2 3 6 2" xfId="20724"/>
    <cellStyle name="Normal 57 4 4 2 3 7" xfId="16526"/>
    <cellStyle name="Normal 57 4 4 2 4" xfId="3053"/>
    <cellStyle name="Normal 57 4 4 2 4 2" xfId="5431"/>
    <cellStyle name="Normal 57 4 4 2 4 2 2" xfId="14270"/>
    <cellStyle name="Normal 57 4 4 2 4 2 2 2" xfId="24521"/>
    <cellStyle name="Normal 57 4 4 2 4 2 3" xfId="10691"/>
    <cellStyle name="Normal 57 4 4 2 4 2 4" xfId="19514"/>
    <cellStyle name="Normal 57 4 4 2 4 3" xfId="6888"/>
    <cellStyle name="Normal 57 4 4 2 4 3 2" xfId="15715"/>
    <cellStyle name="Normal 57 4 4 2 4 3 3" xfId="25966"/>
    <cellStyle name="Normal 57 4 4 2 4 4" xfId="8334"/>
    <cellStyle name="Normal 57 4 4 2 4 4 2" xfId="22416"/>
    <cellStyle name="Normal 57 4 4 2 4 5" xfId="17409"/>
    <cellStyle name="Normal 57 4 4 2 5" xfId="4387"/>
    <cellStyle name="Normal 57 4 4 2 5 2" xfId="13227"/>
    <cellStyle name="Normal 57 4 4 2 5 2 2" xfId="23478"/>
    <cellStyle name="Normal 57 4 4 2 5 3" xfId="9648"/>
    <cellStyle name="Normal 57 4 4 2 5 4" xfId="18471"/>
    <cellStyle name="Normal 57 4 4 2 6" xfId="1659"/>
    <cellStyle name="Normal 57 4 4 2 6 2" xfId="11038"/>
    <cellStyle name="Normal 57 4 4 2 6 3" xfId="21042"/>
    <cellStyle name="Normal 57 4 4 2 7" xfId="5845"/>
    <cellStyle name="Normal 57 4 4 2 7 2" xfId="14672"/>
    <cellStyle name="Normal 57 4 4 2 7 3" xfId="24923"/>
    <cellStyle name="Normal 57 4 4 2 8" xfId="7289"/>
    <cellStyle name="Normal 57 4 4 2 8 2" xfId="20015"/>
    <cellStyle name="Normal 57 4 4 2 9" xfId="16035"/>
    <cellStyle name="Normal 57 4 4 2_Degree data" xfId="3976"/>
    <cellStyle name="Normal 57 4 4 3" xfId="360"/>
    <cellStyle name="Normal 57 4 4 3 2" xfId="2848"/>
    <cellStyle name="Normal 57 4 4 3 2 2" xfId="12138"/>
    <cellStyle name="Normal 57 4 4 3 2 2 2" xfId="22211"/>
    <cellStyle name="Normal 57 4 4 3 2 3" xfId="8633"/>
    <cellStyle name="Normal 57 4 4 3 2 4" xfId="17204"/>
    <cellStyle name="Normal 57 4 4 3 3" xfId="4683"/>
    <cellStyle name="Normal 57 4 4 3 3 2" xfId="13523"/>
    <cellStyle name="Normal 57 4 4 3 3 2 2" xfId="23774"/>
    <cellStyle name="Normal 57 4 4 3 3 3" xfId="9944"/>
    <cellStyle name="Normal 57 4 4 3 3 4" xfId="18767"/>
    <cellStyle name="Normal 57 4 4 3 4" xfId="1957"/>
    <cellStyle name="Normal 57 4 4 3 4 2" xfId="11324"/>
    <cellStyle name="Normal 57 4 4 3 4 3" xfId="21328"/>
    <cellStyle name="Normal 57 4 4 3 5" xfId="6141"/>
    <cellStyle name="Normal 57 4 4 3 5 2" xfId="14968"/>
    <cellStyle name="Normal 57 4 4 3 5 3" xfId="25219"/>
    <cellStyle name="Normal 57 4 4 3 6" xfId="7586"/>
    <cellStyle name="Normal 57 4 4 3 6 2" xfId="19810"/>
    <cellStyle name="Normal 57 4 4 3 7" xfId="16321"/>
    <cellStyle name="Normal 57 4 4 4" xfId="867"/>
    <cellStyle name="Normal 57 4 4 4 2" xfId="3354"/>
    <cellStyle name="Normal 57 4 4 4 2 2" xfId="12498"/>
    <cellStyle name="Normal 57 4 4 4 2 2 2" xfId="22717"/>
    <cellStyle name="Normal 57 4 4 4 2 3" xfId="8920"/>
    <cellStyle name="Normal 57 4 4 4 2 4" xfId="17710"/>
    <cellStyle name="Normal 57 4 4 4 3" xfId="5032"/>
    <cellStyle name="Normal 57 4 4 4 3 2" xfId="13871"/>
    <cellStyle name="Normal 57 4 4 4 3 2 2" xfId="24122"/>
    <cellStyle name="Normal 57 4 4 4 3 3" xfId="10292"/>
    <cellStyle name="Normal 57 4 4 4 3 4" xfId="19115"/>
    <cellStyle name="Normal 57 4 4 4 4" xfId="2463"/>
    <cellStyle name="Normal 57 4 4 4 4 2" xfId="11830"/>
    <cellStyle name="Normal 57 4 4 4 4 3" xfId="21834"/>
    <cellStyle name="Normal 57 4 4 4 5" xfId="6489"/>
    <cellStyle name="Normal 57 4 4 4 5 2" xfId="15316"/>
    <cellStyle name="Normal 57 4 4 4 5 3" xfId="25567"/>
    <cellStyle name="Normal 57 4 4 4 6" xfId="7935"/>
    <cellStyle name="Normal 57 4 4 4 6 2" xfId="20316"/>
    <cellStyle name="Normal 57 4 4 4 7" xfId="16827"/>
    <cellStyle name="Normal 57 4 4 5" xfId="1132"/>
    <cellStyle name="Normal 57 4 4 5 2" xfId="3563"/>
    <cellStyle name="Normal 57 4 4 5 2 2" xfId="12701"/>
    <cellStyle name="Normal 57 4 4 5 2 2 2" xfId="22920"/>
    <cellStyle name="Normal 57 4 4 5 2 3" xfId="9122"/>
    <cellStyle name="Normal 57 4 4 5 2 4" xfId="17913"/>
    <cellStyle name="Normal 57 4 4 5 3" xfId="5226"/>
    <cellStyle name="Normal 57 4 4 5 3 2" xfId="14065"/>
    <cellStyle name="Normal 57 4 4 5 3 2 2" xfId="24316"/>
    <cellStyle name="Normal 57 4 4 5 3 3" xfId="10486"/>
    <cellStyle name="Normal 57 4 4 5 3 4" xfId="19309"/>
    <cellStyle name="Normal 57 4 4 5 4" xfId="1842"/>
    <cellStyle name="Normal 57 4 4 5 4 2" xfId="11212"/>
    <cellStyle name="Normal 57 4 4 5 4 3" xfId="21216"/>
    <cellStyle name="Normal 57 4 4 5 5" xfId="6683"/>
    <cellStyle name="Normal 57 4 4 5 5 2" xfId="15510"/>
    <cellStyle name="Normal 57 4 4 5 5 3" xfId="25761"/>
    <cellStyle name="Normal 57 4 4 5 6" xfId="8129"/>
    <cellStyle name="Normal 57 4 4 5 6 2" xfId="20519"/>
    <cellStyle name="Normal 57 4 4 5 7" xfId="16209"/>
    <cellStyle name="Normal 57 4 4 6" xfId="2736"/>
    <cellStyle name="Normal 57 4 4 6 2" xfId="12055"/>
    <cellStyle name="Normal 57 4 4 6 2 2" xfId="22099"/>
    <cellStyle name="Normal 57 4 4 6 3" xfId="8503"/>
    <cellStyle name="Normal 57 4 4 6 4" xfId="17092"/>
    <cellStyle name="Normal 57 4 4 7" xfId="4182"/>
    <cellStyle name="Normal 57 4 4 7 2" xfId="13022"/>
    <cellStyle name="Normal 57 4 4 7 2 2" xfId="23273"/>
    <cellStyle name="Normal 57 4 4 7 3" xfId="9443"/>
    <cellStyle name="Normal 57 4 4 7 4" xfId="18266"/>
    <cellStyle name="Normal 57 4 4 8" xfId="1454"/>
    <cellStyle name="Normal 57 4 4 8 2" xfId="10833"/>
    <cellStyle name="Normal 57 4 4 8 3" xfId="20837"/>
    <cellStyle name="Normal 57 4 4 9" xfId="5640"/>
    <cellStyle name="Normal 57 4 4 9 2" xfId="14467"/>
    <cellStyle name="Normal 57 4 4 9 3" xfId="24718"/>
    <cellStyle name="Normal 57 4 4_Degree data" xfId="3975"/>
    <cellStyle name="Normal 57 4 5" xfId="460"/>
    <cellStyle name="Normal 57 4 5 2" xfId="869"/>
    <cellStyle name="Normal 57 4 5 2 2" xfId="3356"/>
    <cellStyle name="Normal 57 4 5 2 2 2" xfId="12500"/>
    <cellStyle name="Normal 57 4 5 2 2 2 2" xfId="22719"/>
    <cellStyle name="Normal 57 4 5 2 2 3" xfId="8922"/>
    <cellStyle name="Normal 57 4 5 2 2 4" xfId="17712"/>
    <cellStyle name="Normal 57 4 5 2 3" xfId="4685"/>
    <cellStyle name="Normal 57 4 5 2 3 2" xfId="13525"/>
    <cellStyle name="Normal 57 4 5 2 3 2 2" xfId="23776"/>
    <cellStyle name="Normal 57 4 5 2 3 3" xfId="9946"/>
    <cellStyle name="Normal 57 4 5 2 3 4" xfId="18769"/>
    <cellStyle name="Normal 57 4 5 2 4" xfId="2465"/>
    <cellStyle name="Normal 57 4 5 2 4 2" xfId="11832"/>
    <cellStyle name="Normal 57 4 5 2 4 3" xfId="21836"/>
    <cellStyle name="Normal 57 4 5 2 5" xfId="6143"/>
    <cellStyle name="Normal 57 4 5 2 5 2" xfId="14970"/>
    <cellStyle name="Normal 57 4 5 2 5 3" xfId="25221"/>
    <cellStyle name="Normal 57 4 5 2 6" xfId="7588"/>
    <cellStyle name="Normal 57 4 5 2 6 2" xfId="20318"/>
    <cellStyle name="Normal 57 4 5 2 7" xfId="16829"/>
    <cellStyle name="Normal 57 4 5 3" xfId="1232"/>
    <cellStyle name="Normal 57 4 5 3 2" xfId="3663"/>
    <cellStyle name="Normal 57 4 5 3 2 2" xfId="12801"/>
    <cellStyle name="Normal 57 4 5 3 2 2 2" xfId="23020"/>
    <cellStyle name="Normal 57 4 5 3 2 3" xfId="9222"/>
    <cellStyle name="Normal 57 4 5 3 2 4" xfId="18013"/>
    <cellStyle name="Normal 57 4 5 3 3" xfId="5034"/>
    <cellStyle name="Normal 57 4 5 3 3 2" xfId="13873"/>
    <cellStyle name="Normal 57 4 5 3 3 2 2" xfId="24124"/>
    <cellStyle name="Normal 57 4 5 3 3 3" xfId="10294"/>
    <cellStyle name="Normal 57 4 5 3 3 4" xfId="19117"/>
    <cellStyle name="Normal 57 4 5 3 4" xfId="2057"/>
    <cellStyle name="Normal 57 4 5 3 4 2" xfId="11424"/>
    <cellStyle name="Normal 57 4 5 3 4 3" xfId="21428"/>
    <cellStyle name="Normal 57 4 5 3 5" xfId="6491"/>
    <cellStyle name="Normal 57 4 5 3 5 2" xfId="15318"/>
    <cellStyle name="Normal 57 4 5 3 5 3" xfId="25569"/>
    <cellStyle name="Normal 57 4 5 3 6" xfId="7937"/>
    <cellStyle name="Normal 57 4 5 3 6 2" xfId="20619"/>
    <cellStyle name="Normal 57 4 5 3 7" xfId="16421"/>
    <cellStyle name="Normal 57 4 5 4" xfId="2948"/>
    <cellStyle name="Normal 57 4 5 4 2" xfId="5326"/>
    <cellStyle name="Normal 57 4 5 4 2 2" xfId="14165"/>
    <cellStyle name="Normal 57 4 5 4 2 2 2" xfId="24416"/>
    <cellStyle name="Normal 57 4 5 4 2 3" xfId="10586"/>
    <cellStyle name="Normal 57 4 5 4 2 4" xfId="19409"/>
    <cellStyle name="Normal 57 4 5 4 3" xfId="6783"/>
    <cellStyle name="Normal 57 4 5 4 3 2" xfId="15610"/>
    <cellStyle name="Normal 57 4 5 4 3 3" xfId="25861"/>
    <cellStyle name="Normal 57 4 5 4 4" xfId="8229"/>
    <cellStyle name="Normal 57 4 5 4 4 2" xfId="22311"/>
    <cellStyle name="Normal 57 4 5 4 5" xfId="17304"/>
    <cellStyle name="Normal 57 4 5 5" xfId="4282"/>
    <cellStyle name="Normal 57 4 5 5 2" xfId="13122"/>
    <cellStyle name="Normal 57 4 5 5 2 2" xfId="23373"/>
    <cellStyle name="Normal 57 4 5 5 3" xfId="9543"/>
    <cellStyle name="Normal 57 4 5 5 4" xfId="18366"/>
    <cellStyle name="Normal 57 4 5 6" xfId="1554"/>
    <cellStyle name="Normal 57 4 5 6 2" xfId="10933"/>
    <cellStyle name="Normal 57 4 5 6 3" xfId="20937"/>
    <cellStyle name="Normal 57 4 5 7" xfId="5740"/>
    <cellStyle name="Normal 57 4 5 7 2" xfId="14567"/>
    <cellStyle name="Normal 57 4 5 7 3" xfId="24818"/>
    <cellStyle name="Normal 57 4 5 8" xfId="7184"/>
    <cellStyle name="Normal 57 4 5 8 2" xfId="19910"/>
    <cellStyle name="Normal 57 4 5 9" xfId="15930"/>
    <cellStyle name="Normal 57 4 5_Degree data" xfId="3977"/>
    <cellStyle name="Normal 57 4 6" xfId="329"/>
    <cellStyle name="Normal 57 4 6 2" xfId="870"/>
    <cellStyle name="Normal 57 4 6 2 2" xfId="3357"/>
    <cellStyle name="Normal 57 4 6 2 2 2" xfId="12501"/>
    <cellStyle name="Normal 57 4 6 2 2 2 2" xfId="22720"/>
    <cellStyle name="Normal 57 4 6 2 2 3" xfId="8923"/>
    <cellStyle name="Normal 57 4 6 2 2 4" xfId="17713"/>
    <cellStyle name="Normal 57 4 6 2 3" xfId="4686"/>
    <cellStyle name="Normal 57 4 6 2 3 2" xfId="13526"/>
    <cellStyle name="Normal 57 4 6 2 3 2 2" xfId="23777"/>
    <cellStyle name="Normal 57 4 6 2 3 3" xfId="9947"/>
    <cellStyle name="Normal 57 4 6 2 3 4" xfId="18770"/>
    <cellStyle name="Normal 57 4 6 2 4" xfId="2466"/>
    <cellStyle name="Normal 57 4 6 2 4 2" xfId="11833"/>
    <cellStyle name="Normal 57 4 6 2 4 3" xfId="21837"/>
    <cellStyle name="Normal 57 4 6 2 5" xfId="6144"/>
    <cellStyle name="Normal 57 4 6 2 5 2" xfId="14971"/>
    <cellStyle name="Normal 57 4 6 2 5 3" xfId="25222"/>
    <cellStyle name="Normal 57 4 6 2 6" xfId="7589"/>
    <cellStyle name="Normal 57 4 6 2 6 2" xfId="20319"/>
    <cellStyle name="Normal 57 4 6 2 7" xfId="16830"/>
    <cellStyle name="Normal 57 4 6 3" xfId="1101"/>
    <cellStyle name="Normal 57 4 6 3 2" xfId="3532"/>
    <cellStyle name="Normal 57 4 6 3 2 2" xfId="12670"/>
    <cellStyle name="Normal 57 4 6 3 2 2 2" xfId="22889"/>
    <cellStyle name="Normal 57 4 6 3 2 3" xfId="9092"/>
    <cellStyle name="Normal 57 4 6 3 2 4" xfId="17882"/>
    <cellStyle name="Normal 57 4 6 3 3" xfId="5035"/>
    <cellStyle name="Normal 57 4 6 3 3 2" xfId="13874"/>
    <cellStyle name="Normal 57 4 6 3 3 2 2" xfId="24125"/>
    <cellStyle name="Normal 57 4 6 3 3 3" xfId="10295"/>
    <cellStyle name="Normal 57 4 6 3 3 4" xfId="19118"/>
    <cellStyle name="Normal 57 4 6 3 4" xfId="2605"/>
    <cellStyle name="Normal 57 4 6 3 4 2" xfId="11971"/>
    <cellStyle name="Normal 57 4 6 3 4 3" xfId="21975"/>
    <cellStyle name="Normal 57 4 6 3 5" xfId="6492"/>
    <cellStyle name="Normal 57 4 6 3 5 2" xfId="15319"/>
    <cellStyle name="Normal 57 4 6 3 5 3" xfId="25570"/>
    <cellStyle name="Normal 57 4 6 3 6" xfId="7938"/>
    <cellStyle name="Normal 57 4 6 3 6 2" xfId="20488"/>
    <cellStyle name="Normal 57 4 6 3 7" xfId="16968"/>
    <cellStyle name="Normal 57 4 6 4" xfId="2817"/>
    <cellStyle name="Normal 57 4 6 4 2" xfId="5195"/>
    <cellStyle name="Normal 57 4 6 4 2 2" xfId="14034"/>
    <cellStyle name="Normal 57 4 6 4 2 2 2" xfId="24285"/>
    <cellStyle name="Normal 57 4 6 4 2 3" xfId="10455"/>
    <cellStyle name="Normal 57 4 6 4 2 4" xfId="19278"/>
    <cellStyle name="Normal 57 4 6 4 3" xfId="6652"/>
    <cellStyle name="Normal 57 4 6 4 3 2" xfId="15479"/>
    <cellStyle name="Normal 57 4 6 4 3 3" xfId="25730"/>
    <cellStyle name="Normal 57 4 6 4 4" xfId="8098"/>
    <cellStyle name="Normal 57 4 6 4 4 2" xfId="22180"/>
    <cellStyle name="Normal 57 4 6 4 5" xfId="17173"/>
    <cellStyle name="Normal 57 4 6 5" xfId="4149"/>
    <cellStyle name="Normal 57 4 6 5 2" xfId="12989"/>
    <cellStyle name="Normal 57 4 6 5 2 2" xfId="23240"/>
    <cellStyle name="Normal 57 4 6 5 3" xfId="9410"/>
    <cellStyle name="Normal 57 4 6 5 4" xfId="18233"/>
    <cellStyle name="Normal 57 4 6 6" xfId="1926"/>
    <cellStyle name="Normal 57 4 6 6 2" xfId="11293"/>
    <cellStyle name="Normal 57 4 6 6 3" xfId="21297"/>
    <cellStyle name="Normal 57 4 6 7" xfId="5609"/>
    <cellStyle name="Normal 57 4 6 7 2" xfId="14436"/>
    <cellStyle name="Normal 57 4 6 7 3" xfId="24687"/>
    <cellStyle name="Normal 57 4 6 8" xfId="7053"/>
    <cellStyle name="Normal 57 4 6 8 2" xfId="19779"/>
    <cellStyle name="Normal 57 4 6 9" xfId="16290"/>
    <cellStyle name="Normal 57 4 6_Degree data" xfId="3978"/>
    <cellStyle name="Normal 57 4 7" xfId="860"/>
    <cellStyle name="Normal 57 4 7 2" xfId="3347"/>
    <cellStyle name="Normal 57 4 7 2 2" xfId="12491"/>
    <cellStyle name="Normal 57 4 7 2 2 2" xfId="22710"/>
    <cellStyle name="Normal 57 4 7 2 3" xfId="8913"/>
    <cellStyle name="Normal 57 4 7 2 4" xfId="17703"/>
    <cellStyle name="Normal 57 4 7 3" xfId="4676"/>
    <cellStyle name="Normal 57 4 7 3 2" xfId="13516"/>
    <cellStyle name="Normal 57 4 7 3 2 2" xfId="23767"/>
    <cellStyle name="Normal 57 4 7 3 3" xfId="9937"/>
    <cellStyle name="Normal 57 4 7 3 4" xfId="18760"/>
    <cellStyle name="Normal 57 4 7 4" xfId="2456"/>
    <cellStyle name="Normal 57 4 7 4 2" xfId="11823"/>
    <cellStyle name="Normal 57 4 7 4 3" xfId="21827"/>
    <cellStyle name="Normal 57 4 7 5" xfId="6134"/>
    <cellStyle name="Normal 57 4 7 5 2" xfId="14961"/>
    <cellStyle name="Normal 57 4 7 5 3" xfId="25212"/>
    <cellStyle name="Normal 57 4 7 6" xfId="7579"/>
    <cellStyle name="Normal 57 4 7 6 2" xfId="20309"/>
    <cellStyle name="Normal 57 4 7 7" xfId="16820"/>
    <cellStyle name="Normal 57 4 8" xfId="1058"/>
    <cellStyle name="Normal 57 4 8 2" xfId="3489"/>
    <cellStyle name="Normal 57 4 8 2 2" xfId="12627"/>
    <cellStyle name="Normal 57 4 8 2 2 2" xfId="22846"/>
    <cellStyle name="Normal 57 4 8 2 3" xfId="9049"/>
    <cellStyle name="Normal 57 4 8 2 4" xfId="17839"/>
    <cellStyle name="Normal 57 4 8 3" xfId="5025"/>
    <cellStyle name="Normal 57 4 8 3 2" xfId="13864"/>
    <cellStyle name="Normal 57 4 8 3 2 2" xfId="24115"/>
    <cellStyle name="Normal 57 4 8 3 3" xfId="10285"/>
    <cellStyle name="Normal 57 4 8 3 4" xfId="19108"/>
    <cellStyle name="Normal 57 4 8 4" xfId="1730"/>
    <cellStyle name="Normal 57 4 8 4 2" xfId="11106"/>
    <cellStyle name="Normal 57 4 8 4 3" xfId="21110"/>
    <cellStyle name="Normal 57 4 8 5" xfId="6482"/>
    <cellStyle name="Normal 57 4 8 5 2" xfId="15309"/>
    <cellStyle name="Normal 57 4 8 5 3" xfId="25560"/>
    <cellStyle name="Normal 57 4 8 6" xfId="7928"/>
    <cellStyle name="Normal 57 4 8 6 2" xfId="20445"/>
    <cellStyle name="Normal 57 4 8 7" xfId="16103"/>
    <cellStyle name="Normal 57 4 9" xfId="2628"/>
    <cellStyle name="Normal 57 4 9 2" xfId="5152"/>
    <cellStyle name="Normal 57 4 9 2 2" xfId="13991"/>
    <cellStyle name="Normal 57 4 9 2 2 2" xfId="24242"/>
    <cellStyle name="Normal 57 4 9 2 3" xfId="10412"/>
    <cellStyle name="Normal 57 4 9 2 4" xfId="19235"/>
    <cellStyle name="Normal 57 4 9 3" xfId="6609"/>
    <cellStyle name="Normal 57 4 9 3 2" xfId="15436"/>
    <cellStyle name="Normal 57 4 9 3 3" xfId="25687"/>
    <cellStyle name="Normal 57 4 9 4" xfId="8055"/>
    <cellStyle name="Normal 57 4 9 4 2" xfId="21993"/>
    <cellStyle name="Normal 57 4 9 5" xfId="16986"/>
    <cellStyle name="Normal 57 4_Degree data" xfId="3968"/>
    <cellStyle name="Normal 57 5" xfId="104"/>
    <cellStyle name="Normal 57 5 10" xfId="4120"/>
    <cellStyle name="Normal 57 5 10 2" xfId="5580"/>
    <cellStyle name="Normal 57 5 10 2 2" xfId="14407"/>
    <cellStyle name="Normal 57 5 10 2 3" xfId="24658"/>
    <cellStyle name="Normal 57 5 10 3" xfId="7024"/>
    <cellStyle name="Normal 57 5 10 3 2" xfId="23211"/>
    <cellStyle name="Normal 57 5 10 4" xfId="18204"/>
    <cellStyle name="Normal 57 5 11" xfId="1439"/>
    <cellStyle name="Normal 57 5 11 2" xfId="10818"/>
    <cellStyle name="Normal 57 5 11 3" xfId="20822"/>
    <cellStyle name="Normal 57 5 12" xfId="5548"/>
    <cellStyle name="Normal 57 5 12 2" xfId="14377"/>
    <cellStyle name="Normal 57 5 12 3" xfId="24628"/>
    <cellStyle name="Normal 57 5 13" xfId="6994"/>
    <cellStyle name="Normal 57 5 13 2" xfId="19590"/>
    <cellStyle name="Normal 57 5 14" xfId="15815"/>
    <cellStyle name="Normal 57 5 2" xfId="172"/>
    <cellStyle name="Normal 57 5 2 10" xfId="5682"/>
    <cellStyle name="Normal 57 5 2 10 2" xfId="14509"/>
    <cellStyle name="Normal 57 5 2 10 3" xfId="24760"/>
    <cellStyle name="Normal 57 5 2 11" xfId="7126"/>
    <cellStyle name="Normal 57 5 2 11 2" xfId="19635"/>
    <cellStyle name="Normal 57 5 2 12" xfId="15872"/>
    <cellStyle name="Normal 57 5 2 2" xfId="284"/>
    <cellStyle name="Normal 57 5 2 2 10" xfId="16076"/>
    <cellStyle name="Normal 57 5 2 2 2" xfId="606"/>
    <cellStyle name="Normal 57 5 2 2 2 2" xfId="3094"/>
    <cellStyle name="Normal 57 5 2 2 2 2 2" xfId="12240"/>
    <cellStyle name="Normal 57 5 2 2 2 2 2 2" xfId="22457"/>
    <cellStyle name="Normal 57 5 2 2 2 2 3" xfId="8662"/>
    <cellStyle name="Normal 57 5 2 2 2 2 4" xfId="17450"/>
    <cellStyle name="Normal 57 5 2 2 2 3" xfId="4689"/>
    <cellStyle name="Normal 57 5 2 2 2 3 2" xfId="13529"/>
    <cellStyle name="Normal 57 5 2 2 2 3 2 2" xfId="23780"/>
    <cellStyle name="Normal 57 5 2 2 2 3 3" xfId="9950"/>
    <cellStyle name="Normal 57 5 2 2 2 3 4" xfId="18773"/>
    <cellStyle name="Normal 57 5 2 2 2 4" xfId="2203"/>
    <cellStyle name="Normal 57 5 2 2 2 4 2" xfId="11570"/>
    <cellStyle name="Normal 57 5 2 2 2 4 3" xfId="21574"/>
    <cellStyle name="Normal 57 5 2 2 2 5" xfId="6147"/>
    <cellStyle name="Normal 57 5 2 2 2 5 2" xfId="14974"/>
    <cellStyle name="Normal 57 5 2 2 2 5 3" xfId="25225"/>
    <cellStyle name="Normal 57 5 2 2 2 6" xfId="7592"/>
    <cellStyle name="Normal 57 5 2 2 2 6 2" xfId="20056"/>
    <cellStyle name="Normal 57 5 2 2 2 7" xfId="16567"/>
    <cellStyle name="Normal 57 5 2 2 3" xfId="873"/>
    <cellStyle name="Normal 57 5 2 2 3 2" xfId="3360"/>
    <cellStyle name="Normal 57 5 2 2 3 2 2" xfId="12504"/>
    <cellStyle name="Normal 57 5 2 2 3 2 2 2" xfId="22723"/>
    <cellStyle name="Normal 57 5 2 2 3 2 3" xfId="8926"/>
    <cellStyle name="Normal 57 5 2 2 3 2 4" xfId="17716"/>
    <cellStyle name="Normal 57 5 2 2 3 3" xfId="5038"/>
    <cellStyle name="Normal 57 5 2 2 3 3 2" xfId="13877"/>
    <cellStyle name="Normal 57 5 2 2 3 3 2 2" xfId="24128"/>
    <cellStyle name="Normal 57 5 2 2 3 3 3" xfId="10298"/>
    <cellStyle name="Normal 57 5 2 2 3 3 4" xfId="19121"/>
    <cellStyle name="Normal 57 5 2 2 3 4" xfId="2469"/>
    <cellStyle name="Normal 57 5 2 2 3 4 2" xfId="11836"/>
    <cellStyle name="Normal 57 5 2 2 3 4 3" xfId="21840"/>
    <cellStyle name="Normal 57 5 2 2 3 5" xfId="6495"/>
    <cellStyle name="Normal 57 5 2 2 3 5 2" xfId="15322"/>
    <cellStyle name="Normal 57 5 2 2 3 5 3" xfId="25573"/>
    <cellStyle name="Normal 57 5 2 2 3 6" xfId="7941"/>
    <cellStyle name="Normal 57 5 2 2 3 6 2" xfId="20322"/>
    <cellStyle name="Normal 57 5 2 2 3 7" xfId="16833"/>
    <cellStyle name="Normal 57 5 2 2 4" xfId="1378"/>
    <cellStyle name="Normal 57 5 2 2 4 2" xfId="3809"/>
    <cellStyle name="Normal 57 5 2 2 4 2 2" xfId="12947"/>
    <cellStyle name="Normal 57 5 2 2 4 2 2 2" xfId="23166"/>
    <cellStyle name="Normal 57 5 2 2 4 2 3" xfId="9368"/>
    <cellStyle name="Normal 57 5 2 2 4 2 4" xfId="18159"/>
    <cellStyle name="Normal 57 5 2 2 4 3" xfId="5472"/>
    <cellStyle name="Normal 57 5 2 2 4 3 2" xfId="14311"/>
    <cellStyle name="Normal 57 5 2 2 4 3 2 2" xfId="24562"/>
    <cellStyle name="Normal 57 5 2 2 4 3 3" xfId="10732"/>
    <cellStyle name="Normal 57 5 2 2 4 3 4" xfId="19555"/>
    <cellStyle name="Normal 57 5 2 2 4 4" xfId="1883"/>
    <cellStyle name="Normal 57 5 2 2 4 4 2" xfId="11253"/>
    <cellStyle name="Normal 57 5 2 2 4 4 3" xfId="21257"/>
    <cellStyle name="Normal 57 5 2 2 4 5" xfId="6929"/>
    <cellStyle name="Normal 57 5 2 2 4 5 2" xfId="15756"/>
    <cellStyle name="Normal 57 5 2 2 4 5 3" xfId="26007"/>
    <cellStyle name="Normal 57 5 2 2 4 6" xfId="8375"/>
    <cellStyle name="Normal 57 5 2 2 4 6 2" xfId="20765"/>
    <cellStyle name="Normal 57 5 2 2 4 7" xfId="16250"/>
    <cellStyle name="Normal 57 5 2 2 5" xfId="2777"/>
    <cellStyle name="Normal 57 5 2 2 5 2" xfId="12096"/>
    <cellStyle name="Normal 57 5 2 2 5 2 2" xfId="22140"/>
    <cellStyle name="Normal 57 5 2 2 5 3" xfId="8602"/>
    <cellStyle name="Normal 57 5 2 2 5 4" xfId="17133"/>
    <cellStyle name="Normal 57 5 2 2 6" xfId="4428"/>
    <cellStyle name="Normal 57 5 2 2 6 2" xfId="13268"/>
    <cellStyle name="Normal 57 5 2 2 6 2 2" xfId="23519"/>
    <cellStyle name="Normal 57 5 2 2 6 3" xfId="9689"/>
    <cellStyle name="Normal 57 5 2 2 6 4" xfId="18512"/>
    <cellStyle name="Normal 57 5 2 2 7" xfId="1700"/>
    <cellStyle name="Normal 57 5 2 2 7 2" xfId="11079"/>
    <cellStyle name="Normal 57 5 2 2 7 3" xfId="21083"/>
    <cellStyle name="Normal 57 5 2 2 8" xfId="5886"/>
    <cellStyle name="Normal 57 5 2 2 8 2" xfId="14713"/>
    <cellStyle name="Normal 57 5 2 2 8 3" xfId="24964"/>
    <cellStyle name="Normal 57 5 2 2 9" xfId="7330"/>
    <cellStyle name="Normal 57 5 2 2 9 2" xfId="19739"/>
    <cellStyle name="Normal 57 5 2 2_Degree data" xfId="3981"/>
    <cellStyle name="Normal 57 5 2 3" xfId="502"/>
    <cellStyle name="Normal 57 5 2 3 2" xfId="874"/>
    <cellStyle name="Normal 57 5 2 3 2 2" xfId="3361"/>
    <cellStyle name="Normal 57 5 2 3 2 2 2" xfId="12505"/>
    <cellStyle name="Normal 57 5 2 3 2 2 2 2" xfId="22724"/>
    <cellStyle name="Normal 57 5 2 3 2 2 3" xfId="8927"/>
    <cellStyle name="Normal 57 5 2 3 2 2 4" xfId="17717"/>
    <cellStyle name="Normal 57 5 2 3 2 3" xfId="4690"/>
    <cellStyle name="Normal 57 5 2 3 2 3 2" xfId="13530"/>
    <cellStyle name="Normal 57 5 2 3 2 3 2 2" xfId="23781"/>
    <cellStyle name="Normal 57 5 2 3 2 3 3" xfId="9951"/>
    <cellStyle name="Normal 57 5 2 3 2 3 4" xfId="18774"/>
    <cellStyle name="Normal 57 5 2 3 2 4" xfId="2470"/>
    <cellStyle name="Normal 57 5 2 3 2 4 2" xfId="11837"/>
    <cellStyle name="Normal 57 5 2 3 2 4 3" xfId="21841"/>
    <cellStyle name="Normal 57 5 2 3 2 5" xfId="6148"/>
    <cellStyle name="Normal 57 5 2 3 2 5 2" xfId="14975"/>
    <cellStyle name="Normal 57 5 2 3 2 5 3" xfId="25226"/>
    <cellStyle name="Normal 57 5 2 3 2 6" xfId="7593"/>
    <cellStyle name="Normal 57 5 2 3 2 6 2" xfId="20323"/>
    <cellStyle name="Normal 57 5 2 3 2 7" xfId="16834"/>
    <cellStyle name="Normal 57 5 2 3 3" xfId="1274"/>
    <cellStyle name="Normal 57 5 2 3 3 2" xfId="3705"/>
    <cellStyle name="Normal 57 5 2 3 3 2 2" xfId="12843"/>
    <cellStyle name="Normal 57 5 2 3 3 2 2 2" xfId="23062"/>
    <cellStyle name="Normal 57 5 2 3 3 2 3" xfId="9264"/>
    <cellStyle name="Normal 57 5 2 3 3 2 4" xfId="18055"/>
    <cellStyle name="Normal 57 5 2 3 3 3" xfId="5039"/>
    <cellStyle name="Normal 57 5 2 3 3 3 2" xfId="13878"/>
    <cellStyle name="Normal 57 5 2 3 3 3 2 2" xfId="24129"/>
    <cellStyle name="Normal 57 5 2 3 3 3 3" xfId="10299"/>
    <cellStyle name="Normal 57 5 2 3 3 3 4" xfId="19122"/>
    <cellStyle name="Normal 57 5 2 3 3 4" xfId="2099"/>
    <cellStyle name="Normal 57 5 2 3 3 4 2" xfId="11466"/>
    <cellStyle name="Normal 57 5 2 3 3 4 3" xfId="21470"/>
    <cellStyle name="Normal 57 5 2 3 3 5" xfId="6496"/>
    <cellStyle name="Normal 57 5 2 3 3 5 2" xfId="15323"/>
    <cellStyle name="Normal 57 5 2 3 3 5 3" xfId="25574"/>
    <cellStyle name="Normal 57 5 2 3 3 6" xfId="7942"/>
    <cellStyle name="Normal 57 5 2 3 3 6 2" xfId="20661"/>
    <cellStyle name="Normal 57 5 2 3 3 7" xfId="16463"/>
    <cellStyle name="Normal 57 5 2 3 4" xfId="2990"/>
    <cellStyle name="Normal 57 5 2 3 4 2" xfId="5368"/>
    <cellStyle name="Normal 57 5 2 3 4 2 2" xfId="14207"/>
    <cellStyle name="Normal 57 5 2 3 4 2 2 2" xfId="24458"/>
    <cellStyle name="Normal 57 5 2 3 4 2 3" xfId="10628"/>
    <cellStyle name="Normal 57 5 2 3 4 2 4" xfId="19451"/>
    <cellStyle name="Normal 57 5 2 3 4 3" xfId="6825"/>
    <cellStyle name="Normal 57 5 2 3 4 3 2" xfId="15652"/>
    <cellStyle name="Normal 57 5 2 3 4 3 3" xfId="25903"/>
    <cellStyle name="Normal 57 5 2 3 4 4" xfId="8271"/>
    <cellStyle name="Normal 57 5 2 3 4 4 2" xfId="22353"/>
    <cellStyle name="Normal 57 5 2 3 4 5" xfId="17346"/>
    <cellStyle name="Normal 57 5 2 3 5" xfId="4324"/>
    <cellStyle name="Normal 57 5 2 3 5 2" xfId="13164"/>
    <cellStyle name="Normal 57 5 2 3 5 2 2" xfId="23415"/>
    <cellStyle name="Normal 57 5 2 3 5 3" xfId="9585"/>
    <cellStyle name="Normal 57 5 2 3 5 4" xfId="18408"/>
    <cellStyle name="Normal 57 5 2 3 6" xfId="1596"/>
    <cellStyle name="Normal 57 5 2 3 6 2" xfId="10975"/>
    <cellStyle name="Normal 57 5 2 3 6 3" xfId="20979"/>
    <cellStyle name="Normal 57 5 2 3 7" xfId="5782"/>
    <cellStyle name="Normal 57 5 2 3 7 2" xfId="14609"/>
    <cellStyle name="Normal 57 5 2 3 7 3" xfId="24860"/>
    <cellStyle name="Normal 57 5 2 3 8" xfId="7226"/>
    <cellStyle name="Normal 57 5 2 3 8 2" xfId="19952"/>
    <cellStyle name="Normal 57 5 2 3 9" xfId="15972"/>
    <cellStyle name="Normal 57 5 2 3_Degree data" xfId="3982"/>
    <cellStyle name="Normal 57 5 2 4" xfId="402"/>
    <cellStyle name="Normal 57 5 2 4 2" xfId="2890"/>
    <cellStyle name="Normal 57 5 2 4 2 2" xfId="12180"/>
    <cellStyle name="Normal 57 5 2 4 2 2 2" xfId="22253"/>
    <cellStyle name="Normal 57 5 2 4 2 3" xfId="8534"/>
    <cellStyle name="Normal 57 5 2 4 2 4" xfId="17246"/>
    <cellStyle name="Normal 57 5 2 4 3" xfId="4688"/>
    <cellStyle name="Normal 57 5 2 4 3 2" xfId="13528"/>
    <cellStyle name="Normal 57 5 2 4 3 2 2" xfId="23779"/>
    <cellStyle name="Normal 57 5 2 4 3 3" xfId="9949"/>
    <cellStyle name="Normal 57 5 2 4 3 4" xfId="18772"/>
    <cellStyle name="Normal 57 5 2 4 4" xfId="1999"/>
    <cellStyle name="Normal 57 5 2 4 4 2" xfId="11366"/>
    <cellStyle name="Normal 57 5 2 4 4 3" xfId="21370"/>
    <cellStyle name="Normal 57 5 2 4 5" xfId="6146"/>
    <cellStyle name="Normal 57 5 2 4 5 2" xfId="14973"/>
    <cellStyle name="Normal 57 5 2 4 5 3" xfId="25224"/>
    <cellStyle name="Normal 57 5 2 4 6" xfId="7591"/>
    <cellStyle name="Normal 57 5 2 4 6 2" xfId="19852"/>
    <cellStyle name="Normal 57 5 2 4 7" xfId="16363"/>
    <cellStyle name="Normal 57 5 2 5" xfId="872"/>
    <cellStyle name="Normal 57 5 2 5 2" xfId="3359"/>
    <cellStyle name="Normal 57 5 2 5 2 2" xfId="12503"/>
    <cellStyle name="Normal 57 5 2 5 2 2 2" xfId="22722"/>
    <cellStyle name="Normal 57 5 2 5 2 3" xfId="8925"/>
    <cellStyle name="Normal 57 5 2 5 2 4" xfId="17715"/>
    <cellStyle name="Normal 57 5 2 5 3" xfId="5037"/>
    <cellStyle name="Normal 57 5 2 5 3 2" xfId="13876"/>
    <cellStyle name="Normal 57 5 2 5 3 2 2" xfId="24127"/>
    <cellStyle name="Normal 57 5 2 5 3 3" xfId="10297"/>
    <cellStyle name="Normal 57 5 2 5 3 4" xfId="19120"/>
    <cellStyle name="Normal 57 5 2 5 4" xfId="2468"/>
    <cellStyle name="Normal 57 5 2 5 4 2" xfId="11835"/>
    <cellStyle name="Normal 57 5 2 5 4 3" xfId="21839"/>
    <cellStyle name="Normal 57 5 2 5 5" xfId="6494"/>
    <cellStyle name="Normal 57 5 2 5 5 2" xfId="15321"/>
    <cellStyle name="Normal 57 5 2 5 5 3" xfId="25572"/>
    <cellStyle name="Normal 57 5 2 5 6" xfId="7940"/>
    <cellStyle name="Normal 57 5 2 5 6 2" xfId="20321"/>
    <cellStyle name="Normal 57 5 2 5 7" xfId="16832"/>
    <cellStyle name="Normal 57 5 2 6" xfId="1174"/>
    <cellStyle name="Normal 57 5 2 6 2" xfId="3605"/>
    <cellStyle name="Normal 57 5 2 6 2 2" xfId="12743"/>
    <cellStyle name="Normal 57 5 2 6 2 2 2" xfId="22962"/>
    <cellStyle name="Normal 57 5 2 6 2 3" xfId="9164"/>
    <cellStyle name="Normal 57 5 2 6 2 4" xfId="17955"/>
    <cellStyle name="Normal 57 5 2 6 3" xfId="5268"/>
    <cellStyle name="Normal 57 5 2 6 3 2" xfId="14107"/>
    <cellStyle name="Normal 57 5 2 6 3 2 2" xfId="24358"/>
    <cellStyle name="Normal 57 5 2 6 3 3" xfId="10528"/>
    <cellStyle name="Normal 57 5 2 6 3 4" xfId="19351"/>
    <cellStyle name="Normal 57 5 2 6 4" xfId="1776"/>
    <cellStyle name="Normal 57 5 2 6 4 2" xfId="11149"/>
    <cellStyle name="Normal 57 5 2 6 4 3" xfId="21153"/>
    <cellStyle name="Normal 57 5 2 6 5" xfId="6725"/>
    <cellStyle name="Normal 57 5 2 6 5 2" xfId="15552"/>
    <cellStyle name="Normal 57 5 2 6 5 3" xfId="25803"/>
    <cellStyle name="Normal 57 5 2 6 6" xfId="8171"/>
    <cellStyle name="Normal 57 5 2 6 6 2" xfId="20561"/>
    <cellStyle name="Normal 57 5 2 6 7" xfId="16146"/>
    <cellStyle name="Normal 57 5 2 7" xfId="2673"/>
    <cellStyle name="Normal 57 5 2 7 2" xfId="11993"/>
    <cellStyle name="Normal 57 5 2 7 2 2" xfId="22036"/>
    <cellStyle name="Normal 57 5 2 7 3" xfId="8446"/>
    <cellStyle name="Normal 57 5 2 7 4" xfId="17029"/>
    <cellStyle name="Normal 57 5 2 8" xfId="4224"/>
    <cellStyle name="Normal 57 5 2 8 2" xfId="13064"/>
    <cellStyle name="Normal 57 5 2 8 2 2" xfId="23315"/>
    <cellStyle name="Normal 57 5 2 8 3" xfId="9485"/>
    <cellStyle name="Normal 57 5 2 8 4" xfId="18308"/>
    <cellStyle name="Normal 57 5 2 9" xfId="1496"/>
    <cellStyle name="Normal 57 5 2 9 2" xfId="10875"/>
    <cellStyle name="Normal 57 5 2 9 3" xfId="20879"/>
    <cellStyle name="Normal 57 5 2_Degree data" xfId="3980"/>
    <cellStyle name="Normal 57 5 3" xfId="219"/>
    <cellStyle name="Normal 57 5 3 10" xfId="7169"/>
    <cellStyle name="Normal 57 5 3 10 2" xfId="19678"/>
    <cellStyle name="Normal 57 5 3 11" xfId="15915"/>
    <cellStyle name="Normal 57 5 3 2" xfId="545"/>
    <cellStyle name="Normal 57 5 3 2 2" xfId="876"/>
    <cellStyle name="Normal 57 5 3 2 2 2" xfId="3363"/>
    <cellStyle name="Normal 57 5 3 2 2 2 2" xfId="12507"/>
    <cellStyle name="Normal 57 5 3 2 2 2 2 2" xfId="22726"/>
    <cellStyle name="Normal 57 5 3 2 2 2 3" xfId="8929"/>
    <cellStyle name="Normal 57 5 3 2 2 2 4" xfId="17719"/>
    <cellStyle name="Normal 57 5 3 2 2 3" xfId="4692"/>
    <cellStyle name="Normal 57 5 3 2 2 3 2" xfId="13532"/>
    <cellStyle name="Normal 57 5 3 2 2 3 2 2" xfId="23783"/>
    <cellStyle name="Normal 57 5 3 2 2 3 3" xfId="9953"/>
    <cellStyle name="Normal 57 5 3 2 2 3 4" xfId="18776"/>
    <cellStyle name="Normal 57 5 3 2 2 4" xfId="2472"/>
    <cellStyle name="Normal 57 5 3 2 2 4 2" xfId="11839"/>
    <cellStyle name="Normal 57 5 3 2 2 4 3" xfId="21843"/>
    <cellStyle name="Normal 57 5 3 2 2 5" xfId="6150"/>
    <cellStyle name="Normal 57 5 3 2 2 5 2" xfId="14977"/>
    <cellStyle name="Normal 57 5 3 2 2 5 3" xfId="25228"/>
    <cellStyle name="Normal 57 5 3 2 2 6" xfId="7595"/>
    <cellStyle name="Normal 57 5 3 2 2 6 2" xfId="20325"/>
    <cellStyle name="Normal 57 5 3 2 2 7" xfId="16836"/>
    <cellStyle name="Normal 57 5 3 2 3" xfId="1317"/>
    <cellStyle name="Normal 57 5 3 2 3 2" xfId="3748"/>
    <cellStyle name="Normal 57 5 3 2 3 2 2" xfId="12886"/>
    <cellStyle name="Normal 57 5 3 2 3 2 2 2" xfId="23105"/>
    <cellStyle name="Normal 57 5 3 2 3 2 3" xfId="9307"/>
    <cellStyle name="Normal 57 5 3 2 3 2 4" xfId="18098"/>
    <cellStyle name="Normal 57 5 3 2 3 3" xfId="5041"/>
    <cellStyle name="Normal 57 5 3 2 3 3 2" xfId="13880"/>
    <cellStyle name="Normal 57 5 3 2 3 3 2 2" xfId="24131"/>
    <cellStyle name="Normal 57 5 3 2 3 3 3" xfId="10301"/>
    <cellStyle name="Normal 57 5 3 2 3 3 4" xfId="19124"/>
    <cellStyle name="Normal 57 5 3 2 3 4" xfId="2142"/>
    <cellStyle name="Normal 57 5 3 2 3 4 2" xfId="11509"/>
    <cellStyle name="Normal 57 5 3 2 3 4 3" xfId="21513"/>
    <cellStyle name="Normal 57 5 3 2 3 5" xfId="6498"/>
    <cellStyle name="Normal 57 5 3 2 3 5 2" xfId="15325"/>
    <cellStyle name="Normal 57 5 3 2 3 5 3" xfId="25576"/>
    <cellStyle name="Normal 57 5 3 2 3 6" xfId="7944"/>
    <cellStyle name="Normal 57 5 3 2 3 6 2" xfId="20704"/>
    <cellStyle name="Normal 57 5 3 2 3 7" xfId="16506"/>
    <cellStyle name="Normal 57 5 3 2 4" xfId="3033"/>
    <cellStyle name="Normal 57 5 3 2 4 2" xfId="5411"/>
    <cellStyle name="Normal 57 5 3 2 4 2 2" xfId="14250"/>
    <cellStyle name="Normal 57 5 3 2 4 2 2 2" xfId="24501"/>
    <cellStyle name="Normal 57 5 3 2 4 2 3" xfId="10671"/>
    <cellStyle name="Normal 57 5 3 2 4 2 4" xfId="19494"/>
    <cellStyle name="Normal 57 5 3 2 4 3" xfId="6868"/>
    <cellStyle name="Normal 57 5 3 2 4 3 2" xfId="15695"/>
    <cellStyle name="Normal 57 5 3 2 4 3 3" xfId="25946"/>
    <cellStyle name="Normal 57 5 3 2 4 4" xfId="8314"/>
    <cellStyle name="Normal 57 5 3 2 4 4 2" xfId="22396"/>
    <cellStyle name="Normal 57 5 3 2 4 5" xfId="17389"/>
    <cellStyle name="Normal 57 5 3 2 5" xfId="4367"/>
    <cellStyle name="Normal 57 5 3 2 5 2" xfId="13207"/>
    <cellStyle name="Normal 57 5 3 2 5 2 2" xfId="23458"/>
    <cellStyle name="Normal 57 5 3 2 5 3" xfId="9628"/>
    <cellStyle name="Normal 57 5 3 2 5 4" xfId="18451"/>
    <cellStyle name="Normal 57 5 3 2 6" xfId="1639"/>
    <cellStyle name="Normal 57 5 3 2 6 2" xfId="11018"/>
    <cellStyle name="Normal 57 5 3 2 6 3" xfId="21022"/>
    <cellStyle name="Normal 57 5 3 2 7" xfId="5825"/>
    <cellStyle name="Normal 57 5 3 2 7 2" xfId="14652"/>
    <cellStyle name="Normal 57 5 3 2 7 3" xfId="24903"/>
    <cellStyle name="Normal 57 5 3 2 8" xfId="7269"/>
    <cellStyle name="Normal 57 5 3 2 8 2" xfId="19995"/>
    <cellStyle name="Normal 57 5 3 2 9" xfId="16015"/>
    <cellStyle name="Normal 57 5 3 2_Degree data" xfId="3984"/>
    <cellStyle name="Normal 57 5 3 3" xfId="445"/>
    <cellStyle name="Normal 57 5 3 3 2" xfId="2933"/>
    <cellStyle name="Normal 57 5 3 3 2 2" xfId="12223"/>
    <cellStyle name="Normal 57 5 3 3 2 2 2" xfId="22296"/>
    <cellStyle name="Normal 57 5 3 3 2 3" xfId="8523"/>
    <cellStyle name="Normal 57 5 3 3 2 4" xfId="17289"/>
    <cellStyle name="Normal 57 5 3 3 3" xfId="4691"/>
    <cellStyle name="Normal 57 5 3 3 3 2" xfId="13531"/>
    <cellStyle name="Normal 57 5 3 3 3 2 2" xfId="23782"/>
    <cellStyle name="Normal 57 5 3 3 3 3" xfId="9952"/>
    <cellStyle name="Normal 57 5 3 3 3 4" xfId="18775"/>
    <cellStyle name="Normal 57 5 3 3 4" xfId="2042"/>
    <cellStyle name="Normal 57 5 3 3 4 2" xfId="11409"/>
    <cellStyle name="Normal 57 5 3 3 4 3" xfId="21413"/>
    <cellStyle name="Normal 57 5 3 3 5" xfId="6149"/>
    <cellStyle name="Normal 57 5 3 3 5 2" xfId="14976"/>
    <cellStyle name="Normal 57 5 3 3 5 3" xfId="25227"/>
    <cellStyle name="Normal 57 5 3 3 6" xfId="7594"/>
    <cellStyle name="Normal 57 5 3 3 6 2" xfId="19895"/>
    <cellStyle name="Normal 57 5 3 3 7" xfId="16406"/>
    <cellStyle name="Normal 57 5 3 4" xfId="875"/>
    <cellStyle name="Normal 57 5 3 4 2" xfId="3362"/>
    <cellStyle name="Normal 57 5 3 4 2 2" xfId="12506"/>
    <cellStyle name="Normal 57 5 3 4 2 2 2" xfId="22725"/>
    <cellStyle name="Normal 57 5 3 4 2 3" xfId="8928"/>
    <cellStyle name="Normal 57 5 3 4 2 4" xfId="17718"/>
    <cellStyle name="Normal 57 5 3 4 3" xfId="5040"/>
    <cellStyle name="Normal 57 5 3 4 3 2" xfId="13879"/>
    <cellStyle name="Normal 57 5 3 4 3 2 2" xfId="24130"/>
    <cellStyle name="Normal 57 5 3 4 3 3" xfId="10300"/>
    <cellStyle name="Normal 57 5 3 4 3 4" xfId="19123"/>
    <cellStyle name="Normal 57 5 3 4 4" xfId="2471"/>
    <cellStyle name="Normal 57 5 3 4 4 2" xfId="11838"/>
    <cellStyle name="Normal 57 5 3 4 4 3" xfId="21842"/>
    <cellStyle name="Normal 57 5 3 4 5" xfId="6497"/>
    <cellStyle name="Normal 57 5 3 4 5 2" xfId="15324"/>
    <cellStyle name="Normal 57 5 3 4 5 3" xfId="25575"/>
    <cellStyle name="Normal 57 5 3 4 6" xfId="7943"/>
    <cellStyle name="Normal 57 5 3 4 6 2" xfId="20324"/>
    <cellStyle name="Normal 57 5 3 4 7" xfId="16835"/>
    <cellStyle name="Normal 57 5 3 5" xfId="1217"/>
    <cellStyle name="Normal 57 5 3 5 2" xfId="3648"/>
    <cellStyle name="Normal 57 5 3 5 2 2" xfId="12786"/>
    <cellStyle name="Normal 57 5 3 5 2 2 2" xfId="23005"/>
    <cellStyle name="Normal 57 5 3 5 2 3" xfId="9207"/>
    <cellStyle name="Normal 57 5 3 5 2 4" xfId="17998"/>
    <cellStyle name="Normal 57 5 3 5 3" xfId="5311"/>
    <cellStyle name="Normal 57 5 3 5 3 2" xfId="14150"/>
    <cellStyle name="Normal 57 5 3 5 3 2 2" xfId="24401"/>
    <cellStyle name="Normal 57 5 3 5 3 3" xfId="10571"/>
    <cellStyle name="Normal 57 5 3 5 3 4" xfId="19394"/>
    <cellStyle name="Normal 57 5 3 5 4" xfId="1822"/>
    <cellStyle name="Normal 57 5 3 5 4 2" xfId="11192"/>
    <cellStyle name="Normal 57 5 3 5 4 3" xfId="21196"/>
    <cellStyle name="Normal 57 5 3 5 5" xfId="6768"/>
    <cellStyle name="Normal 57 5 3 5 5 2" xfId="15595"/>
    <cellStyle name="Normal 57 5 3 5 5 3" xfId="25846"/>
    <cellStyle name="Normal 57 5 3 5 6" xfId="8214"/>
    <cellStyle name="Normal 57 5 3 5 6 2" xfId="20604"/>
    <cellStyle name="Normal 57 5 3 5 7" xfId="16189"/>
    <cellStyle name="Normal 57 5 3 6" xfId="2716"/>
    <cellStyle name="Normal 57 5 3 6 2" xfId="12035"/>
    <cellStyle name="Normal 57 5 3 6 2 2" xfId="22079"/>
    <cellStyle name="Normal 57 5 3 6 3" xfId="8396"/>
    <cellStyle name="Normal 57 5 3 6 4" xfId="17072"/>
    <cellStyle name="Normal 57 5 3 7" xfId="4267"/>
    <cellStyle name="Normal 57 5 3 7 2" xfId="13107"/>
    <cellStyle name="Normal 57 5 3 7 2 2" xfId="23358"/>
    <cellStyle name="Normal 57 5 3 7 3" xfId="9528"/>
    <cellStyle name="Normal 57 5 3 7 4" xfId="18351"/>
    <cellStyle name="Normal 57 5 3 8" xfId="1539"/>
    <cellStyle name="Normal 57 5 3 8 2" xfId="10918"/>
    <cellStyle name="Normal 57 5 3 8 3" xfId="20922"/>
    <cellStyle name="Normal 57 5 3 9" xfId="5725"/>
    <cellStyle name="Normal 57 5 3 9 2" xfId="14552"/>
    <cellStyle name="Normal 57 5 3 9 3" xfId="24803"/>
    <cellStyle name="Normal 57 5 3_Degree data" xfId="3983"/>
    <cellStyle name="Normal 57 5 4" xfId="239"/>
    <cellStyle name="Normal 57 5 4 10" xfId="7081"/>
    <cellStyle name="Normal 57 5 4 10 2" xfId="19695"/>
    <cellStyle name="Normal 57 5 4 11" xfId="15827"/>
    <cellStyle name="Normal 57 5 4 2" xfId="562"/>
    <cellStyle name="Normal 57 5 4 2 2" xfId="878"/>
    <cellStyle name="Normal 57 5 4 2 2 2" xfId="3365"/>
    <cellStyle name="Normal 57 5 4 2 2 2 2" xfId="12509"/>
    <cellStyle name="Normal 57 5 4 2 2 2 2 2" xfId="22728"/>
    <cellStyle name="Normal 57 5 4 2 2 2 3" xfId="8931"/>
    <cellStyle name="Normal 57 5 4 2 2 2 4" xfId="17721"/>
    <cellStyle name="Normal 57 5 4 2 2 3" xfId="4694"/>
    <cellStyle name="Normal 57 5 4 2 2 3 2" xfId="13534"/>
    <cellStyle name="Normal 57 5 4 2 2 3 2 2" xfId="23785"/>
    <cellStyle name="Normal 57 5 4 2 2 3 3" xfId="9955"/>
    <cellStyle name="Normal 57 5 4 2 2 3 4" xfId="18778"/>
    <cellStyle name="Normal 57 5 4 2 2 4" xfId="2474"/>
    <cellStyle name="Normal 57 5 4 2 2 4 2" xfId="11841"/>
    <cellStyle name="Normal 57 5 4 2 2 4 3" xfId="21845"/>
    <cellStyle name="Normal 57 5 4 2 2 5" xfId="6152"/>
    <cellStyle name="Normal 57 5 4 2 2 5 2" xfId="14979"/>
    <cellStyle name="Normal 57 5 4 2 2 5 3" xfId="25230"/>
    <cellStyle name="Normal 57 5 4 2 2 6" xfId="7597"/>
    <cellStyle name="Normal 57 5 4 2 2 6 2" xfId="20327"/>
    <cellStyle name="Normal 57 5 4 2 2 7" xfId="16838"/>
    <cellStyle name="Normal 57 5 4 2 3" xfId="1334"/>
    <cellStyle name="Normal 57 5 4 2 3 2" xfId="3765"/>
    <cellStyle name="Normal 57 5 4 2 3 2 2" xfId="12903"/>
    <cellStyle name="Normal 57 5 4 2 3 2 2 2" xfId="23122"/>
    <cellStyle name="Normal 57 5 4 2 3 2 3" xfId="9324"/>
    <cellStyle name="Normal 57 5 4 2 3 2 4" xfId="18115"/>
    <cellStyle name="Normal 57 5 4 2 3 3" xfId="5043"/>
    <cellStyle name="Normal 57 5 4 2 3 3 2" xfId="13882"/>
    <cellStyle name="Normal 57 5 4 2 3 3 2 2" xfId="24133"/>
    <cellStyle name="Normal 57 5 4 2 3 3 3" xfId="10303"/>
    <cellStyle name="Normal 57 5 4 2 3 3 4" xfId="19126"/>
    <cellStyle name="Normal 57 5 4 2 3 4" xfId="2159"/>
    <cellStyle name="Normal 57 5 4 2 3 4 2" xfId="11526"/>
    <cellStyle name="Normal 57 5 4 2 3 4 3" xfId="21530"/>
    <cellStyle name="Normal 57 5 4 2 3 5" xfId="6500"/>
    <cellStyle name="Normal 57 5 4 2 3 5 2" xfId="15327"/>
    <cellStyle name="Normal 57 5 4 2 3 5 3" xfId="25578"/>
    <cellStyle name="Normal 57 5 4 2 3 6" xfId="7946"/>
    <cellStyle name="Normal 57 5 4 2 3 6 2" xfId="20721"/>
    <cellStyle name="Normal 57 5 4 2 3 7" xfId="16523"/>
    <cellStyle name="Normal 57 5 4 2 4" xfId="3050"/>
    <cellStyle name="Normal 57 5 4 2 4 2" xfId="5428"/>
    <cellStyle name="Normal 57 5 4 2 4 2 2" xfId="14267"/>
    <cellStyle name="Normal 57 5 4 2 4 2 2 2" xfId="24518"/>
    <cellStyle name="Normal 57 5 4 2 4 2 3" xfId="10688"/>
    <cellStyle name="Normal 57 5 4 2 4 2 4" xfId="19511"/>
    <cellStyle name="Normal 57 5 4 2 4 3" xfId="6885"/>
    <cellStyle name="Normal 57 5 4 2 4 3 2" xfId="15712"/>
    <cellStyle name="Normal 57 5 4 2 4 3 3" xfId="25963"/>
    <cellStyle name="Normal 57 5 4 2 4 4" xfId="8331"/>
    <cellStyle name="Normal 57 5 4 2 4 4 2" xfId="22413"/>
    <cellStyle name="Normal 57 5 4 2 4 5" xfId="17406"/>
    <cellStyle name="Normal 57 5 4 2 5" xfId="4384"/>
    <cellStyle name="Normal 57 5 4 2 5 2" xfId="13224"/>
    <cellStyle name="Normal 57 5 4 2 5 2 2" xfId="23475"/>
    <cellStyle name="Normal 57 5 4 2 5 3" xfId="9645"/>
    <cellStyle name="Normal 57 5 4 2 5 4" xfId="18468"/>
    <cellStyle name="Normal 57 5 4 2 6" xfId="1656"/>
    <cellStyle name="Normal 57 5 4 2 6 2" xfId="11035"/>
    <cellStyle name="Normal 57 5 4 2 6 3" xfId="21039"/>
    <cellStyle name="Normal 57 5 4 2 7" xfId="5842"/>
    <cellStyle name="Normal 57 5 4 2 7 2" xfId="14669"/>
    <cellStyle name="Normal 57 5 4 2 7 3" xfId="24920"/>
    <cellStyle name="Normal 57 5 4 2 8" xfId="7286"/>
    <cellStyle name="Normal 57 5 4 2 8 2" xfId="20012"/>
    <cellStyle name="Normal 57 5 4 2 9" xfId="16032"/>
    <cellStyle name="Normal 57 5 4 2_Degree data" xfId="3986"/>
    <cellStyle name="Normal 57 5 4 3" xfId="357"/>
    <cellStyle name="Normal 57 5 4 3 2" xfId="2845"/>
    <cellStyle name="Normal 57 5 4 3 2 2" xfId="12135"/>
    <cellStyle name="Normal 57 5 4 3 2 2 2" xfId="22208"/>
    <cellStyle name="Normal 57 5 4 3 2 3" xfId="8615"/>
    <cellStyle name="Normal 57 5 4 3 2 4" xfId="17201"/>
    <cellStyle name="Normal 57 5 4 3 3" xfId="4693"/>
    <cellStyle name="Normal 57 5 4 3 3 2" xfId="13533"/>
    <cellStyle name="Normal 57 5 4 3 3 2 2" xfId="23784"/>
    <cellStyle name="Normal 57 5 4 3 3 3" xfId="9954"/>
    <cellStyle name="Normal 57 5 4 3 3 4" xfId="18777"/>
    <cellStyle name="Normal 57 5 4 3 4" xfId="1954"/>
    <cellStyle name="Normal 57 5 4 3 4 2" xfId="11321"/>
    <cellStyle name="Normal 57 5 4 3 4 3" xfId="21325"/>
    <cellStyle name="Normal 57 5 4 3 5" xfId="6151"/>
    <cellStyle name="Normal 57 5 4 3 5 2" xfId="14978"/>
    <cellStyle name="Normal 57 5 4 3 5 3" xfId="25229"/>
    <cellStyle name="Normal 57 5 4 3 6" xfId="7596"/>
    <cellStyle name="Normal 57 5 4 3 6 2" xfId="19807"/>
    <cellStyle name="Normal 57 5 4 3 7" xfId="16318"/>
    <cellStyle name="Normal 57 5 4 4" xfId="877"/>
    <cellStyle name="Normal 57 5 4 4 2" xfId="3364"/>
    <cellStyle name="Normal 57 5 4 4 2 2" xfId="12508"/>
    <cellStyle name="Normal 57 5 4 4 2 2 2" xfId="22727"/>
    <cellStyle name="Normal 57 5 4 4 2 3" xfId="8930"/>
    <cellStyle name="Normal 57 5 4 4 2 4" xfId="17720"/>
    <cellStyle name="Normal 57 5 4 4 3" xfId="5042"/>
    <cellStyle name="Normal 57 5 4 4 3 2" xfId="13881"/>
    <cellStyle name="Normal 57 5 4 4 3 2 2" xfId="24132"/>
    <cellStyle name="Normal 57 5 4 4 3 3" xfId="10302"/>
    <cellStyle name="Normal 57 5 4 4 3 4" xfId="19125"/>
    <cellStyle name="Normal 57 5 4 4 4" xfId="2473"/>
    <cellStyle name="Normal 57 5 4 4 4 2" xfId="11840"/>
    <cellStyle name="Normal 57 5 4 4 4 3" xfId="21844"/>
    <cellStyle name="Normal 57 5 4 4 5" xfId="6499"/>
    <cellStyle name="Normal 57 5 4 4 5 2" xfId="15326"/>
    <cellStyle name="Normal 57 5 4 4 5 3" xfId="25577"/>
    <cellStyle name="Normal 57 5 4 4 6" xfId="7945"/>
    <cellStyle name="Normal 57 5 4 4 6 2" xfId="20326"/>
    <cellStyle name="Normal 57 5 4 4 7" xfId="16837"/>
    <cellStyle name="Normal 57 5 4 5" xfId="1129"/>
    <cellStyle name="Normal 57 5 4 5 2" xfId="3560"/>
    <cellStyle name="Normal 57 5 4 5 2 2" xfId="12698"/>
    <cellStyle name="Normal 57 5 4 5 2 2 2" xfId="22917"/>
    <cellStyle name="Normal 57 5 4 5 2 3" xfId="9119"/>
    <cellStyle name="Normal 57 5 4 5 2 4" xfId="17910"/>
    <cellStyle name="Normal 57 5 4 5 3" xfId="5223"/>
    <cellStyle name="Normal 57 5 4 5 3 2" xfId="14062"/>
    <cellStyle name="Normal 57 5 4 5 3 2 2" xfId="24313"/>
    <cellStyle name="Normal 57 5 4 5 3 3" xfId="10483"/>
    <cellStyle name="Normal 57 5 4 5 3 4" xfId="19306"/>
    <cellStyle name="Normal 57 5 4 5 4" xfId="1839"/>
    <cellStyle name="Normal 57 5 4 5 4 2" xfId="11209"/>
    <cellStyle name="Normal 57 5 4 5 4 3" xfId="21213"/>
    <cellStyle name="Normal 57 5 4 5 5" xfId="6680"/>
    <cellStyle name="Normal 57 5 4 5 5 2" xfId="15507"/>
    <cellStyle name="Normal 57 5 4 5 5 3" xfId="25758"/>
    <cellStyle name="Normal 57 5 4 5 6" xfId="8126"/>
    <cellStyle name="Normal 57 5 4 5 6 2" xfId="20516"/>
    <cellStyle name="Normal 57 5 4 5 7" xfId="16206"/>
    <cellStyle name="Normal 57 5 4 6" xfId="2733"/>
    <cellStyle name="Normal 57 5 4 6 2" xfId="12052"/>
    <cellStyle name="Normal 57 5 4 6 2 2" xfId="22096"/>
    <cellStyle name="Normal 57 5 4 6 3" xfId="8502"/>
    <cellStyle name="Normal 57 5 4 6 4" xfId="17089"/>
    <cellStyle name="Normal 57 5 4 7" xfId="4179"/>
    <cellStyle name="Normal 57 5 4 7 2" xfId="13019"/>
    <cellStyle name="Normal 57 5 4 7 2 2" xfId="23270"/>
    <cellStyle name="Normal 57 5 4 7 3" xfId="9440"/>
    <cellStyle name="Normal 57 5 4 7 4" xfId="18263"/>
    <cellStyle name="Normal 57 5 4 8" xfId="1451"/>
    <cellStyle name="Normal 57 5 4 8 2" xfId="10830"/>
    <cellStyle name="Normal 57 5 4 8 3" xfId="20834"/>
    <cellStyle name="Normal 57 5 4 9" xfId="5637"/>
    <cellStyle name="Normal 57 5 4 9 2" xfId="14464"/>
    <cellStyle name="Normal 57 5 4 9 3" xfId="24715"/>
    <cellStyle name="Normal 57 5 4_Degree data" xfId="3985"/>
    <cellStyle name="Normal 57 5 5" xfId="457"/>
    <cellStyle name="Normal 57 5 5 2" xfId="879"/>
    <cellStyle name="Normal 57 5 5 2 2" xfId="3366"/>
    <cellStyle name="Normal 57 5 5 2 2 2" xfId="12510"/>
    <cellStyle name="Normal 57 5 5 2 2 2 2" xfId="22729"/>
    <cellStyle name="Normal 57 5 5 2 2 3" xfId="8932"/>
    <cellStyle name="Normal 57 5 5 2 2 4" xfId="17722"/>
    <cellStyle name="Normal 57 5 5 2 3" xfId="4695"/>
    <cellStyle name="Normal 57 5 5 2 3 2" xfId="13535"/>
    <cellStyle name="Normal 57 5 5 2 3 2 2" xfId="23786"/>
    <cellStyle name="Normal 57 5 5 2 3 3" xfId="9956"/>
    <cellStyle name="Normal 57 5 5 2 3 4" xfId="18779"/>
    <cellStyle name="Normal 57 5 5 2 4" xfId="2475"/>
    <cellStyle name="Normal 57 5 5 2 4 2" xfId="11842"/>
    <cellStyle name="Normal 57 5 5 2 4 3" xfId="21846"/>
    <cellStyle name="Normal 57 5 5 2 5" xfId="6153"/>
    <cellStyle name="Normal 57 5 5 2 5 2" xfId="14980"/>
    <cellStyle name="Normal 57 5 5 2 5 3" xfId="25231"/>
    <cellStyle name="Normal 57 5 5 2 6" xfId="7598"/>
    <cellStyle name="Normal 57 5 5 2 6 2" xfId="20328"/>
    <cellStyle name="Normal 57 5 5 2 7" xfId="16839"/>
    <cellStyle name="Normal 57 5 5 3" xfId="1229"/>
    <cellStyle name="Normal 57 5 5 3 2" xfId="3660"/>
    <cellStyle name="Normal 57 5 5 3 2 2" xfId="12798"/>
    <cellStyle name="Normal 57 5 5 3 2 2 2" xfId="23017"/>
    <cellStyle name="Normal 57 5 5 3 2 3" xfId="9219"/>
    <cellStyle name="Normal 57 5 5 3 2 4" xfId="18010"/>
    <cellStyle name="Normal 57 5 5 3 3" xfId="5044"/>
    <cellStyle name="Normal 57 5 5 3 3 2" xfId="13883"/>
    <cellStyle name="Normal 57 5 5 3 3 2 2" xfId="24134"/>
    <cellStyle name="Normal 57 5 5 3 3 3" xfId="10304"/>
    <cellStyle name="Normal 57 5 5 3 3 4" xfId="19127"/>
    <cellStyle name="Normal 57 5 5 3 4" xfId="2054"/>
    <cellStyle name="Normal 57 5 5 3 4 2" xfId="11421"/>
    <cellStyle name="Normal 57 5 5 3 4 3" xfId="21425"/>
    <cellStyle name="Normal 57 5 5 3 5" xfId="6501"/>
    <cellStyle name="Normal 57 5 5 3 5 2" xfId="15328"/>
    <cellStyle name="Normal 57 5 5 3 5 3" xfId="25579"/>
    <cellStyle name="Normal 57 5 5 3 6" xfId="7947"/>
    <cellStyle name="Normal 57 5 5 3 6 2" xfId="20616"/>
    <cellStyle name="Normal 57 5 5 3 7" xfId="16418"/>
    <cellStyle name="Normal 57 5 5 4" xfId="2945"/>
    <cellStyle name="Normal 57 5 5 4 2" xfId="5323"/>
    <cellStyle name="Normal 57 5 5 4 2 2" xfId="14162"/>
    <cellStyle name="Normal 57 5 5 4 2 2 2" xfId="24413"/>
    <cellStyle name="Normal 57 5 5 4 2 3" xfId="10583"/>
    <cellStyle name="Normal 57 5 5 4 2 4" xfId="19406"/>
    <cellStyle name="Normal 57 5 5 4 3" xfId="6780"/>
    <cellStyle name="Normal 57 5 5 4 3 2" xfId="15607"/>
    <cellStyle name="Normal 57 5 5 4 3 3" xfId="25858"/>
    <cellStyle name="Normal 57 5 5 4 4" xfId="8226"/>
    <cellStyle name="Normal 57 5 5 4 4 2" xfId="22308"/>
    <cellStyle name="Normal 57 5 5 4 5" xfId="17301"/>
    <cellStyle name="Normal 57 5 5 5" xfId="4279"/>
    <cellStyle name="Normal 57 5 5 5 2" xfId="13119"/>
    <cellStyle name="Normal 57 5 5 5 2 2" xfId="23370"/>
    <cellStyle name="Normal 57 5 5 5 3" xfId="9540"/>
    <cellStyle name="Normal 57 5 5 5 4" xfId="18363"/>
    <cellStyle name="Normal 57 5 5 6" xfId="1551"/>
    <cellStyle name="Normal 57 5 5 6 2" xfId="10930"/>
    <cellStyle name="Normal 57 5 5 6 3" xfId="20934"/>
    <cellStyle name="Normal 57 5 5 7" xfId="5737"/>
    <cellStyle name="Normal 57 5 5 7 2" xfId="14564"/>
    <cellStyle name="Normal 57 5 5 7 3" xfId="24815"/>
    <cellStyle name="Normal 57 5 5 8" xfId="7181"/>
    <cellStyle name="Normal 57 5 5 8 2" xfId="19907"/>
    <cellStyle name="Normal 57 5 5 9" xfId="15927"/>
    <cellStyle name="Normal 57 5 5_Degree data" xfId="3987"/>
    <cellStyle name="Normal 57 5 6" xfId="345"/>
    <cellStyle name="Normal 57 5 6 2" xfId="880"/>
    <cellStyle name="Normal 57 5 6 2 2" xfId="3367"/>
    <cellStyle name="Normal 57 5 6 2 2 2" xfId="12511"/>
    <cellStyle name="Normal 57 5 6 2 2 2 2" xfId="22730"/>
    <cellStyle name="Normal 57 5 6 2 2 3" xfId="8933"/>
    <cellStyle name="Normal 57 5 6 2 2 4" xfId="17723"/>
    <cellStyle name="Normal 57 5 6 2 3" xfId="4696"/>
    <cellStyle name="Normal 57 5 6 2 3 2" xfId="13536"/>
    <cellStyle name="Normal 57 5 6 2 3 2 2" xfId="23787"/>
    <cellStyle name="Normal 57 5 6 2 3 3" xfId="9957"/>
    <cellStyle name="Normal 57 5 6 2 3 4" xfId="18780"/>
    <cellStyle name="Normal 57 5 6 2 4" xfId="2476"/>
    <cellStyle name="Normal 57 5 6 2 4 2" xfId="11843"/>
    <cellStyle name="Normal 57 5 6 2 4 3" xfId="21847"/>
    <cellStyle name="Normal 57 5 6 2 5" xfId="6154"/>
    <cellStyle name="Normal 57 5 6 2 5 2" xfId="14981"/>
    <cellStyle name="Normal 57 5 6 2 5 3" xfId="25232"/>
    <cellStyle name="Normal 57 5 6 2 6" xfId="7599"/>
    <cellStyle name="Normal 57 5 6 2 6 2" xfId="20329"/>
    <cellStyle name="Normal 57 5 6 2 7" xfId="16840"/>
    <cellStyle name="Normal 57 5 6 3" xfId="1117"/>
    <cellStyle name="Normal 57 5 6 3 2" xfId="3548"/>
    <cellStyle name="Normal 57 5 6 3 2 2" xfId="12686"/>
    <cellStyle name="Normal 57 5 6 3 2 2 2" xfId="22905"/>
    <cellStyle name="Normal 57 5 6 3 2 3" xfId="9107"/>
    <cellStyle name="Normal 57 5 6 3 2 4" xfId="17898"/>
    <cellStyle name="Normal 57 5 6 3 3" xfId="5045"/>
    <cellStyle name="Normal 57 5 6 3 3 2" xfId="13884"/>
    <cellStyle name="Normal 57 5 6 3 3 2 2" xfId="24135"/>
    <cellStyle name="Normal 57 5 6 3 3 3" xfId="10305"/>
    <cellStyle name="Normal 57 5 6 3 3 4" xfId="19128"/>
    <cellStyle name="Normal 57 5 6 3 4" xfId="2606"/>
    <cellStyle name="Normal 57 5 6 3 4 2" xfId="11972"/>
    <cellStyle name="Normal 57 5 6 3 4 3" xfId="21976"/>
    <cellStyle name="Normal 57 5 6 3 5" xfId="6502"/>
    <cellStyle name="Normal 57 5 6 3 5 2" xfId="15329"/>
    <cellStyle name="Normal 57 5 6 3 5 3" xfId="25580"/>
    <cellStyle name="Normal 57 5 6 3 6" xfId="7948"/>
    <cellStyle name="Normal 57 5 6 3 6 2" xfId="20504"/>
    <cellStyle name="Normal 57 5 6 3 7" xfId="16969"/>
    <cellStyle name="Normal 57 5 6 4" xfId="2833"/>
    <cellStyle name="Normal 57 5 6 4 2" xfId="5211"/>
    <cellStyle name="Normal 57 5 6 4 2 2" xfId="14050"/>
    <cellStyle name="Normal 57 5 6 4 2 2 2" xfId="24301"/>
    <cellStyle name="Normal 57 5 6 4 2 3" xfId="10471"/>
    <cellStyle name="Normal 57 5 6 4 2 4" xfId="19294"/>
    <cellStyle name="Normal 57 5 6 4 3" xfId="6668"/>
    <cellStyle name="Normal 57 5 6 4 3 2" xfId="15495"/>
    <cellStyle name="Normal 57 5 6 4 3 3" xfId="25746"/>
    <cellStyle name="Normal 57 5 6 4 4" xfId="8114"/>
    <cellStyle name="Normal 57 5 6 4 4 2" xfId="22196"/>
    <cellStyle name="Normal 57 5 6 4 5" xfId="17189"/>
    <cellStyle name="Normal 57 5 6 5" xfId="4165"/>
    <cellStyle name="Normal 57 5 6 5 2" xfId="13005"/>
    <cellStyle name="Normal 57 5 6 5 2 2" xfId="23256"/>
    <cellStyle name="Normal 57 5 6 5 3" xfId="9426"/>
    <cellStyle name="Normal 57 5 6 5 4" xfId="18249"/>
    <cellStyle name="Normal 57 5 6 6" xfId="1942"/>
    <cellStyle name="Normal 57 5 6 6 2" xfId="11309"/>
    <cellStyle name="Normal 57 5 6 6 3" xfId="21313"/>
    <cellStyle name="Normal 57 5 6 7" xfId="5625"/>
    <cellStyle name="Normal 57 5 6 7 2" xfId="14452"/>
    <cellStyle name="Normal 57 5 6 7 3" xfId="24703"/>
    <cellStyle name="Normal 57 5 6 8" xfId="7069"/>
    <cellStyle name="Normal 57 5 6 8 2" xfId="19795"/>
    <cellStyle name="Normal 57 5 6 9" xfId="16306"/>
    <cellStyle name="Normal 57 5 6_Degree data" xfId="3988"/>
    <cellStyle name="Normal 57 5 7" xfId="871"/>
    <cellStyle name="Normal 57 5 7 2" xfId="3358"/>
    <cellStyle name="Normal 57 5 7 2 2" xfId="12502"/>
    <cellStyle name="Normal 57 5 7 2 2 2" xfId="22721"/>
    <cellStyle name="Normal 57 5 7 2 3" xfId="8924"/>
    <cellStyle name="Normal 57 5 7 2 4" xfId="17714"/>
    <cellStyle name="Normal 57 5 7 3" xfId="4687"/>
    <cellStyle name="Normal 57 5 7 3 2" xfId="13527"/>
    <cellStyle name="Normal 57 5 7 3 2 2" xfId="23778"/>
    <cellStyle name="Normal 57 5 7 3 3" xfId="9948"/>
    <cellStyle name="Normal 57 5 7 3 4" xfId="18771"/>
    <cellStyle name="Normal 57 5 7 4" xfId="2467"/>
    <cellStyle name="Normal 57 5 7 4 2" xfId="11834"/>
    <cellStyle name="Normal 57 5 7 4 3" xfId="21838"/>
    <cellStyle name="Normal 57 5 7 5" xfId="6145"/>
    <cellStyle name="Normal 57 5 7 5 2" xfId="14972"/>
    <cellStyle name="Normal 57 5 7 5 3" xfId="25223"/>
    <cellStyle name="Normal 57 5 7 6" xfId="7590"/>
    <cellStyle name="Normal 57 5 7 6 2" xfId="20320"/>
    <cellStyle name="Normal 57 5 7 7" xfId="16831"/>
    <cellStyle name="Normal 57 5 8" xfId="1072"/>
    <cellStyle name="Normal 57 5 8 2" xfId="3503"/>
    <cellStyle name="Normal 57 5 8 2 2" xfId="12641"/>
    <cellStyle name="Normal 57 5 8 2 2 2" xfId="22860"/>
    <cellStyle name="Normal 57 5 8 2 3" xfId="9063"/>
    <cellStyle name="Normal 57 5 8 2 4" xfId="17853"/>
    <cellStyle name="Normal 57 5 8 3" xfId="5036"/>
    <cellStyle name="Normal 57 5 8 3 2" xfId="13875"/>
    <cellStyle name="Normal 57 5 8 3 2 2" xfId="24126"/>
    <cellStyle name="Normal 57 5 8 3 3" xfId="10296"/>
    <cellStyle name="Normal 57 5 8 3 4" xfId="19119"/>
    <cellStyle name="Normal 57 5 8 4" xfId="1727"/>
    <cellStyle name="Normal 57 5 8 4 2" xfId="11103"/>
    <cellStyle name="Normal 57 5 8 4 3" xfId="21107"/>
    <cellStyle name="Normal 57 5 8 5" xfId="6493"/>
    <cellStyle name="Normal 57 5 8 5 2" xfId="15320"/>
    <cellStyle name="Normal 57 5 8 5 3" xfId="25571"/>
    <cellStyle name="Normal 57 5 8 6" xfId="7939"/>
    <cellStyle name="Normal 57 5 8 6 2" xfId="20459"/>
    <cellStyle name="Normal 57 5 8 7" xfId="16100"/>
    <cellStyle name="Normal 57 5 9" xfId="2625"/>
    <cellStyle name="Normal 57 5 9 2" xfId="5166"/>
    <cellStyle name="Normal 57 5 9 2 2" xfId="14005"/>
    <cellStyle name="Normal 57 5 9 2 2 2" xfId="24256"/>
    <cellStyle name="Normal 57 5 9 2 3" xfId="10426"/>
    <cellStyle name="Normal 57 5 9 2 4" xfId="19249"/>
    <cellStyle name="Normal 57 5 9 3" xfId="6623"/>
    <cellStyle name="Normal 57 5 9 3 2" xfId="15450"/>
    <cellStyle name="Normal 57 5 9 3 3" xfId="25701"/>
    <cellStyle name="Normal 57 5 9 4" xfId="8069"/>
    <cellStyle name="Normal 57 5 9 4 2" xfId="21990"/>
    <cellStyle name="Normal 57 5 9 5" xfId="16983"/>
    <cellStyle name="Normal 57 5_Degree data" xfId="3979"/>
    <cellStyle name="Normal 57 6" xfId="137"/>
    <cellStyle name="Normal 57 6 10" xfId="1413"/>
    <cellStyle name="Normal 57 6 10 2" xfId="10792"/>
    <cellStyle name="Normal 57 6 10 3" xfId="20796"/>
    <cellStyle name="Normal 57 6 11" xfId="5524"/>
    <cellStyle name="Normal 57 6 11 2" xfId="14353"/>
    <cellStyle name="Normal 57 6 11 3" xfId="24604"/>
    <cellStyle name="Normal 57 6 12" xfId="6966"/>
    <cellStyle name="Normal 57 6 12 2" xfId="19608"/>
    <cellStyle name="Normal 57 6 13" xfId="15789"/>
    <cellStyle name="Normal 57 6 2" xfId="193"/>
    <cellStyle name="Normal 57 6 2 10" xfId="7145"/>
    <cellStyle name="Normal 57 6 2 10 2" xfId="19654"/>
    <cellStyle name="Normal 57 6 2 11" xfId="15891"/>
    <cellStyle name="Normal 57 6 2 2" xfId="521"/>
    <cellStyle name="Normal 57 6 2 2 2" xfId="883"/>
    <cellStyle name="Normal 57 6 2 2 2 2" xfId="3370"/>
    <cellStyle name="Normal 57 6 2 2 2 2 2" xfId="12514"/>
    <cellStyle name="Normal 57 6 2 2 2 2 2 2" xfId="22733"/>
    <cellStyle name="Normal 57 6 2 2 2 2 3" xfId="8936"/>
    <cellStyle name="Normal 57 6 2 2 2 2 4" xfId="17726"/>
    <cellStyle name="Normal 57 6 2 2 2 3" xfId="4699"/>
    <cellStyle name="Normal 57 6 2 2 2 3 2" xfId="13539"/>
    <cellStyle name="Normal 57 6 2 2 2 3 2 2" xfId="23790"/>
    <cellStyle name="Normal 57 6 2 2 2 3 3" xfId="9960"/>
    <cellStyle name="Normal 57 6 2 2 2 3 4" xfId="18783"/>
    <cellStyle name="Normal 57 6 2 2 2 4" xfId="2479"/>
    <cellStyle name="Normal 57 6 2 2 2 4 2" xfId="11846"/>
    <cellStyle name="Normal 57 6 2 2 2 4 3" xfId="21850"/>
    <cellStyle name="Normal 57 6 2 2 2 5" xfId="6157"/>
    <cellStyle name="Normal 57 6 2 2 2 5 2" xfId="14984"/>
    <cellStyle name="Normal 57 6 2 2 2 5 3" xfId="25235"/>
    <cellStyle name="Normal 57 6 2 2 2 6" xfId="7602"/>
    <cellStyle name="Normal 57 6 2 2 2 6 2" xfId="20332"/>
    <cellStyle name="Normal 57 6 2 2 2 7" xfId="16843"/>
    <cellStyle name="Normal 57 6 2 2 3" xfId="1293"/>
    <cellStyle name="Normal 57 6 2 2 3 2" xfId="3724"/>
    <cellStyle name="Normal 57 6 2 2 3 2 2" xfId="12862"/>
    <cellStyle name="Normal 57 6 2 2 3 2 2 2" xfId="23081"/>
    <cellStyle name="Normal 57 6 2 2 3 2 3" xfId="9283"/>
    <cellStyle name="Normal 57 6 2 2 3 2 4" xfId="18074"/>
    <cellStyle name="Normal 57 6 2 2 3 3" xfId="5048"/>
    <cellStyle name="Normal 57 6 2 2 3 3 2" xfId="13887"/>
    <cellStyle name="Normal 57 6 2 2 3 3 2 2" xfId="24138"/>
    <cellStyle name="Normal 57 6 2 2 3 3 3" xfId="10308"/>
    <cellStyle name="Normal 57 6 2 2 3 3 4" xfId="19131"/>
    <cellStyle name="Normal 57 6 2 2 3 4" xfId="2118"/>
    <cellStyle name="Normal 57 6 2 2 3 4 2" xfId="11485"/>
    <cellStyle name="Normal 57 6 2 2 3 4 3" xfId="21489"/>
    <cellStyle name="Normal 57 6 2 2 3 5" xfId="6505"/>
    <cellStyle name="Normal 57 6 2 2 3 5 2" xfId="15332"/>
    <cellStyle name="Normal 57 6 2 2 3 5 3" xfId="25583"/>
    <cellStyle name="Normal 57 6 2 2 3 6" xfId="7951"/>
    <cellStyle name="Normal 57 6 2 2 3 6 2" xfId="20680"/>
    <cellStyle name="Normal 57 6 2 2 3 7" xfId="16482"/>
    <cellStyle name="Normal 57 6 2 2 4" xfId="3009"/>
    <cellStyle name="Normal 57 6 2 2 4 2" xfId="5387"/>
    <cellStyle name="Normal 57 6 2 2 4 2 2" xfId="14226"/>
    <cellStyle name="Normal 57 6 2 2 4 2 2 2" xfId="24477"/>
    <cellStyle name="Normal 57 6 2 2 4 2 3" xfId="10647"/>
    <cellStyle name="Normal 57 6 2 2 4 2 4" xfId="19470"/>
    <cellStyle name="Normal 57 6 2 2 4 3" xfId="6844"/>
    <cellStyle name="Normal 57 6 2 2 4 3 2" xfId="15671"/>
    <cellStyle name="Normal 57 6 2 2 4 3 3" xfId="25922"/>
    <cellStyle name="Normal 57 6 2 2 4 4" xfId="8290"/>
    <cellStyle name="Normal 57 6 2 2 4 4 2" xfId="22372"/>
    <cellStyle name="Normal 57 6 2 2 4 5" xfId="17365"/>
    <cellStyle name="Normal 57 6 2 2 5" xfId="4343"/>
    <cellStyle name="Normal 57 6 2 2 5 2" xfId="13183"/>
    <cellStyle name="Normal 57 6 2 2 5 2 2" xfId="23434"/>
    <cellStyle name="Normal 57 6 2 2 5 3" xfId="9604"/>
    <cellStyle name="Normal 57 6 2 2 5 4" xfId="18427"/>
    <cellStyle name="Normal 57 6 2 2 6" xfId="1615"/>
    <cellStyle name="Normal 57 6 2 2 6 2" xfId="10994"/>
    <cellStyle name="Normal 57 6 2 2 6 3" xfId="20998"/>
    <cellStyle name="Normal 57 6 2 2 7" xfId="5801"/>
    <cellStyle name="Normal 57 6 2 2 7 2" xfId="14628"/>
    <cellStyle name="Normal 57 6 2 2 7 3" xfId="24879"/>
    <cellStyle name="Normal 57 6 2 2 8" xfId="7245"/>
    <cellStyle name="Normal 57 6 2 2 8 2" xfId="19971"/>
    <cellStyle name="Normal 57 6 2 2 9" xfId="15991"/>
    <cellStyle name="Normal 57 6 2 2_Degree data" xfId="3991"/>
    <cellStyle name="Normal 57 6 2 3" xfId="421"/>
    <cellStyle name="Normal 57 6 2 3 2" xfId="2909"/>
    <cellStyle name="Normal 57 6 2 3 2 2" xfId="12199"/>
    <cellStyle name="Normal 57 6 2 3 2 2 2" xfId="22272"/>
    <cellStyle name="Normal 57 6 2 3 2 3" xfId="8528"/>
    <cellStyle name="Normal 57 6 2 3 2 4" xfId="17265"/>
    <cellStyle name="Normal 57 6 2 3 3" xfId="4698"/>
    <cellStyle name="Normal 57 6 2 3 3 2" xfId="13538"/>
    <cellStyle name="Normal 57 6 2 3 3 2 2" xfId="23789"/>
    <cellStyle name="Normal 57 6 2 3 3 3" xfId="9959"/>
    <cellStyle name="Normal 57 6 2 3 3 4" xfId="18782"/>
    <cellStyle name="Normal 57 6 2 3 4" xfId="2018"/>
    <cellStyle name="Normal 57 6 2 3 4 2" xfId="11385"/>
    <cellStyle name="Normal 57 6 2 3 4 3" xfId="21389"/>
    <cellStyle name="Normal 57 6 2 3 5" xfId="6156"/>
    <cellStyle name="Normal 57 6 2 3 5 2" xfId="14983"/>
    <cellStyle name="Normal 57 6 2 3 5 3" xfId="25234"/>
    <cellStyle name="Normal 57 6 2 3 6" xfId="7601"/>
    <cellStyle name="Normal 57 6 2 3 6 2" xfId="19871"/>
    <cellStyle name="Normal 57 6 2 3 7" xfId="16382"/>
    <cellStyle name="Normal 57 6 2 4" xfId="882"/>
    <cellStyle name="Normal 57 6 2 4 2" xfId="3369"/>
    <cellStyle name="Normal 57 6 2 4 2 2" xfId="12513"/>
    <cellStyle name="Normal 57 6 2 4 2 2 2" xfId="22732"/>
    <cellStyle name="Normal 57 6 2 4 2 3" xfId="8935"/>
    <cellStyle name="Normal 57 6 2 4 2 4" xfId="17725"/>
    <cellStyle name="Normal 57 6 2 4 3" xfId="5047"/>
    <cellStyle name="Normal 57 6 2 4 3 2" xfId="13886"/>
    <cellStyle name="Normal 57 6 2 4 3 2 2" xfId="24137"/>
    <cellStyle name="Normal 57 6 2 4 3 3" xfId="10307"/>
    <cellStyle name="Normal 57 6 2 4 3 4" xfId="19130"/>
    <cellStyle name="Normal 57 6 2 4 4" xfId="2478"/>
    <cellStyle name="Normal 57 6 2 4 4 2" xfId="11845"/>
    <cellStyle name="Normal 57 6 2 4 4 3" xfId="21849"/>
    <cellStyle name="Normal 57 6 2 4 5" xfId="6504"/>
    <cellStyle name="Normal 57 6 2 4 5 2" xfId="15331"/>
    <cellStyle name="Normal 57 6 2 4 5 3" xfId="25582"/>
    <cellStyle name="Normal 57 6 2 4 6" xfId="7950"/>
    <cellStyle name="Normal 57 6 2 4 6 2" xfId="20331"/>
    <cellStyle name="Normal 57 6 2 4 7" xfId="16842"/>
    <cellStyle name="Normal 57 6 2 5" xfId="1193"/>
    <cellStyle name="Normal 57 6 2 5 2" xfId="3624"/>
    <cellStyle name="Normal 57 6 2 5 2 2" xfId="12762"/>
    <cellStyle name="Normal 57 6 2 5 2 2 2" xfId="22981"/>
    <cellStyle name="Normal 57 6 2 5 2 3" xfId="9183"/>
    <cellStyle name="Normal 57 6 2 5 2 4" xfId="17974"/>
    <cellStyle name="Normal 57 6 2 5 3" xfId="5287"/>
    <cellStyle name="Normal 57 6 2 5 3 2" xfId="14126"/>
    <cellStyle name="Normal 57 6 2 5 3 2 2" xfId="24377"/>
    <cellStyle name="Normal 57 6 2 5 3 3" xfId="10547"/>
    <cellStyle name="Normal 57 6 2 5 3 4" xfId="19370"/>
    <cellStyle name="Normal 57 6 2 5 4" xfId="1797"/>
    <cellStyle name="Normal 57 6 2 5 4 2" xfId="11168"/>
    <cellStyle name="Normal 57 6 2 5 4 3" xfId="21172"/>
    <cellStyle name="Normal 57 6 2 5 5" xfId="6744"/>
    <cellStyle name="Normal 57 6 2 5 5 2" xfId="15571"/>
    <cellStyle name="Normal 57 6 2 5 5 3" xfId="25822"/>
    <cellStyle name="Normal 57 6 2 5 6" xfId="8190"/>
    <cellStyle name="Normal 57 6 2 5 6 2" xfId="20580"/>
    <cellStyle name="Normal 57 6 2 5 7" xfId="16165"/>
    <cellStyle name="Normal 57 6 2 6" xfId="2692"/>
    <cellStyle name="Normal 57 6 2 6 2" xfId="12011"/>
    <cellStyle name="Normal 57 6 2 6 2 2" xfId="22055"/>
    <cellStyle name="Normal 57 6 2 6 3" xfId="8572"/>
    <cellStyle name="Normal 57 6 2 6 4" xfId="17048"/>
    <cellStyle name="Normal 57 6 2 7" xfId="4243"/>
    <cellStyle name="Normal 57 6 2 7 2" xfId="13083"/>
    <cellStyle name="Normal 57 6 2 7 2 2" xfId="23334"/>
    <cellStyle name="Normal 57 6 2 7 3" xfId="9504"/>
    <cellStyle name="Normal 57 6 2 7 4" xfId="18327"/>
    <cellStyle name="Normal 57 6 2 8" xfId="1515"/>
    <cellStyle name="Normal 57 6 2 8 2" xfId="10894"/>
    <cellStyle name="Normal 57 6 2 8 3" xfId="20898"/>
    <cellStyle name="Normal 57 6 2 9" xfId="5701"/>
    <cellStyle name="Normal 57 6 2 9 2" xfId="14528"/>
    <cellStyle name="Normal 57 6 2 9 3" xfId="24779"/>
    <cellStyle name="Normal 57 6 2_Degree data" xfId="3990"/>
    <cellStyle name="Normal 57 6 3" xfId="257"/>
    <cellStyle name="Normal 57 6 3 10" xfId="7099"/>
    <cellStyle name="Normal 57 6 3 10 2" xfId="19713"/>
    <cellStyle name="Normal 57 6 3 11" xfId="15845"/>
    <cellStyle name="Normal 57 6 3 2" xfId="580"/>
    <cellStyle name="Normal 57 6 3 2 2" xfId="885"/>
    <cellStyle name="Normal 57 6 3 2 2 2" xfId="3372"/>
    <cellStyle name="Normal 57 6 3 2 2 2 2" xfId="12516"/>
    <cellStyle name="Normal 57 6 3 2 2 2 2 2" xfId="22735"/>
    <cellStyle name="Normal 57 6 3 2 2 2 3" xfId="8938"/>
    <cellStyle name="Normal 57 6 3 2 2 2 4" xfId="17728"/>
    <cellStyle name="Normal 57 6 3 2 2 3" xfId="4701"/>
    <cellStyle name="Normal 57 6 3 2 2 3 2" xfId="13541"/>
    <cellStyle name="Normal 57 6 3 2 2 3 2 2" xfId="23792"/>
    <cellStyle name="Normal 57 6 3 2 2 3 3" xfId="9962"/>
    <cellStyle name="Normal 57 6 3 2 2 3 4" xfId="18785"/>
    <cellStyle name="Normal 57 6 3 2 2 4" xfId="2481"/>
    <cellStyle name="Normal 57 6 3 2 2 4 2" xfId="11848"/>
    <cellStyle name="Normal 57 6 3 2 2 4 3" xfId="21852"/>
    <cellStyle name="Normal 57 6 3 2 2 5" xfId="6159"/>
    <cellStyle name="Normal 57 6 3 2 2 5 2" xfId="14986"/>
    <cellStyle name="Normal 57 6 3 2 2 5 3" xfId="25237"/>
    <cellStyle name="Normal 57 6 3 2 2 6" xfId="7604"/>
    <cellStyle name="Normal 57 6 3 2 2 6 2" xfId="20334"/>
    <cellStyle name="Normal 57 6 3 2 2 7" xfId="16845"/>
    <cellStyle name="Normal 57 6 3 2 3" xfId="1352"/>
    <cellStyle name="Normal 57 6 3 2 3 2" xfId="3783"/>
    <cellStyle name="Normal 57 6 3 2 3 2 2" xfId="12921"/>
    <cellStyle name="Normal 57 6 3 2 3 2 2 2" xfId="23140"/>
    <cellStyle name="Normal 57 6 3 2 3 2 3" xfId="9342"/>
    <cellStyle name="Normal 57 6 3 2 3 2 4" xfId="18133"/>
    <cellStyle name="Normal 57 6 3 2 3 3" xfId="5050"/>
    <cellStyle name="Normal 57 6 3 2 3 3 2" xfId="13889"/>
    <cellStyle name="Normal 57 6 3 2 3 3 2 2" xfId="24140"/>
    <cellStyle name="Normal 57 6 3 2 3 3 3" xfId="10310"/>
    <cellStyle name="Normal 57 6 3 2 3 3 4" xfId="19133"/>
    <cellStyle name="Normal 57 6 3 2 3 4" xfId="2177"/>
    <cellStyle name="Normal 57 6 3 2 3 4 2" xfId="11544"/>
    <cellStyle name="Normal 57 6 3 2 3 4 3" xfId="21548"/>
    <cellStyle name="Normal 57 6 3 2 3 5" xfId="6507"/>
    <cellStyle name="Normal 57 6 3 2 3 5 2" xfId="15334"/>
    <cellStyle name="Normal 57 6 3 2 3 5 3" xfId="25585"/>
    <cellStyle name="Normal 57 6 3 2 3 6" xfId="7953"/>
    <cellStyle name="Normal 57 6 3 2 3 6 2" xfId="20739"/>
    <cellStyle name="Normal 57 6 3 2 3 7" xfId="16541"/>
    <cellStyle name="Normal 57 6 3 2 4" xfId="3068"/>
    <cellStyle name="Normal 57 6 3 2 4 2" xfId="5446"/>
    <cellStyle name="Normal 57 6 3 2 4 2 2" xfId="14285"/>
    <cellStyle name="Normal 57 6 3 2 4 2 2 2" xfId="24536"/>
    <cellStyle name="Normal 57 6 3 2 4 2 3" xfId="10706"/>
    <cellStyle name="Normal 57 6 3 2 4 2 4" xfId="19529"/>
    <cellStyle name="Normal 57 6 3 2 4 3" xfId="6903"/>
    <cellStyle name="Normal 57 6 3 2 4 3 2" xfId="15730"/>
    <cellStyle name="Normal 57 6 3 2 4 3 3" xfId="25981"/>
    <cellStyle name="Normal 57 6 3 2 4 4" xfId="8349"/>
    <cellStyle name="Normal 57 6 3 2 4 4 2" xfId="22431"/>
    <cellStyle name="Normal 57 6 3 2 4 5" xfId="17424"/>
    <cellStyle name="Normal 57 6 3 2 5" xfId="4402"/>
    <cellStyle name="Normal 57 6 3 2 5 2" xfId="13242"/>
    <cellStyle name="Normal 57 6 3 2 5 2 2" xfId="23493"/>
    <cellStyle name="Normal 57 6 3 2 5 3" xfId="9663"/>
    <cellStyle name="Normal 57 6 3 2 5 4" xfId="18486"/>
    <cellStyle name="Normal 57 6 3 2 6" xfId="1674"/>
    <cellStyle name="Normal 57 6 3 2 6 2" xfId="11053"/>
    <cellStyle name="Normal 57 6 3 2 6 3" xfId="21057"/>
    <cellStyle name="Normal 57 6 3 2 7" xfId="5860"/>
    <cellStyle name="Normal 57 6 3 2 7 2" xfId="14687"/>
    <cellStyle name="Normal 57 6 3 2 7 3" xfId="24938"/>
    <cellStyle name="Normal 57 6 3 2 8" xfId="7304"/>
    <cellStyle name="Normal 57 6 3 2 8 2" xfId="20030"/>
    <cellStyle name="Normal 57 6 3 2 9" xfId="16050"/>
    <cellStyle name="Normal 57 6 3 2_Degree data" xfId="3993"/>
    <cellStyle name="Normal 57 6 3 3" xfId="375"/>
    <cellStyle name="Normal 57 6 3 3 2" xfId="2863"/>
    <cellStyle name="Normal 57 6 3 3 2 2" xfId="12153"/>
    <cellStyle name="Normal 57 6 3 3 2 2 2" xfId="22226"/>
    <cellStyle name="Normal 57 6 3 3 2 3" xfId="8540"/>
    <cellStyle name="Normal 57 6 3 3 2 4" xfId="17219"/>
    <cellStyle name="Normal 57 6 3 3 3" xfId="4700"/>
    <cellStyle name="Normal 57 6 3 3 3 2" xfId="13540"/>
    <cellStyle name="Normal 57 6 3 3 3 2 2" xfId="23791"/>
    <cellStyle name="Normal 57 6 3 3 3 3" xfId="9961"/>
    <cellStyle name="Normal 57 6 3 3 3 4" xfId="18784"/>
    <cellStyle name="Normal 57 6 3 3 4" xfId="1972"/>
    <cellStyle name="Normal 57 6 3 3 4 2" xfId="11339"/>
    <cellStyle name="Normal 57 6 3 3 4 3" xfId="21343"/>
    <cellStyle name="Normal 57 6 3 3 5" xfId="6158"/>
    <cellStyle name="Normal 57 6 3 3 5 2" xfId="14985"/>
    <cellStyle name="Normal 57 6 3 3 5 3" xfId="25236"/>
    <cellStyle name="Normal 57 6 3 3 6" xfId="7603"/>
    <cellStyle name="Normal 57 6 3 3 6 2" xfId="19825"/>
    <cellStyle name="Normal 57 6 3 3 7" xfId="16336"/>
    <cellStyle name="Normal 57 6 3 4" xfId="884"/>
    <cellStyle name="Normal 57 6 3 4 2" xfId="3371"/>
    <cellStyle name="Normal 57 6 3 4 2 2" xfId="12515"/>
    <cellStyle name="Normal 57 6 3 4 2 2 2" xfId="22734"/>
    <cellStyle name="Normal 57 6 3 4 2 3" xfId="8937"/>
    <cellStyle name="Normal 57 6 3 4 2 4" xfId="17727"/>
    <cellStyle name="Normal 57 6 3 4 3" xfId="5049"/>
    <cellStyle name="Normal 57 6 3 4 3 2" xfId="13888"/>
    <cellStyle name="Normal 57 6 3 4 3 2 2" xfId="24139"/>
    <cellStyle name="Normal 57 6 3 4 3 3" xfId="10309"/>
    <cellStyle name="Normal 57 6 3 4 3 4" xfId="19132"/>
    <cellStyle name="Normal 57 6 3 4 4" xfId="2480"/>
    <cellStyle name="Normal 57 6 3 4 4 2" xfId="11847"/>
    <cellStyle name="Normal 57 6 3 4 4 3" xfId="21851"/>
    <cellStyle name="Normal 57 6 3 4 5" xfId="6506"/>
    <cellStyle name="Normal 57 6 3 4 5 2" xfId="15333"/>
    <cellStyle name="Normal 57 6 3 4 5 3" xfId="25584"/>
    <cellStyle name="Normal 57 6 3 4 6" xfId="7952"/>
    <cellStyle name="Normal 57 6 3 4 6 2" xfId="20333"/>
    <cellStyle name="Normal 57 6 3 4 7" xfId="16844"/>
    <cellStyle name="Normal 57 6 3 5" xfId="1147"/>
    <cellStyle name="Normal 57 6 3 5 2" xfId="3578"/>
    <cellStyle name="Normal 57 6 3 5 2 2" xfId="12716"/>
    <cellStyle name="Normal 57 6 3 5 2 2 2" xfId="22935"/>
    <cellStyle name="Normal 57 6 3 5 2 3" xfId="9137"/>
    <cellStyle name="Normal 57 6 3 5 2 4" xfId="17928"/>
    <cellStyle name="Normal 57 6 3 5 3" xfId="5241"/>
    <cellStyle name="Normal 57 6 3 5 3 2" xfId="14080"/>
    <cellStyle name="Normal 57 6 3 5 3 2 2" xfId="24331"/>
    <cellStyle name="Normal 57 6 3 5 3 3" xfId="10501"/>
    <cellStyle name="Normal 57 6 3 5 3 4" xfId="19324"/>
    <cellStyle name="Normal 57 6 3 5 4" xfId="1857"/>
    <cellStyle name="Normal 57 6 3 5 4 2" xfId="11227"/>
    <cellStyle name="Normal 57 6 3 5 4 3" xfId="21231"/>
    <cellStyle name="Normal 57 6 3 5 5" xfId="6698"/>
    <cellStyle name="Normal 57 6 3 5 5 2" xfId="15525"/>
    <cellStyle name="Normal 57 6 3 5 5 3" xfId="25776"/>
    <cellStyle name="Normal 57 6 3 5 6" xfId="8144"/>
    <cellStyle name="Normal 57 6 3 5 6 2" xfId="20534"/>
    <cellStyle name="Normal 57 6 3 5 7" xfId="16224"/>
    <cellStyle name="Normal 57 6 3 6" xfId="2751"/>
    <cellStyle name="Normal 57 6 3 6 2" xfId="12070"/>
    <cellStyle name="Normal 57 6 3 6 2 2" xfId="22114"/>
    <cellStyle name="Normal 57 6 3 6 3" xfId="8560"/>
    <cellStyle name="Normal 57 6 3 6 4" xfId="17107"/>
    <cellStyle name="Normal 57 6 3 7" xfId="4197"/>
    <cellStyle name="Normal 57 6 3 7 2" xfId="13037"/>
    <cellStyle name="Normal 57 6 3 7 2 2" xfId="23288"/>
    <cellStyle name="Normal 57 6 3 7 3" xfId="9458"/>
    <cellStyle name="Normal 57 6 3 7 4" xfId="18281"/>
    <cellStyle name="Normal 57 6 3 8" xfId="1469"/>
    <cellStyle name="Normal 57 6 3 8 2" xfId="10848"/>
    <cellStyle name="Normal 57 6 3 8 3" xfId="20852"/>
    <cellStyle name="Normal 57 6 3 9" xfId="5655"/>
    <cellStyle name="Normal 57 6 3 9 2" xfId="14482"/>
    <cellStyle name="Normal 57 6 3 9 3" xfId="24733"/>
    <cellStyle name="Normal 57 6 3_Degree data" xfId="3992"/>
    <cellStyle name="Normal 57 6 4" xfId="475"/>
    <cellStyle name="Normal 57 6 4 2" xfId="886"/>
    <cellStyle name="Normal 57 6 4 2 2" xfId="3373"/>
    <cellStyle name="Normal 57 6 4 2 2 2" xfId="12517"/>
    <cellStyle name="Normal 57 6 4 2 2 2 2" xfId="22736"/>
    <cellStyle name="Normal 57 6 4 2 2 3" xfId="8939"/>
    <cellStyle name="Normal 57 6 4 2 2 4" xfId="17729"/>
    <cellStyle name="Normal 57 6 4 2 3" xfId="4702"/>
    <cellStyle name="Normal 57 6 4 2 3 2" xfId="13542"/>
    <cellStyle name="Normal 57 6 4 2 3 2 2" xfId="23793"/>
    <cellStyle name="Normal 57 6 4 2 3 3" xfId="9963"/>
    <cellStyle name="Normal 57 6 4 2 3 4" xfId="18786"/>
    <cellStyle name="Normal 57 6 4 2 4" xfId="2482"/>
    <cellStyle name="Normal 57 6 4 2 4 2" xfId="11849"/>
    <cellStyle name="Normal 57 6 4 2 4 3" xfId="21853"/>
    <cellStyle name="Normal 57 6 4 2 5" xfId="6160"/>
    <cellStyle name="Normal 57 6 4 2 5 2" xfId="14987"/>
    <cellStyle name="Normal 57 6 4 2 5 3" xfId="25238"/>
    <cellStyle name="Normal 57 6 4 2 6" xfId="7605"/>
    <cellStyle name="Normal 57 6 4 2 6 2" xfId="20335"/>
    <cellStyle name="Normal 57 6 4 2 7" xfId="16846"/>
    <cellStyle name="Normal 57 6 4 3" xfId="1247"/>
    <cellStyle name="Normal 57 6 4 3 2" xfId="3678"/>
    <cellStyle name="Normal 57 6 4 3 2 2" xfId="12816"/>
    <cellStyle name="Normal 57 6 4 3 2 2 2" xfId="23035"/>
    <cellStyle name="Normal 57 6 4 3 2 3" xfId="9237"/>
    <cellStyle name="Normal 57 6 4 3 2 4" xfId="18028"/>
    <cellStyle name="Normal 57 6 4 3 3" xfId="5051"/>
    <cellStyle name="Normal 57 6 4 3 3 2" xfId="13890"/>
    <cellStyle name="Normal 57 6 4 3 3 2 2" xfId="24141"/>
    <cellStyle name="Normal 57 6 4 3 3 3" xfId="10311"/>
    <cellStyle name="Normal 57 6 4 3 3 4" xfId="19134"/>
    <cellStyle name="Normal 57 6 4 3 4" xfId="2072"/>
    <cellStyle name="Normal 57 6 4 3 4 2" xfId="11439"/>
    <cellStyle name="Normal 57 6 4 3 4 3" xfId="21443"/>
    <cellStyle name="Normal 57 6 4 3 5" xfId="6508"/>
    <cellStyle name="Normal 57 6 4 3 5 2" xfId="15335"/>
    <cellStyle name="Normal 57 6 4 3 5 3" xfId="25586"/>
    <cellStyle name="Normal 57 6 4 3 6" xfId="7954"/>
    <cellStyle name="Normal 57 6 4 3 6 2" xfId="20634"/>
    <cellStyle name="Normal 57 6 4 3 7" xfId="16436"/>
    <cellStyle name="Normal 57 6 4 4" xfId="2963"/>
    <cellStyle name="Normal 57 6 4 4 2" xfId="5341"/>
    <cellStyle name="Normal 57 6 4 4 2 2" xfId="14180"/>
    <cellStyle name="Normal 57 6 4 4 2 2 2" xfId="24431"/>
    <cellStyle name="Normal 57 6 4 4 2 3" xfId="10601"/>
    <cellStyle name="Normal 57 6 4 4 2 4" xfId="19424"/>
    <cellStyle name="Normal 57 6 4 4 3" xfId="6798"/>
    <cellStyle name="Normal 57 6 4 4 3 2" xfId="15625"/>
    <cellStyle name="Normal 57 6 4 4 3 3" xfId="25876"/>
    <cellStyle name="Normal 57 6 4 4 4" xfId="8244"/>
    <cellStyle name="Normal 57 6 4 4 4 2" xfId="22326"/>
    <cellStyle name="Normal 57 6 4 4 5" xfId="17319"/>
    <cellStyle name="Normal 57 6 4 5" xfId="4297"/>
    <cellStyle name="Normal 57 6 4 5 2" xfId="13137"/>
    <cellStyle name="Normal 57 6 4 5 2 2" xfId="23388"/>
    <cellStyle name="Normal 57 6 4 5 3" xfId="9558"/>
    <cellStyle name="Normal 57 6 4 5 4" xfId="18381"/>
    <cellStyle name="Normal 57 6 4 6" xfId="1569"/>
    <cellStyle name="Normal 57 6 4 6 2" xfId="10948"/>
    <cellStyle name="Normal 57 6 4 6 3" xfId="20952"/>
    <cellStyle name="Normal 57 6 4 7" xfId="5755"/>
    <cellStyle name="Normal 57 6 4 7 2" xfId="14582"/>
    <cellStyle name="Normal 57 6 4 7 3" xfId="24833"/>
    <cellStyle name="Normal 57 6 4 8" xfId="7199"/>
    <cellStyle name="Normal 57 6 4 8 2" xfId="19925"/>
    <cellStyle name="Normal 57 6 4 9" xfId="15945"/>
    <cellStyle name="Normal 57 6 4_Degree data" xfId="3994"/>
    <cellStyle name="Normal 57 6 5" xfId="319"/>
    <cellStyle name="Normal 57 6 5 2" xfId="2807"/>
    <cellStyle name="Normal 57 6 5 2 2" xfId="12113"/>
    <cellStyle name="Normal 57 6 5 2 2 2" xfId="22170"/>
    <cellStyle name="Normal 57 6 5 2 3" xfId="8449"/>
    <cellStyle name="Normal 57 6 5 2 4" xfId="17163"/>
    <cellStyle name="Normal 57 6 5 3" xfId="4697"/>
    <cellStyle name="Normal 57 6 5 3 2" xfId="13537"/>
    <cellStyle name="Normal 57 6 5 3 2 2" xfId="23788"/>
    <cellStyle name="Normal 57 6 5 3 3" xfId="9958"/>
    <cellStyle name="Normal 57 6 5 3 4" xfId="18781"/>
    <cellStyle name="Normal 57 6 5 4" xfId="1916"/>
    <cellStyle name="Normal 57 6 5 4 2" xfId="11283"/>
    <cellStyle name="Normal 57 6 5 4 3" xfId="21287"/>
    <cellStyle name="Normal 57 6 5 5" xfId="6155"/>
    <cellStyle name="Normal 57 6 5 5 2" xfId="14982"/>
    <cellStyle name="Normal 57 6 5 5 3" xfId="25233"/>
    <cellStyle name="Normal 57 6 5 6" xfId="7600"/>
    <cellStyle name="Normal 57 6 5 6 2" xfId="19769"/>
    <cellStyle name="Normal 57 6 5 7" xfId="16280"/>
    <cellStyle name="Normal 57 6 6" xfId="881"/>
    <cellStyle name="Normal 57 6 6 2" xfId="3368"/>
    <cellStyle name="Normal 57 6 6 2 2" xfId="12512"/>
    <cellStyle name="Normal 57 6 6 2 2 2" xfId="22731"/>
    <cellStyle name="Normal 57 6 6 2 3" xfId="8934"/>
    <cellStyle name="Normal 57 6 6 2 4" xfId="17724"/>
    <cellStyle name="Normal 57 6 6 3" xfId="5046"/>
    <cellStyle name="Normal 57 6 6 3 2" xfId="13885"/>
    <cellStyle name="Normal 57 6 6 3 2 2" xfId="24136"/>
    <cellStyle name="Normal 57 6 6 3 3" xfId="10306"/>
    <cellStyle name="Normal 57 6 6 3 4" xfId="19129"/>
    <cellStyle name="Normal 57 6 6 4" xfId="2477"/>
    <cellStyle name="Normal 57 6 6 4 2" xfId="11844"/>
    <cellStyle name="Normal 57 6 6 4 3" xfId="21848"/>
    <cellStyle name="Normal 57 6 6 5" xfId="6503"/>
    <cellStyle name="Normal 57 6 6 5 2" xfId="15330"/>
    <cellStyle name="Normal 57 6 6 5 3" xfId="25581"/>
    <cellStyle name="Normal 57 6 6 6" xfId="7949"/>
    <cellStyle name="Normal 57 6 6 6 2" xfId="20330"/>
    <cellStyle name="Normal 57 6 6 7" xfId="16841"/>
    <cellStyle name="Normal 57 6 7" xfId="1091"/>
    <cellStyle name="Normal 57 6 7 2" xfId="3522"/>
    <cellStyle name="Normal 57 6 7 2 2" xfId="12660"/>
    <cellStyle name="Normal 57 6 7 2 2 2" xfId="22879"/>
    <cellStyle name="Normal 57 6 7 2 3" xfId="9082"/>
    <cellStyle name="Normal 57 6 7 2 4" xfId="17872"/>
    <cellStyle name="Normal 57 6 7 3" xfId="5185"/>
    <cellStyle name="Normal 57 6 7 3 2" xfId="14024"/>
    <cellStyle name="Normal 57 6 7 3 2 2" xfId="24275"/>
    <cellStyle name="Normal 57 6 7 3 3" xfId="10445"/>
    <cellStyle name="Normal 57 6 7 3 4" xfId="19268"/>
    <cellStyle name="Normal 57 6 7 4" xfId="1745"/>
    <cellStyle name="Normal 57 6 7 4 2" xfId="11121"/>
    <cellStyle name="Normal 57 6 7 4 3" xfId="21125"/>
    <cellStyle name="Normal 57 6 7 5" xfId="6642"/>
    <cellStyle name="Normal 57 6 7 5 2" xfId="15469"/>
    <cellStyle name="Normal 57 6 7 5 3" xfId="25720"/>
    <cellStyle name="Normal 57 6 7 6" xfId="8088"/>
    <cellStyle name="Normal 57 6 7 6 2" xfId="20478"/>
    <cellStyle name="Normal 57 6 7 7" xfId="16118"/>
    <cellStyle name="Normal 57 6 8" xfId="2645"/>
    <cellStyle name="Normal 57 6 8 2" xfId="5599"/>
    <cellStyle name="Normal 57 6 8 2 2" xfId="14426"/>
    <cellStyle name="Normal 57 6 8 2 3" xfId="24677"/>
    <cellStyle name="Normal 57 6 8 3" xfId="7043"/>
    <cellStyle name="Normal 57 6 8 3 2" xfId="22009"/>
    <cellStyle name="Normal 57 6 8 4" xfId="17002"/>
    <cellStyle name="Normal 57 6 9" xfId="4139"/>
    <cellStyle name="Normal 57 6 9 2" xfId="12979"/>
    <cellStyle name="Normal 57 6 9 2 2" xfId="23230"/>
    <cellStyle name="Normal 57 6 9 3" xfId="9400"/>
    <cellStyle name="Normal 57 6 9 4" xfId="18223"/>
    <cellStyle name="Normal 57 6_Degree data" xfId="3989"/>
    <cellStyle name="Normal 57 7" xfId="143"/>
    <cellStyle name="Normal 57 7 10" xfId="5658"/>
    <cellStyle name="Normal 57 7 10 2" xfId="14485"/>
    <cellStyle name="Normal 57 7 10 3" xfId="24736"/>
    <cellStyle name="Normal 57 7 11" xfId="7102"/>
    <cellStyle name="Normal 57 7 11 2" xfId="19611"/>
    <cellStyle name="Normal 57 7 12" xfId="15848"/>
    <cellStyle name="Normal 57 7 2" xfId="260"/>
    <cellStyle name="Normal 57 7 2 10" xfId="16053"/>
    <cellStyle name="Normal 57 7 2 2" xfId="583"/>
    <cellStyle name="Normal 57 7 2 2 2" xfId="3071"/>
    <cellStyle name="Normal 57 7 2 2 2 2" xfId="12234"/>
    <cellStyle name="Normal 57 7 2 2 2 2 2" xfId="22434"/>
    <cellStyle name="Normal 57 7 2 2 2 3" xfId="8656"/>
    <cellStyle name="Normal 57 7 2 2 2 4" xfId="17427"/>
    <cellStyle name="Normal 57 7 2 2 3" xfId="4704"/>
    <cellStyle name="Normal 57 7 2 2 3 2" xfId="13544"/>
    <cellStyle name="Normal 57 7 2 2 3 2 2" xfId="23795"/>
    <cellStyle name="Normal 57 7 2 2 3 3" xfId="9965"/>
    <cellStyle name="Normal 57 7 2 2 3 4" xfId="18788"/>
    <cellStyle name="Normal 57 7 2 2 4" xfId="2180"/>
    <cellStyle name="Normal 57 7 2 2 4 2" xfId="11547"/>
    <cellStyle name="Normal 57 7 2 2 4 3" xfId="21551"/>
    <cellStyle name="Normal 57 7 2 2 5" xfId="6162"/>
    <cellStyle name="Normal 57 7 2 2 5 2" xfId="14989"/>
    <cellStyle name="Normal 57 7 2 2 5 3" xfId="25240"/>
    <cellStyle name="Normal 57 7 2 2 6" xfId="7607"/>
    <cellStyle name="Normal 57 7 2 2 6 2" xfId="20033"/>
    <cellStyle name="Normal 57 7 2 2 7" xfId="16544"/>
    <cellStyle name="Normal 57 7 2 3" xfId="888"/>
    <cellStyle name="Normal 57 7 2 3 2" xfId="3375"/>
    <cellStyle name="Normal 57 7 2 3 2 2" xfId="12519"/>
    <cellStyle name="Normal 57 7 2 3 2 2 2" xfId="22738"/>
    <cellStyle name="Normal 57 7 2 3 2 3" xfId="8941"/>
    <cellStyle name="Normal 57 7 2 3 2 4" xfId="17731"/>
    <cellStyle name="Normal 57 7 2 3 3" xfId="5053"/>
    <cellStyle name="Normal 57 7 2 3 3 2" xfId="13892"/>
    <cellStyle name="Normal 57 7 2 3 3 2 2" xfId="24143"/>
    <cellStyle name="Normal 57 7 2 3 3 3" xfId="10313"/>
    <cellStyle name="Normal 57 7 2 3 3 4" xfId="19136"/>
    <cellStyle name="Normal 57 7 2 3 4" xfId="2484"/>
    <cellStyle name="Normal 57 7 2 3 4 2" xfId="11851"/>
    <cellStyle name="Normal 57 7 2 3 4 3" xfId="21855"/>
    <cellStyle name="Normal 57 7 2 3 5" xfId="6510"/>
    <cellStyle name="Normal 57 7 2 3 5 2" xfId="15337"/>
    <cellStyle name="Normal 57 7 2 3 5 3" xfId="25588"/>
    <cellStyle name="Normal 57 7 2 3 6" xfId="7956"/>
    <cellStyle name="Normal 57 7 2 3 6 2" xfId="20337"/>
    <cellStyle name="Normal 57 7 2 3 7" xfId="16848"/>
    <cellStyle name="Normal 57 7 2 4" xfId="1355"/>
    <cellStyle name="Normal 57 7 2 4 2" xfId="3786"/>
    <cellStyle name="Normal 57 7 2 4 2 2" xfId="12924"/>
    <cellStyle name="Normal 57 7 2 4 2 2 2" xfId="23143"/>
    <cellStyle name="Normal 57 7 2 4 2 3" xfId="9345"/>
    <cellStyle name="Normal 57 7 2 4 2 4" xfId="18136"/>
    <cellStyle name="Normal 57 7 2 4 3" xfId="5449"/>
    <cellStyle name="Normal 57 7 2 4 3 2" xfId="14288"/>
    <cellStyle name="Normal 57 7 2 4 3 2 2" xfId="24539"/>
    <cellStyle name="Normal 57 7 2 4 3 3" xfId="10709"/>
    <cellStyle name="Normal 57 7 2 4 3 4" xfId="19532"/>
    <cellStyle name="Normal 57 7 2 4 4" xfId="1860"/>
    <cellStyle name="Normal 57 7 2 4 4 2" xfId="11230"/>
    <cellStyle name="Normal 57 7 2 4 4 3" xfId="21234"/>
    <cellStyle name="Normal 57 7 2 4 5" xfId="6906"/>
    <cellStyle name="Normal 57 7 2 4 5 2" xfId="15733"/>
    <cellStyle name="Normal 57 7 2 4 5 3" xfId="25984"/>
    <cellStyle name="Normal 57 7 2 4 6" xfId="8352"/>
    <cellStyle name="Normal 57 7 2 4 6 2" xfId="20742"/>
    <cellStyle name="Normal 57 7 2 4 7" xfId="16227"/>
    <cellStyle name="Normal 57 7 2 5" xfId="2754"/>
    <cellStyle name="Normal 57 7 2 5 2" xfId="12073"/>
    <cellStyle name="Normal 57 7 2 5 2 2" xfId="22117"/>
    <cellStyle name="Normal 57 7 2 5 3" xfId="8643"/>
    <cellStyle name="Normal 57 7 2 5 4" xfId="17110"/>
    <cellStyle name="Normal 57 7 2 6" xfId="4405"/>
    <cellStyle name="Normal 57 7 2 6 2" xfId="13245"/>
    <cellStyle name="Normal 57 7 2 6 2 2" xfId="23496"/>
    <cellStyle name="Normal 57 7 2 6 3" xfId="9666"/>
    <cellStyle name="Normal 57 7 2 6 4" xfId="18489"/>
    <cellStyle name="Normal 57 7 2 7" xfId="1677"/>
    <cellStyle name="Normal 57 7 2 7 2" xfId="11056"/>
    <cellStyle name="Normal 57 7 2 7 3" xfId="21060"/>
    <cellStyle name="Normal 57 7 2 8" xfId="5863"/>
    <cellStyle name="Normal 57 7 2 8 2" xfId="14690"/>
    <cellStyle name="Normal 57 7 2 8 3" xfId="24941"/>
    <cellStyle name="Normal 57 7 2 9" xfId="7307"/>
    <cellStyle name="Normal 57 7 2 9 2" xfId="19716"/>
    <cellStyle name="Normal 57 7 2_Degree data" xfId="3996"/>
    <cellStyle name="Normal 57 7 3" xfId="478"/>
    <cellStyle name="Normal 57 7 3 2" xfId="889"/>
    <cellStyle name="Normal 57 7 3 2 2" xfId="3376"/>
    <cellStyle name="Normal 57 7 3 2 2 2" xfId="12520"/>
    <cellStyle name="Normal 57 7 3 2 2 2 2" xfId="22739"/>
    <cellStyle name="Normal 57 7 3 2 2 3" xfId="8942"/>
    <cellStyle name="Normal 57 7 3 2 2 4" xfId="17732"/>
    <cellStyle name="Normal 57 7 3 2 3" xfId="4705"/>
    <cellStyle name="Normal 57 7 3 2 3 2" xfId="13545"/>
    <cellStyle name="Normal 57 7 3 2 3 2 2" xfId="23796"/>
    <cellStyle name="Normal 57 7 3 2 3 3" xfId="9966"/>
    <cellStyle name="Normal 57 7 3 2 3 4" xfId="18789"/>
    <cellStyle name="Normal 57 7 3 2 4" xfId="2485"/>
    <cellStyle name="Normal 57 7 3 2 4 2" xfId="11852"/>
    <cellStyle name="Normal 57 7 3 2 4 3" xfId="21856"/>
    <cellStyle name="Normal 57 7 3 2 5" xfId="6163"/>
    <cellStyle name="Normal 57 7 3 2 5 2" xfId="14990"/>
    <cellStyle name="Normal 57 7 3 2 5 3" xfId="25241"/>
    <cellStyle name="Normal 57 7 3 2 6" xfId="7608"/>
    <cellStyle name="Normal 57 7 3 2 6 2" xfId="20338"/>
    <cellStyle name="Normal 57 7 3 2 7" xfId="16849"/>
    <cellStyle name="Normal 57 7 3 3" xfId="1250"/>
    <cellStyle name="Normal 57 7 3 3 2" xfId="3681"/>
    <cellStyle name="Normal 57 7 3 3 2 2" xfId="12819"/>
    <cellStyle name="Normal 57 7 3 3 2 2 2" xfId="23038"/>
    <cellStyle name="Normal 57 7 3 3 2 3" xfId="9240"/>
    <cellStyle name="Normal 57 7 3 3 2 4" xfId="18031"/>
    <cellStyle name="Normal 57 7 3 3 3" xfId="5054"/>
    <cellStyle name="Normal 57 7 3 3 3 2" xfId="13893"/>
    <cellStyle name="Normal 57 7 3 3 3 2 2" xfId="24144"/>
    <cellStyle name="Normal 57 7 3 3 3 3" xfId="10314"/>
    <cellStyle name="Normal 57 7 3 3 3 4" xfId="19137"/>
    <cellStyle name="Normal 57 7 3 3 4" xfId="2075"/>
    <cellStyle name="Normal 57 7 3 3 4 2" xfId="11442"/>
    <cellStyle name="Normal 57 7 3 3 4 3" xfId="21446"/>
    <cellStyle name="Normal 57 7 3 3 5" xfId="6511"/>
    <cellStyle name="Normal 57 7 3 3 5 2" xfId="15338"/>
    <cellStyle name="Normal 57 7 3 3 5 3" xfId="25589"/>
    <cellStyle name="Normal 57 7 3 3 6" xfId="7957"/>
    <cellStyle name="Normal 57 7 3 3 6 2" xfId="20637"/>
    <cellStyle name="Normal 57 7 3 3 7" xfId="16439"/>
    <cellStyle name="Normal 57 7 3 4" xfId="2966"/>
    <cellStyle name="Normal 57 7 3 4 2" xfId="5344"/>
    <cellStyle name="Normal 57 7 3 4 2 2" xfId="14183"/>
    <cellStyle name="Normal 57 7 3 4 2 2 2" xfId="24434"/>
    <cellStyle name="Normal 57 7 3 4 2 3" xfId="10604"/>
    <cellStyle name="Normal 57 7 3 4 2 4" xfId="19427"/>
    <cellStyle name="Normal 57 7 3 4 3" xfId="6801"/>
    <cellStyle name="Normal 57 7 3 4 3 2" xfId="15628"/>
    <cellStyle name="Normal 57 7 3 4 3 3" xfId="25879"/>
    <cellStyle name="Normal 57 7 3 4 4" xfId="8247"/>
    <cellStyle name="Normal 57 7 3 4 4 2" xfId="22329"/>
    <cellStyle name="Normal 57 7 3 4 5" xfId="17322"/>
    <cellStyle name="Normal 57 7 3 5" xfId="4300"/>
    <cellStyle name="Normal 57 7 3 5 2" xfId="13140"/>
    <cellStyle name="Normal 57 7 3 5 2 2" xfId="23391"/>
    <cellStyle name="Normal 57 7 3 5 3" xfId="9561"/>
    <cellStyle name="Normal 57 7 3 5 4" xfId="18384"/>
    <cellStyle name="Normal 57 7 3 6" xfId="1572"/>
    <cellStyle name="Normal 57 7 3 6 2" xfId="10951"/>
    <cellStyle name="Normal 57 7 3 6 3" xfId="20955"/>
    <cellStyle name="Normal 57 7 3 7" xfId="5758"/>
    <cellStyle name="Normal 57 7 3 7 2" xfId="14585"/>
    <cellStyle name="Normal 57 7 3 7 3" xfId="24836"/>
    <cellStyle name="Normal 57 7 3 8" xfId="7202"/>
    <cellStyle name="Normal 57 7 3 8 2" xfId="19928"/>
    <cellStyle name="Normal 57 7 3 9" xfId="15948"/>
    <cellStyle name="Normal 57 7 3_Degree data" xfId="3997"/>
    <cellStyle name="Normal 57 7 4" xfId="378"/>
    <cellStyle name="Normal 57 7 4 2" xfId="2866"/>
    <cellStyle name="Normal 57 7 4 2 2" xfId="12156"/>
    <cellStyle name="Normal 57 7 4 2 2 2" xfId="22229"/>
    <cellStyle name="Normal 57 7 4 2 3" xfId="8627"/>
    <cellStyle name="Normal 57 7 4 2 4" xfId="17222"/>
    <cellStyle name="Normal 57 7 4 3" xfId="4703"/>
    <cellStyle name="Normal 57 7 4 3 2" xfId="13543"/>
    <cellStyle name="Normal 57 7 4 3 2 2" xfId="23794"/>
    <cellStyle name="Normal 57 7 4 3 3" xfId="9964"/>
    <cellStyle name="Normal 57 7 4 3 4" xfId="18787"/>
    <cellStyle name="Normal 57 7 4 4" xfId="1975"/>
    <cellStyle name="Normal 57 7 4 4 2" xfId="11342"/>
    <cellStyle name="Normal 57 7 4 4 3" xfId="21346"/>
    <cellStyle name="Normal 57 7 4 5" xfId="6161"/>
    <cellStyle name="Normal 57 7 4 5 2" xfId="14988"/>
    <cellStyle name="Normal 57 7 4 5 3" xfId="25239"/>
    <cellStyle name="Normal 57 7 4 6" xfId="7606"/>
    <cellStyle name="Normal 57 7 4 6 2" xfId="19828"/>
    <cellStyle name="Normal 57 7 4 7" xfId="16339"/>
    <cellStyle name="Normal 57 7 5" xfId="887"/>
    <cellStyle name="Normal 57 7 5 2" xfId="3374"/>
    <cellStyle name="Normal 57 7 5 2 2" xfId="12518"/>
    <cellStyle name="Normal 57 7 5 2 2 2" xfId="22737"/>
    <cellStyle name="Normal 57 7 5 2 3" xfId="8940"/>
    <cellStyle name="Normal 57 7 5 2 4" xfId="17730"/>
    <cellStyle name="Normal 57 7 5 3" xfId="5052"/>
    <cellStyle name="Normal 57 7 5 3 2" xfId="13891"/>
    <cellStyle name="Normal 57 7 5 3 2 2" xfId="24142"/>
    <cellStyle name="Normal 57 7 5 3 3" xfId="10312"/>
    <cellStyle name="Normal 57 7 5 3 4" xfId="19135"/>
    <cellStyle name="Normal 57 7 5 4" xfId="2483"/>
    <cellStyle name="Normal 57 7 5 4 2" xfId="11850"/>
    <cellStyle name="Normal 57 7 5 4 3" xfId="21854"/>
    <cellStyle name="Normal 57 7 5 5" xfId="6509"/>
    <cellStyle name="Normal 57 7 5 5 2" xfId="15336"/>
    <cellStyle name="Normal 57 7 5 5 3" xfId="25587"/>
    <cellStyle name="Normal 57 7 5 6" xfId="7955"/>
    <cellStyle name="Normal 57 7 5 6 2" xfId="20336"/>
    <cellStyle name="Normal 57 7 5 7" xfId="16847"/>
    <cellStyle name="Normal 57 7 6" xfId="1150"/>
    <cellStyle name="Normal 57 7 6 2" xfId="3581"/>
    <cellStyle name="Normal 57 7 6 2 2" xfId="12719"/>
    <cellStyle name="Normal 57 7 6 2 2 2" xfId="22938"/>
    <cellStyle name="Normal 57 7 6 2 3" xfId="9140"/>
    <cellStyle name="Normal 57 7 6 2 4" xfId="17931"/>
    <cellStyle name="Normal 57 7 6 3" xfId="5244"/>
    <cellStyle name="Normal 57 7 6 3 2" xfId="14083"/>
    <cellStyle name="Normal 57 7 6 3 2 2" xfId="24334"/>
    <cellStyle name="Normal 57 7 6 3 3" xfId="10504"/>
    <cellStyle name="Normal 57 7 6 3 4" xfId="19327"/>
    <cellStyle name="Normal 57 7 6 4" xfId="1751"/>
    <cellStyle name="Normal 57 7 6 4 2" xfId="11124"/>
    <cellStyle name="Normal 57 7 6 4 3" xfId="21128"/>
    <cellStyle name="Normal 57 7 6 5" xfId="6701"/>
    <cellStyle name="Normal 57 7 6 5 2" xfId="15528"/>
    <cellStyle name="Normal 57 7 6 5 3" xfId="25779"/>
    <cellStyle name="Normal 57 7 6 6" xfId="8147"/>
    <cellStyle name="Normal 57 7 6 6 2" xfId="20537"/>
    <cellStyle name="Normal 57 7 6 7" xfId="16121"/>
    <cellStyle name="Normal 57 7 7" xfId="2649"/>
    <cellStyle name="Normal 57 7 7 2" xfId="11983"/>
    <cellStyle name="Normal 57 7 7 2 2" xfId="22012"/>
    <cellStyle name="Normal 57 7 7 3" xfId="8403"/>
    <cellStyle name="Normal 57 7 7 4" xfId="17005"/>
    <cellStyle name="Normal 57 7 8" xfId="4200"/>
    <cellStyle name="Normal 57 7 8 2" xfId="13040"/>
    <cellStyle name="Normal 57 7 8 2 2" xfId="23291"/>
    <cellStyle name="Normal 57 7 8 3" xfId="9461"/>
    <cellStyle name="Normal 57 7 8 4" xfId="18284"/>
    <cellStyle name="Normal 57 7 9" xfId="1472"/>
    <cellStyle name="Normal 57 7 9 2" xfId="10851"/>
    <cellStyle name="Normal 57 7 9 3" xfId="20855"/>
    <cellStyle name="Normal 57 7_Degree data" xfId="3995"/>
    <cellStyle name="Normal 57 8" xfId="180"/>
    <cellStyle name="Normal 57 8 10" xfId="7132"/>
    <cellStyle name="Normal 57 8 10 2" xfId="19641"/>
    <cellStyle name="Normal 57 8 11" xfId="15878"/>
    <cellStyle name="Normal 57 8 2" xfId="508"/>
    <cellStyle name="Normal 57 8 2 2" xfId="891"/>
    <cellStyle name="Normal 57 8 2 2 2" xfId="3378"/>
    <cellStyle name="Normal 57 8 2 2 2 2" xfId="12522"/>
    <cellStyle name="Normal 57 8 2 2 2 2 2" xfId="22741"/>
    <cellStyle name="Normal 57 8 2 2 2 3" xfId="8944"/>
    <cellStyle name="Normal 57 8 2 2 2 4" xfId="17734"/>
    <cellStyle name="Normal 57 8 2 2 3" xfId="4707"/>
    <cellStyle name="Normal 57 8 2 2 3 2" xfId="13547"/>
    <cellStyle name="Normal 57 8 2 2 3 2 2" xfId="23798"/>
    <cellStyle name="Normal 57 8 2 2 3 3" xfId="9968"/>
    <cellStyle name="Normal 57 8 2 2 3 4" xfId="18791"/>
    <cellStyle name="Normal 57 8 2 2 4" xfId="2487"/>
    <cellStyle name="Normal 57 8 2 2 4 2" xfId="11854"/>
    <cellStyle name="Normal 57 8 2 2 4 3" xfId="21858"/>
    <cellStyle name="Normal 57 8 2 2 5" xfId="6165"/>
    <cellStyle name="Normal 57 8 2 2 5 2" xfId="14992"/>
    <cellStyle name="Normal 57 8 2 2 5 3" xfId="25243"/>
    <cellStyle name="Normal 57 8 2 2 6" xfId="7610"/>
    <cellStyle name="Normal 57 8 2 2 6 2" xfId="20340"/>
    <cellStyle name="Normal 57 8 2 2 7" xfId="16851"/>
    <cellStyle name="Normal 57 8 2 3" xfId="1280"/>
    <cellStyle name="Normal 57 8 2 3 2" xfId="3711"/>
    <cellStyle name="Normal 57 8 2 3 2 2" xfId="12849"/>
    <cellStyle name="Normal 57 8 2 3 2 2 2" xfId="23068"/>
    <cellStyle name="Normal 57 8 2 3 2 3" xfId="9270"/>
    <cellStyle name="Normal 57 8 2 3 2 4" xfId="18061"/>
    <cellStyle name="Normal 57 8 2 3 3" xfId="5056"/>
    <cellStyle name="Normal 57 8 2 3 3 2" xfId="13895"/>
    <cellStyle name="Normal 57 8 2 3 3 2 2" xfId="24146"/>
    <cellStyle name="Normal 57 8 2 3 3 3" xfId="10316"/>
    <cellStyle name="Normal 57 8 2 3 3 4" xfId="19139"/>
    <cellStyle name="Normal 57 8 2 3 4" xfId="2105"/>
    <cellStyle name="Normal 57 8 2 3 4 2" xfId="11472"/>
    <cellStyle name="Normal 57 8 2 3 4 3" xfId="21476"/>
    <cellStyle name="Normal 57 8 2 3 5" xfId="6513"/>
    <cellStyle name="Normal 57 8 2 3 5 2" xfId="15340"/>
    <cellStyle name="Normal 57 8 2 3 5 3" xfId="25591"/>
    <cellStyle name="Normal 57 8 2 3 6" xfId="7959"/>
    <cellStyle name="Normal 57 8 2 3 6 2" xfId="20667"/>
    <cellStyle name="Normal 57 8 2 3 7" xfId="16469"/>
    <cellStyle name="Normal 57 8 2 4" xfId="2996"/>
    <cellStyle name="Normal 57 8 2 4 2" xfId="5374"/>
    <cellStyle name="Normal 57 8 2 4 2 2" xfId="14213"/>
    <cellStyle name="Normal 57 8 2 4 2 2 2" xfId="24464"/>
    <cellStyle name="Normal 57 8 2 4 2 3" xfId="10634"/>
    <cellStyle name="Normal 57 8 2 4 2 4" xfId="19457"/>
    <cellStyle name="Normal 57 8 2 4 3" xfId="6831"/>
    <cellStyle name="Normal 57 8 2 4 3 2" xfId="15658"/>
    <cellStyle name="Normal 57 8 2 4 3 3" xfId="25909"/>
    <cellStyle name="Normal 57 8 2 4 4" xfId="8277"/>
    <cellStyle name="Normal 57 8 2 4 4 2" xfId="22359"/>
    <cellStyle name="Normal 57 8 2 4 5" xfId="17352"/>
    <cellStyle name="Normal 57 8 2 5" xfId="4330"/>
    <cellStyle name="Normal 57 8 2 5 2" xfId="13170"/>
    <cellStyle name="Normal 57 8 2 5 2 2" xfId="23421"/>
    <cellStyle name="Normal 57 8 2 5 3" xfId="9591"/>
    <cellStyle name="Normal 57 8 2 5 4" xfId="18414"/>
    <cellStyle name="Normal 57 8 2 6" xfId="1602"/>
    <cellStyle name="Normal 57 8 2 6 2" xfId="10981"/>
    <cellStyle name="Normal 57 8 2 6 3" xfId="20985"/>
    <cellStyle name="Normal 57 8 2 7" xfId="5788"/>
    <cellStyle name="Normal 57 8 2 7 2" xfId="14615"/>
    <cellStyle name="Normal 57 8 2 7 3" xfId="24866"/>
    <cellStyle name="Normal 57 8 2 8" xfId="7232"/>
    <cellStyle name="Normal 57 8 2 8 2" xfId="19958"/>
    <cellStyle name="Normal 57 8 2 9" xfId="15978"/>
    <cellStyle name="Normal 57 8 2_Degree data" xfId="3999"/>
    <cellStyle name="Normal 57 8 3" xfId="408"/>
    <cellStyle name="Normal 57 8 3 2" xfId="2896"/>
    <cellStyle name="Normal 57 8 3 2 2" xfId="12186"/>
    <cellStyle name="Normal 57 8 3 2 2 2" xfId="22259"/>
    <cellStyle name="Normal 57 8 3 2 3" xfId="8452"/>
    <cellStyle name="Normal 57 8 3 2 4" xfId="17252"/>
    <cellStyle name="Normal 57 8 3 3" xfId="4706"/>
    <cellStyle name="Normal 57 8 3 3 2" xfId="13546"/>
    <cellStyle name="Normal 57 8 3 3 2 2" xfId="23797"/>
    <cellStyle name="Normal 57 8 3 3 3" xfId="9967"/>
    <cellStyle name="Normal 57 8 3 3 4" xfId="18790"/>
    <cellStyle name="Normal 57 8 3 4" xfId="2005"/>
    <cellStyle name="Normal 57 8 3 4 2" xfId="11372"/>
    <cellStyle name="Normal 57 8 3 4 3" xfId="21376"/>
    <cellStyle name="Normal 57 8 3 5" xfId="6164"/>
    <cellStyle name="Normal 57 8 3 5 2" xfId="14991"/>
    <cellStyle name="Normal 57 8 3 5 3" xfId="25242"/>
    <cellStyle name="Normal 57 8 3 6" xfId="7609"/>
    <cellStyle name="Normal 57 8 3 6 2" xfId="19858"/>
    <cellStyle name="Normal 57 8 3 7" xfId="16369"/>
    <cellStyle name="Normal 57 8 4" xfId="890"/>
    <cellStyle name="Normal 57 8 4 2" xfId="3377"/>
    <cellStyle name="Normal 57 8 4 2 2" xfId="12521"/>
    <cellStyle name="Normal 57 8 4 2 2 2" xfId="22740"/>
    <cellStyle name="Normal 57 8 4 2 3" xfId="8943"/>
    <cellStyle name="Normal 57 8 4 2 4" xfId="17733"/>
    <cellStyle name="Normal 57 8 4 3" xfId="5055"/>
    <cellStyle name="Normal 57 8 4 3 2" xfId="13894"/>
    <cellStyle name="Normal 57 8 4 3 2 2" xfId="24145"/>
    <cellStyle name="Normal 57 8 4 3 3" xfId="10315"/>
    <cellStyle name="Normal 57 8 4 3 4" xfId="19138"/>
    <cellStyle name="Normal 57 8 4 4" xfId="2486"/>
    <cellStyle name="Normal 57 8 4 4 2" xfId="11853"/>
    <cellStyle name="Normal 57 8 4 4 3" xfId="21857"/>
    <cellStyle name="Normal 57 8 4 5" xfId="6512"/>
    <cellStyle name="Normal 57 8 4 5 2" xfId="15339"/>
    <cellStyle name="Normal 57 8 4 5 3" xfId="25590"/>
    <cellStyle name="Normal 57 8 4 6" xfId="7958"/>
    <cellStyle name="Normal 57 8 4 6 2" xfId="20339"/>
    <cellStyle name="Normal 57 8 4 7" xfId="16850"/>
    <cellStyle name="Normal 57 8 5" xfId="1180"/>
    <cellStyle name="Normal 57 8 5 2" xfId="3611"/>
    <cellStyle name="Normal 57 8 5 2 2" xfId="12749"/>
    <cellStyle name="Normal 57 8 5 2 2 2" xfId="22968"/>
    <cellStyle name="Normal 57 8 5 2 3" xfId="9170"/>
    <cellStyle name="Normal 57 8 5 2 4" xfId="17961"/>
    <cellStyle name="Normal 57 8 5 3" xfId="5274"/>
    <cellStyle name="Normal 57 8 5 3 2" xfId="14113"/>
    <cellStyle name="Normal 57 8 5 3 2 2" xfId="24364"/>
    <cellStyle name="Normal 57 8 5 3 3" xfId="10534"/>
    <cellStyle name="Normal 57 8 5 3 4" xfId="19357"/>
    <cellStyle name="Normal 57 8 5 4" xfId="1784"/>
    <cellStyle name="Normal 57 8 5 4 2" xfId="11155"/>
    <cellStyle name="Normal 57 8 5 4 3" xfId="21159"/>
    <cellStyle name="Normal 57 8 5 5" xfId="6731"/>
    <cellStyle name="Normal 57 8 5 5 2" xfId="15558"/>
    <cellStyle name="Normal 57 8 5 5 3" xfId="25809"/>
    <cellStyle name="Normal 57 8 5 6" xfId="8177"/>
    <cellStyle name="Normal 57 8 5 6 2" xfId="20567"/>
    <cellStyle name="Normal 57 8 5 7" xfId="16152"/>
    <cellStyle name="Normal 57 8 6" xfId="2679"/>
    <cellStyle name="Normal 57 8 6 2" xfId="11998"/>
    <cellStyle name="Normal 57 8 6 2 2" xfId="22042"/>
    <cellStyle name="Normal 57 8 6 3" xfId="8582"/>
    <cellStyle name="Normal 57 8 6 4" xfId="17035"/>
    <cellStyle name="Normal 57 8 7" xfId="4230"/>
    <cellStyle name="Normal 57 8 7 2" xfId="13070"/>
    <cellStyle name="Normal 57 8 7 2 2" xfId="23321"/>
    <cellStyle name="Normal 57 8 7 3" xfId="9491"/>
    <cellStyle name="Normal 57 8 7 4" xfId="18314"/>
    <cellStyle name="Normal 57 8 8" xfId="1502"/>
    <cellStyle name="Normal 57 8 8 2" xfId="10881"/>
    <cellStyle name="Normal 57 8 8 3" xfId="20885"/>
    <cellStyle name="Normal 57 8 9" xfId="5688"/>
    <cellStyle name="Normal 57 8 9 2" xfId="14515"/>
    <cellStyle name="Normal 57 8 9 3" xfId="24766"/>
    <cellStyle name="Normal 57 8_Degree data" xfId="3998"/>
    <cellStyle name="Normal 57 9" xfId="233"/>
    <cellStyle name="Normal 57 9 10" xfId="7075"/>
    <cellStyle name="Normal 57 9 10 2" xfId="19689"/>
    <cellStyle name="Normal 57 9 11" xfId="15821"/>
    <cellStyle name="Normal 57 9 2" xfId="556"/>
    <cellStyle name="Normal 57 9 2 2" xfId="893"/>
    <cellStyle name="Normal 57 9 2 2 2" xfId="3380"/>
    <cellStyle name="Normal 57 9 2 2 2 2" xfId="12524"/>
    <cellStyle name="Normal 57 9 2 2 2 2 2" xfId="22743"/>
    <cellStyle name="Normal 57 9 2 2 2 3" xfId="8946"/>
    <cellStyle name="Normal 57 9 2 2 2 4" xfId="17736"/>
    <cellStyle name="Normal 57 9 2 2 3" xfId="4709"/>
    <cellStyle name="Normal 57 9 2 2 3 2" xfId="13549"/>
    <cellStyle name="Normal 57 9 2 2 3 2 2" xfId="23800"/>
    <cellStyle name="Normal 57 9 2 2 3 3" xfId="9970"/>
    <cellStyle name="Normal 57 9 2 2 3 4" xfId="18793"/>
    <cellStyle name="Normal 57 9 2 2 4" xfId="2489"/>
    <cellStyle name="Normal 57 9 2 2 4 2" xfId="11856"/>
    <cellStyle name="Normal 57 9 2 2 4 3" xfId="21860"/>
    <cellStyle name="Normal 57 9 2 2 5" xfId="6167"/>
    <cellStyle name="Normal 57 9 2 2 5 2" xfId="14994"/>
    <cellStyle name="Normal 57 9 2 2 5 3" xfId="25245"/>
    <cellStyle name="Normal 57 9 2 2 6" xfId="7612"/>
    <cellStyle name="Normal 57 9 2 2 6 2" xfId="20342"/>
    <cellStyle name="Normal 57 9 2 2 7" xfId="16853"/>
    <cellStyle name="Normal 57 9 2 3" xfId="1328"/>
    <cellStyle name="Normal 57 9 2 3 2" xfId="3759"/>
    <cellStyle name="Normal 57 9 2 3 2 2" xfId="12897"/>
    <cellStyle name="Normal 57 9 2 3 2 2 2" xfId="23116"/>
    <cellStyle name="Normal 57 9 2 3 2 3" xfId="9318"/>
    <cellStyle name="Normal 57 9 2 3 2 4" xfId="18109"/>
    <cellStyle name="Normal 57 9 2 3 3" xfId="5058"/>
    <cellStyle name="Normal 57 9 2 3 3 2" xfId="13897"/>
    <cellStyle name="Normal 57 9 2 3 3 2 2" xfId="24148"/>
    <cellStyle name="Normal 57 9 2 3 3 3" xfId="10318"/>
    <cellStyle name="Normal 57 9 2 3 3 4" xfId="19141"/>
    <cellStyle name="Normal 57 9 2 3 4" xfId="2153"/>
    <cellStyle name="Normal 57 9 2 3 4 2" xfId="11520"/>
    <cellStyle name="Normal 57 9 2 3 4 3" xfId="21524"/>
    <cellStyle name="Normal 57 9 2 3 5" xfId="6515"/>
    <cellStyle name="Normal 57 9 2 3 5 2" xfId="15342"/>
    <cellStyle name="Normal 57 9 2 3 5 3" xfId="25593"/>
    <cellStyle name="Normal 57 9 2 3 6" xfId="7961"/>
    <cellStyle name="Normal 57 9 2 3 6 2" xfId="20715"/>
    <cellStyle name="Normal 57 9 2 3 7" xfId="16517"/>
    <cellStyle name="Normal 57 9 2 4" xfId="3044"/>
    <cellStyle name="Normal 57 9 2 4 2" xfId="5422"/>
    <cellStyle name="Normal 57 9 2 4 2 2" xfId="14261"/>
    <cellStyle name="Normal 57 9 2 4 2 2 2" xfId="24512"/>
    <cellStyle name="Normal 57 9 2 4 2 3" xfId="10682"/>
    <cellStyle name="Normal 57 9 2 4 2 4" xfId="19505"/>
    <cellStyle name="Normal 57 9 2 4 3" xfId="6879"/>
    <cellStyle name="Normal 57 9 2 4 3 2" xfId="15706"/>
    <cellStyle name="Normal 57 9 2 4 3 3" xfId="25957"/>
    <cellStyle name="Normal 57 9 2 4 4" xfId="8325"/>
    <cellStyle name="Normal 57 9 2 4 4 2" xfId="22407"/>
    <cellStyle name="Normal 57 9 2 4 5" xfId="17400"/>
    <cellStyle name="Normal 57 9 2 5" xfId="4378"/>
    <cellStyle name="Normal 57 9 2 5 2" xfId="13218"/>
    <cellStyle name="Normal 57 9 2 5 2 2" xfId="23469"/>
    <cellStyle name="Normal 57 9 2 5 3" xfId="9639"/>
    <cellStyle name="Normal 57 9 2 5 4" xfId="18462"/>
    <cellStyle name="Normal 57 9 2 6" xfId="1650"/>
    <cellStyle name="Normal 57 9 2 6 2" xfId="11029"/>
    <cellStyle name="Normal 57 9 2 6 3" xfId="21033"/>
    <cellStyle name="Normal 57 9 2 7" xfId="5836"/>
    <cellStyle name="Normal 57 9 2 7 2" xfId="14663"/>
    <cellStyle name="Normal 57 9 2 7 3" xfId="24914"/>
    <cellStyle name="Normal 57 9 2 8" xfId="7280"/>
    <cellStyle name="Normal 57 9 2 8 2" xfId="20006"/>
    <cellStyle name="Normal 57 9 2 9" xfId="16026"/>
    <cellStyle name="Normal 57 9 2_Degree data" xfId="4001"/>
    <cellStyle name="Normal 57 9 3" xfId="351"/>
    <cellStyle name="Normal 57 9 3 2" xfId="2839"/>
    <cellStyle name="Normal 57 9 3 2 2" xfId="12129"/>
    <cellStyle name="Normal 57 9 3 2 2 2" xfId="22202"/>
    <cellStyle name="Normal 57 9 3 2 3" xfId="8482"/>
    <cellStyle name="Normal 57 9 3 2 4" xfId="17195"/>
    <cellStyle name="Normal 57 9 3 3" xfId="4708"/>
    <cellStyle name="Normal 57 9 3 3 2" xfId="13548"/>
    <cellStyle name="Normal 57 9 3 3 2 2" xfId="23799"/>
    <cellStyle name="Normal 57 9 3 3 3" xfId="9969"/>
    <cellStyle name="Normal 57 9 3 3 4" xfId="18792"/>
    <cellStyle name="Normal 57 9 3 4" xfId="1948"/>
    <cellStyle name="Normal 57 9 3 4 2" xfId="11315"/>
    <cellStyle name="Normal 57 9 3 4 3" xfId="21319"/>
    <cellStyle name="Normal 57 9 3 5" xfId="6166"/>
    <cellStyle name="Normal 57 9 3 5 2" xfId="14993"/>
    <cellStyle name="Normal 57 9 3 5 3" xfId="25244"/>
    <cellStyle name="Normal 57 9 3 6" xfId="7611"/>
    <cellStyle name="Normal 57 9 3 6 2" xfId="19801"/>
    <cellStyle name="Normal 57 9 3 7" xfId="16312"/>
    <cellStyle name="Normal 57 9 4" xfId="892"/>
    <cellStyle name="Normal 57 9 4 2" xfId="3379"/>
    <cellStyle name="Normal 57 9 4 2 2" xfId="12523"/>
    <cellStyle name="Normal 57 9 4 2 2 2" xfId="22742"/>
    <cellStyle name="Normal 57 9 4 2 3" xfId="8945"/>
    <cellStyle name="Normal 57 9 4 2 4" xfId="17735"/>
    <cellStyle name="Normal 57 9 4 3" xfId="5057"/>
    <cellStyle name="Normal 57 9 4 3 2" xfId="13896"/>
    <cellStyle name="Normal 57 9 4 3 2 2" xfId="24147"/>
    <cellStyle name="Normal 57 9 4 3 3" xfId="10317"/>
    <cellStyle name="Normal 57 9 4 3 4" xfId="19140"/>
    <cellStyle name="Normal 57 9 4 4" xfId="2488"/>
    <cellStyle name="Normal 57 9 4 4 2" xfId="11855"/>
    <cellStyle name="Normal 57 9 4 4 3" xfId="21859"/>
    <cellStyle name="Normal 57 9 4 5" xfId="6514"/>
    <cellStyle name="Normal 57 9 4 5 2" xfId="15341"/>
    <cellStyle name="Normal 57 9 4 5 3" xfId="25592"/>
    <cellStyle name="Normal 57 9 4 6" xfId="7960"/>
    <cellStyle name="Normal 57 9 4 6 2" xfId="20341"/>
    <cellStyle name="Normal 57 9 4 7" xfId="16852"/>
    <cellStyle name="Normal 57 9 5" xfId="1123"/>
    <cellStyle name="Normal 57 9 5 2" xfId="3554"/>
    <cellStyle name="Normal 57 9 5 2 2" xfId="12692"/>
    <cellStyle name="Normal 57 9 5 2 2 2" xfId="22911"/>
    <cellStyle name="Normal 57 9 5 2 3" xfId="9113"/>
    <cellStyle name="Normal 57 9 5 2 4" xfId="17904"/>
    <cellStyle name="Normal 57 9 5 3" xfId="5217"/>
    <cellStyle name="Normal 57 9 5 3 2" xfId="14056"/>
    <cellStyle name="Normal 57 9 5 3 2 2" xfId="24307"/>
    <cellStyle name="Normal 57 9 5 3 3" xfId="10477"/>
    <cellStyle name="Normal 57 9 5 3 4" xfId="19300"/>
    <cellStyle name="Normal 57 9 5 4" xfId="1833"/>
    <cellStyle name="Normal 57 9 5 4 2" xfId="11203"/>
    <cellStyle name="Normal 57 9 5 4 3" xfId="21207"/>
    <cellStyle name="Normal 57 9 5 5" xfId="6674"/>
    <cellStyle name="Normal 57 9 5 5 2" xfId="15501"/>
    <cellStyle name="Normal 57 9 5 5 3" xfId="25752"/>
    <cellStyle name="Normal 57 9 5 6" xfId="8120"/>
    <cellStyle name="Normal 57 9 5 6 2" xfId="20510"/>
    <cellStyle name="Normal 57 9 5 7" xfId="16200"/>
    <cellStyle name="Normal 57 9 6" xfId="2727"/>
    <cellStyle name="Normal 57 9 6 2" xfId="12046"/>
    <cellStyle name="Normal 57 9 6 2 2" xfId="22090"/>
    <cellStyle name="Normal 57 9 6 3" xfId="8628"/>
    <cellStyle name="Normal 57 9 6 4" xfId="17083"/>
    <cellStyle name="Normal 57 9 7" xfId="4173"/>
    <cellStyle name="Normal 57 9 7 2" xfId="13013"/>
    <cellStyle name="Normal 57 9 7 2 2" xfId="23264"/>
    <cellStyle name="Normal 57 9 7 3" xfId="9434"/>
    <cellStyle name="Normal 57 9 7 4" xfId="18257"/>
    <cellStyle name="Normal 57 9 8" xfId="1445"/>
    <cellStyle name="Normal 57 9 8 2" xfId="10824"/>
    <cellStyle name="Normal 57 9 8 3" xfId="20828"/>
    <cellStyle name="Normal 57 9 9" xfId="5631"/>
    <cellStyle name="Normal 57 9 9 2" xfId="14458"/>
    <cellStyle name="Normal 57 9 9 3" xfId="24709"/>
    <cellStyle name="Normal 57 9_Degree data" xfId="4000"/>
    <cellStyle name="Normal 57_Degree data" xfId="3944"/>
    <cellStyle name="Normal 58" xfId="49"/>
    <cellStyle name="Normal 58 10" xfId="452"/>
    <cellStyle name="Normal 58 10 2" xfId="895"/>
    <cellStyle name="Normal 58 10 2 2" xfId="3382"/>
    <cellStyle name="Normal 58 10 2 2 2" xfId="12526"/>
    <cellStyle name="Normal 58 10 2 2 2 2" xfId="22745"/>
    <cellStyle name="Normal 58 10 2 2 3" xfId="8948"/>
    <cellStyle name="Normal 58 10 2 2 4" xfId="17738"/>
    <cellStyle name="Normal 58 10 2 3" xfId="4711"/>
    <cellStyle name="Normal 58 10 2 3 2" xfId="13551"/>
    <cellStyle name="Normal 58 10 2 3 2 2" xfId="23802"/>
    <cellStyle name="Normal 58 10 2 3 3" xfId="9972"/>
    <cellStyle name="Normal 58 10 2 3 4" xfId="18795"/>
    <cellStyle name="Normal 58 10 2 4" xfId="2491"/>
    <cellStyle name="Normal 58 10 2 4 2" xfId="11858"/>
    <cellStyle name="Normal 58 10 2 4 3" xfId="21862"/>
    <cellStyle name="Normal 58 10 2 5" xfId="6169"/>
    <cellStyle name="Normal 58 10 2 5 2" xfId="14996"/>
    <cellStyle name="Normal 58 10 2 5 3" xfId="25247"/>
    <cellStyle name="Normal 58 10 2 6" xfId="7614"/>
    <cellStyle name="Normal 58 10 2 6 2" xfId="20344"/>
    <cellStyle name="Normal 58 10 2 7" xfId="16855"/>
    <cellStyle name="Normal 58 10 3" xfId="1224"/>
    <cellStyle name="Normal 58 10 3 2" xfId="3655"/>
    <cellStyle name="Normal 58 10 3 2 2" xfId="12793"/>
    <cellStyle name="Normal 58 10 3 2 2 2" xfId="23012"/>
    <cellStyle name="Normal 58 10 3 2 3" xfId="9214"/>
    <cellStyle name="Normal 58 10 3 2 4" xfId="18005"/>
    <cellStyle name="Normal 58 10 3 3" xfId="5060"/>
    <cellStyle name="Normal 58 10 3 3 2" xfId="13899"/>
    <cellStyle name="Normal 58 10 3 3 2 2" xfId="24150"/>
    <cellStyle name="Normal 58 10 3 3 3" xfId="10320"/>
    <cellStyle name="Normal 58 10 3 3 4" xfId="19143"/>
    <cellStyle name="Normal 58 10 3 4" xfId="2049"/>
    <cellStyle name="Normal 58 10 3 4 2" xfId="11416"/>
    <cellStyle name="Normal 58 10 3 4 3" xfId="21420"/>
    <cellStyle name="Normal 58 10 3 5" xfId="6517"/>
    <cellStyle name="Normal 58 10 3 5 2" xfId="15344"/>
    <cellStyle name="Normal 58 10 3 5 3" xfId="25595"/>
    <cellStyle name="Normal 58 10 3 6" xfId="7963"/>
    <cellStyle name="Normal 58 10 3 6 2" xfId="20611"/>
    <cellStyle name="Normal 58 10 3 7" xfId="16413"/>
    <cellStyle name="Normal 58 10 4" xfId="2940"/>
    <cellStyle name="Normal 58 10 4 2" xfId="5318"/>
    <cellStyle name="Normal 58 10 4 2 2" xfId="14157"/>
    <cellStyle name="Normal 58 10 4 2 2 2" xfId="24408"/>
    <cellStyle name="Normal 58 10 4 2 3" xfId="10578"/>
    <cellStyle name="Normal 58 10 4 2 4" xfId="19401"/>
    <cellStyle name="Normal 58 10 4 3" xfId="6775"/>
    <cellStyle name="Normal 58 10 4 3 2" xfId="15602"/>
    <cellStyle name="Normal 58 10 4 3 3" xfId="25853"/>
    <cellStyle name="Normal 58 10 4 4" xfId="8221"/>
    <cellStyle name="Normal 58 10 4 4 2" xfId="22303"/>
    <cellStyle name="Normal 58 10 4 5" xfId="17296"/>
    <cellStyle name="Normal 58 10 5" xfId="4274"/>
    <cellStyle name="Normal 58 10 5 2" xfId="13114"/>
    <cellStyle name="Normal 58 10 5 2 2" xfId="23365"/>
    <cellStyle name="Normal 58 10 5 3" xfId="9535"/>
    <cellStyle name="Normal 58 10 5 4" xfId="18358"/>
    <cellStyle name="Normal 58 10 6" xfId="1546"/>
    <cellStyle name="Normal 58 10 6 2" xfId="10925"/>
    <cellStyle name="Normal 58 10 6 3" xfId="20929"/>
    <cellStyle name="Normal 58 10 7" xfId="5732"/>
    <cellStyle name="Normal 58 10 7 2" xfId="14559"/>
    <cellStyle name="Normal 58 10 7 3" xfId="24810"/>
    <cellStyle name="Normal 58 10 8" xfId="7176"/>
    <cellStyle name="Normal 58 10 8 2" xfId="19902"/>
    <cellStyle name="Normal 58 10 9" xfId="15922"/>
    <cellStyle name="Normal 58 10_Degree data" xfId="4003"/>
    <cellStyle name="Normal 58 11" xfId="308"/>
    <cellStyle name="Normal 58 11 2" xfId="896"/>
    <cellStyle name="Normal 58 11 2 2" xfId="3383"/>
    <cellStyle name="Normal 58 11 2 2 2" xfId="12527"/>
    <cellStyle name="Normal 58 11 2 2 2 2" xfId="22746"/>
    <cellStyle name="Normal 58 11 2 2 3" xfId="8949"/>
    <cellStyle name="Normal 58 11 2 2 4" xfId="17739"/>
    <cellStyle name="Normal 58 11 2 3" xfId="4712"/>
    <cellStyle name="Normal 58 11 2 3 2" xfId="13552"/>
    <cellStyle name="Normal 58 11 2 3 2 2" xfId="23803"/>
    <cellStyle name="Normal 58 11 2 3 3" xfId="9973"/>
    <cellStyle name="Normal 58 11 2 3 4" xfId="18796"/>
    <cellStyle name="Normal 58 11 2 4" xfId="2492"/>
    <cellStyle name="Normal 58 11 2 4 2" xfId="11859"/>
    <cellStyle name="Normal 58 11 2 4 3" xfId="21863"/>
    <cellStyle name="Normal 58 11 2 5" xfId="6170"/>
    <cellStyle name="Normal 58 11 2 5 2" xfId="14997"/>
    <cellStyle name="Normal 58 11 2 5 3" xfId="25248"/>
    <cellStyle name="Normal 58 11 2 6" xfId="7615"/>
    <cellStyle name="Normal 58 11 2 6 2" xfId="20345"/>
    <cellStyle name="Normal 58 11 2 7" xfId="16856"/>
    <cellStyle name="Normal 58 11 3" xfId="1080"/>
    <cellStyle name="Normal 58 11 3 2" xfId="3511"/>
    <cellStyle name="Normal 58 11 3 2 2" xfId="12649"/>
    <cellStyle name="Normal 58 11 3 2 2 2" xfId="22868"/>
    <cellStyle name="Normal 58 11 3 2 3" xfId="9071"/>
    <cellStyle name="Normal 58 11 3 2 4" xfId="17861"/>
    <cellStyle name="Normal 58 11 3 3" xfId="5061"/>
    <cellStyle name="Normal 58 11 3 3 2" xfId="13900"/>
    <cellStyle name="Normal 58 11 3 3 2 2" xfId="24151"/>
    <cellStyle name="Normal 58 11 3 3 3" xfId="10321"/>
    <cellStyle name="Normal 58 11 3 3 4" xfId="19144"/>
    <cellStyle name="Normal 58 11 3 4" xfId="2607"/>
    <cellStyle name="Normal 58 11 3 4 2" xfId="11973"/>
    <cellStyle name="Normal 58 11 3 4 3" xfId="21977"/>
    <cellStyle name="Normal 58 11 3 5" xfId="6518"/>
    <cellStyle name="Normal 58 11 3 5 2" xfId="15345"/>
    <cellStyle name="Normal 58 11 3 5 3" xfId="25596"/>
    <cellStyle name="Normal 58 11 3 6" xfId="7964"/>
    <cellStyle name="Normal 58 11 3 6 2" xfId="20467"/>
    <cellStyle name="Normal 58 11 3 7" xfId="16970"/>
    <cellStyle name="Normal 58 11 4" xfId="2796"/>
    <cellStyle name="Normal 58 11 4 2" xfId="5174"/>
    <cellStyle name="Normal 58 11 4 2 2" xfId="14013"/>
    <cellStyle name="Normal 58 11 4 2 2 2" xfId="24264"/>
    <cellStyle name="Normal 58 11 4 2 3" xfId="10434"/>
    <cellStyle name="Normal 58 11 4 2 4" xfId="19257"/>
    <cellStyle name="Normal 58 11 4 3" xfId="6631"/>
    <cellStyle name="Normal 58 11 4 3 2" xfId="15458"/>
    <cellStyle name="Normal 58 11 4 3 3" xfId="25709"/>
    <cellStyle name="Normal 58 11 4 4" xfId="8077"/>
    <cellStyle name="Normal 58 11 4 4 2" xfId="22159"/>
    <cellStyle name="Normal 58 11 4 5" xfId="17152"/>
    <cellStyle name="Normal 58 11 5" xfId="4128"/>
    <cellStyle name="Normal 58 11 5 2" xfId="12968"/>
    <cellStyle name="Normal 58 11 5 2 2" xfId="23219"/>
    <cellStyle name="Normal 58 11 5 3" xfId="9389"/>
    <cellStyle name="Normal 58 11 5 4" xfId="18212"/>
    <cellStyle name="Normal 58 11 6" xfId="1905"/>
    <cellStyle name="Normal 58 11 6 2" xfId="11272"/>
    <cellStyle name="Normal 58 11 6 3" xfId="21276"/>
    <cellStyle name="Normal 58 11 7" xfId="5588"/>
    <cellStyle name="Normal 58 11 7 2" xfId="14415"/>
    <cellStyle name="Normal 58 11 7 3" xfId="24666"/>
    <cellStyle name="Normal 58 11 8" xfId="7032"/>
    <cellStyle name="Normal 58 11 8 2" xfId="19758"/>
    <cellStyle name="Normal 58 11 9" xfId="16269"/>
    <cellStyle name="Normal 58 11_Degree data" xfId="4004"/>
    <cellStyle name="Normal 58 12" xfId="894"/>
    <cellStyle name="Normal 58 12 2" xfId="3381"/>
    <cellStyle name="Normal 58 12 2 2" xfId="12525"/>
    <cellStyle name="Normal 58 12 2 2 2" xfId="22744"/>
    <cellStyle name="Normal 58 12 2 3" xfId="8947"/>
    <cellStyle name="Normal 58 12 2 4" xfId="17737"/>
    <cellStyle name="Normal 58 12 3" xfId="4710"/>
    <cellStyle name="Normal 58 12 3 2" xfId="13550"/>
    <cellStyle name="Normal 58 12 3 2 2" xfId="23801"/>
    <cellStyle name="Normal 58 12 3 3" xfId="9971"/>
    <cellStyle name="Normal 58 12 3 4" xfId="18794"/>
    <cellStyle name="Normal 58 12 4" xfId="2490"/>
    <cellStyle name="Normal 58 12 4 2" xfId="11857"/>
    <cellStyle name="Normal 58 12 4 3" xfId="21861"/>
    <cellStyle name="Normal 58 12 5" xfId="6168"/>
    <cellStyle name="Normal 58 12 5 2" xfId="14995"/>
    <cellStyle name="Normal 58 12 5 3" xfId="25246"/>
    <cellStyle name="Normal 58 12 6" xfId="7613"/>
    <cellStyle name="Normal 58 12 6 2" xfId="20343"/>
    <cellStyle name="Normal 58 12 7" xfId="16854"/>
    <cellStyle name="Normal 58 13" xfId="1053"/>
    <cellStyle name="Normal 58 13 2" xfId="3484"/>
    <cellStyle name="Normal 58 13 2 2" xfId="12622"/>
    <cellStyle name="Normal 58 13 2 2 2" xfId="22841"/>
    <cellStyle name="Normal 58 13 2 3" xfId="9044"/>
    <cellStyle name="Normal 58 13 2 4" xfId="17834"/>
    <cellStyle name="Normal 58 13 3" xfId="5059"/>
    <cellStyle name="Normal 58 13 3 2" xfId="13898"/>
    <cellStyle name="Normal 58 13 3 2 2" xfId="24149"/>
    <cellStyle name="Normal 58 13 3 3" xfId="10319"/>
    <cellStyle name="Normal 58 13 3 4" xfId="19142"/>
    <cellStyle name="Normal 58 13 4" xfId="1719"/>
    <cellStyle name="Normal 58 13 4 2" xfId="11098"/>
    <cellStyle name="Normal 58 13 4 3" xfId="21102"/>
    <cellStyle name="Normal 58 13 5" xfId="6516"/>
    <cellStyle name="Normal 58 13 5 2" xfId="15343"/>
    <cellStyle name="Normal 58 13 5 3" xfId="25594"/>
    <cellStyle name="Normal 58 13 6" xfId="7962"/>
    <cellStyle name="Normal 58 13 6 2" xfId="20440"/>
    <cellStyle name="Normal 58 13 7" xfId="16095"/>
    <cellStyle name="Normal 58 14" xfId="2619"/>
    <cellStyle name="Normal 58 14 2" xfId="5147"/>
    <cellStyle name="Normal 58 14 2 2" xfId="13986"/>
    <cellStyle name="Normal 58 14 2 2 2" xfId="24237"/>
    <cellStyle name="Normal 58 14 2 3" xfId="10407"/>
    <cellStyle name="Normal 58 14 2 4" xfId="19230"/>
    <cellStyle name="Normal 58 14 3" xfId="6604"/>
    <cellStyle name="Normal 58 14 3 2" xfId="15431"/>
    <cellStyle name="Normal 58 14 3 3" xfId="25682"/>
    <cellStyle name="Normal 58 14 4" xfId="8050"/>
    <cellStyle name="Normal 58 14 4 2" xfId="21985"/>
    <cellStyle name="Normal 58 14 5" xfId="16978"/>
    <cellStyle name="Normal 58 15" xfId="4101"/>
    <cellStyle name="Normal 58 15 2" xfId="5561"/>
    <cellStyle name="Normal 58 15 2 2" xfId="14388"/>
    <cellStyle name="Normal 58 15 2 3" xfId="24639"/>
    <cellStyle name="Normal 58 15 3" xfId="7005"/>
    <cellStyle name="Normal 58 15 3 2" xfId="23192"/>
    <cellStyle name="Normal 58 15 4" xfId="18185"/>
    <cellStyle name="Normal 58 16" xfId="1401"/>
    <cellStyle name="Normal 58 16 2" xfId="10781"/>
    <cellStyle name="Normal 58 16 3" xfId="20785"/>
    <cellStyle name="Normal 58 17" xfId="5519"/>
    <cellStyle name="Normal 58 17 2" xfId="14348"/>
    <cellStyle name="Normal 58 17 3" xfId="24599"/>
    <cellStyle name="Normal 58 18" xfId="6960"/>
    <cellStyle name="Normal 58 18 2" xfId="19585"/>
    <cellStyle name="Normal 58 19" xfId="15778"/>
    <cellStyle name="Normal 58 2" xfId="48"/>
    <cellStyle name="Normal 58 3" xfId="121"/>
    <cellStyle name="Normal 58 3 10" xfId="4113"/>
    <cellStyle name="Normal 58 3 10 2" xfId="5573"/>
    <cellStyle name="Normal 58 3 10 2 2" xfId="14400"/>
    <cellStyle name="Normal 58 3 10 2 3" xfId="24651"/>
    <cellStyle name="Normal 58 3 10 3" xfId="7017"/>
    <cellStyle name="Normal 58 3 10 3 2" xfId="23204"/>
    <cellStyle name="Normal 58 3 10 4" xfId="18197"/>
    <cellStyle name="Normal 58 3 11" xfId="1407"/>
    <cellStyle name="Normal 58 3 11 2" xfId="10786"/>
    <cellStyle name="Normal 58 3 11 3" xfId="20790"/>
    <cellStyle name="Normal 58 3 12" xfId="5541"/>
    <cellStyle name="Normal 58 3 12 2" xfId="14370"/>
    <cellStyle name="Normal 58 3 12 3" xfId="24621"/>
    <cellStyle name="Normal 58 3 13" xfId="6987"/>
    <cellStyle name="Normal 58 3 13 2" xfId="19598"/>
    <cellStyle name="Normal 58 3 14" xfId="15783"/>
    <cellStyle name="Normal 58 3 2" xfId="165"/>
    <cellStyle name="Normal 58 3 2 10" xfId="1432"/>
    <cellStyle name="Normal 58 3 2 10 2" xfId="10811"/>
    <cellStyle name="Normal 58 3 2 10 3" xfId="20815"/>
    <cellStyle name="Normal 58 3 2 11" xfId="5618"/>
    <cellStyle name="Normal 58 3 2 11 2" xfId="14445"/>
    <cellStyle name="Normal 58 3 2 11 3" xfId="24696"/>
    <cellStyle name="Normal 58 3 2 12" xfId="7062"/>
    <cellStyle name="Normal 58 3 2 12 2" xfId="19628"/>
    <cellStyle name="Normal 58 3 2 13" xfId="15808"/>
    <cellStyle name="Normal 58 3 2 2" xfId="277"/>
    <cellStyle name="Normal 58 3 2 2 10" xfId="7119"/>
    <cellStyle name="Normal 58 3 2 2 10 2" xfId="19732"/>
    <cellStyle name="Normal 58 3 2 2 11" xfId="15865"/>
    <cellStyle name="Normal 58 3 2 2 2" xfId="599"/>
    <cellStyle name="Normal 58 3 2 2 2 2" xfId="900"/>
    <cellStyle name="Normal 58 3 2 2 2 2 2" xfId="3387"/>
    <cellStyle name="Normal 58 3 2 2 2 2 2 2" xfId="12531"/>
    <cellStyle name="Normal 58 3 2 2 2 2 2 2 2" xfId="22750"/>
    <cellStyle name="Normal 58 3 2 2 2 2 2 3" xfId="8953"/>
    <cellStyle name="Normal 58 3 2 2 2 2 2 4" xfId="17743"/>
    <cellStyle name="Normal 58 3 2 2 2 2 3" xfId="4716"/>
    <cellStyle name="Normal 58 3 2 2 2 2 3 2" xfId="13556"/>
    <cellStyle name="Normal 58 3 2 2 2 2 3 2 2" xfId="23807"/>
    <cellStyle name="Normal 58 3 2 2 2 2 3 3" xfId="9977"/>
    <cellStyle name="Normal 58 3 2 2 2 2 3 4" xfId="18800"/>
    <cellStyle name="Normal 58 3 2 2 2 2 4" xfId="2496"/>
    <cellStyle name="Normal 58 3 2 2 2 2 4 2" xfId="11863"/>
    <cellStyle name="Normal 58 3 2 2 2 2 4 3" xfId="21867"/>
    <cellStyle name="Normal 58 3 2 2 2 2 5" xfId="6174"/>
    <cellStyle name="Normal 58 3 2 2 2 2 5 2" xfId="15001"/>
    <cellStyle name="Normal 58 3 2 2 2 2 5 3" xfId="25252"/>
    <cellStyle name="Normal 58 3 2 2 2 2 6" xfId="7619"/>
    <cellStyle name="Normal 58 3 2 2 2 2 6 2" xfId="20349"/>
    <cellStyle name="Normal 58 3 2 2 2 2 7" xfId="16860"/>
    <cellStyle name="Normal 58 3 2 2 2 3" xfId="1371"/>
    <cellStyle name="Normal 58 3 2 2 2 3 2" xfId="3802"/>
    <cellStyle name="Normal 58 3 2 2 2 3 2 2" xfId="12940"/>
    <cellStyle name="Normal 58 3 2 2 2 3 2 2 2" xfId="23159"/>
    <cellStyle name="Normal 58 3 2 2 2 3 2 3" xfId="9361"/>
    <cellStyle name="Normal 58 3 2 2 2 3 2 4" xfId="18152"/>
    <cellStyle name="Normal 58 3 2 2 2 3 3" xfId="5065"/>
    <cellStyle name="Normal 58 3 2 2 2 3 3 2" xfId="13904"/>
    <cellStyle name="Normal 58 3 2 2 2 3 3 2 2" xfId="24155"/>
    <cellStyle name="Normal 58 3 2 2 2 3 3 3" xfId="10325"/>
    <cellStyle name="Normal 58 3 2 2 2 3 3 4" xfId="19148"/>
    <cellStyle name="Normal 58 3 2 2 2 3 4" xfId="2196"/>
    <cellStyle name="Normal 58 3 2 2 2 3 4 2" xfId="11563"/>
    <cellStyle name="Normal 58 3 2 2 2 3 4 3" xfId="21567"/>
    <cellStyle name="Normal 58 3 2 2 2 3 5" xfId="6522"/>
    <cellStyle name="Normal 58 3 2 2 2 3 5 2" xfId="15349"/>
    <cellStyle name="Normal 58 3 2 2 2 3 5 3" xfId="25600"/>
    <cellStyle name="Normal 58 3 2 2 2 3 6" xfId="7968"/>
    <cellStyle name="Normal 58 3 2 2 2 3 6 2" xfId="20758"/>
    <cellStyle name="Normal 58 3 2 2 2 3 7" xfId="16560"/>
    <cellStyle name="Normal 58 3 2 2 2 4" xfId="3087"/>
    <cellStyle name="Normal 58 3 2 2 2 4 2" xfId="5465"/>
    <cellStyle name="Normal 58 3 2 2 2 4 2 2" xfId="14304"/>
    <cellStyle name="Normal 58 3 2 2 2 4 2 2 2" xfId="24555"/>
    <cellStyle name="Normal 58 3 2 2 2 4 2 3" xfId="10725"/>
    <cellStyle name="Normal 58 3 2 2 2 4 2 4" xfId="19548"/>
    <cellStyle name="Normal 58 3 2 2 2 4 3" xfId="6922"/>
    <cellStyle name="Normal 58 3 2 2 2 4 3 2" xfId="15749"/>
    <cellStyle name="Normal 58 3 2 2 2 4 3 3" xfId="26000"/>
    <cellStyle name="Normal 58 3 2 2 2 4 4" xfId="8368"/>
    <cellStyle name="Normal 58 3 2 2 2 4 4 2" xfId="22450"/>
    <cellStyle name="Normal 58 3 2 2 2 4 5" xfId="17443"/>
    <cellStyle name="Normal 58 3 2 2 2 5" xfId="4421"/>
    <cellStyle name="Normal 58 3 2 2 2 5 2" xfId="13261"/>
    <cellStyle name="Normal 58 3 2 2 2 5 2 2" xfId="23512"/>
    <cellStyle name="Normal 58 3 2 2 2 5 3" xfId="9682"/>
    <cellStyle name="Normal 58 3 2 2 2 5 4" xfId="18505"/>
    <cellStyle name="Normal 58 3 2 2 2 6" xfId="1693"/>
    <cellStyle name="Normal 58 3 2 2 2 6 2" xfId="11072"/>
    <cellStyle name="Normal 58 3 2 2 2 6 3" xfId="21076"/>
    <cellStyle name="Normal 58 3 2 2 2 7" xfId="5879"/>
    <cellStyle name="Normal 58 3 2 2 2 7 2" xfId="14706"/>
    <cellStyle name="Normal 58 3 2 2 2 7 3" xfId="24957"/>
    <cellStyle name="Normal 58 3 2 2 2 8" xfId="7323"/>
    <cellStyle name="Normal 58 3 2 2 2 8 2" xfId="20049"/>
    <cellStyle name="Normal 58 3 2 2 2 9" xfId="16069"/>
    <cellStyle name="Normal 58 3 2 2 2_Degree data" xfId="4008"/>
    <cellStyle name="Normal 58 3 2 2 3" xfId="395"/>
    <cellStyle name="Normal 58 3 2 2 3 2" xfId="2883"/>
    <cellStyle name="Normal 58 3 2 2 3 2 2" xfId="12173"/>
    <cellStyle name="Normal 58 3 2 2 3 2 2 2" xfId="22246"/>
    <cellStyle name="Normal 58 3 2 2 3 2 3" xfId="8474"/>
    <cellStyle name="Normal 58 3 2 2 3 2 4" xfId="17239"/>
    <cellStyle name="Normal 58 3 2 2 3 3" xfId="4715"/>
    <cellStyle name="Normal 58 3 2 2 3 3 2" xfId="13555"/>
    <cellStyle name="Normal 58 3 2 2 3 3 2 2" xfId="23806"/>
    <cellStyle name="Normal 58 3 2 2 3 3 3" xfId="9976"/>
    <cellStyle name="Normal 58 3 2 2 3 3 4" xfId="18799"/>
    <cellStyle name="Normal 58 3 2 2 3 4" xfId="1992"/>
    <cellStyle name="Normal 58 3 2 2 3 4 2" xfId="11359"/>
    <cellStyle name="Normal 58 3 2 2 3 4 3" xfId="21363"/>
    <cellStyle name="Normal 58 3 2 2 3 5" xfId="6173"/>
    <cellStyle name="Normal 58 3 2 2 3 5 2" xfId="15000"/>
    <cellStyle name="Normal 58 3 2 2 3 5 3" xfId="25251"/>
    <cellStyle name="Normal 58 3 2 2 3 6" xfId="7618"/>
    <cellStyle name="Normal 58 3 2 2 3 6 2" xfId="19845"/>
    <cellStyle name="Normal 58 3 2 2 3 7" xfId="16356"/>
    <cellStyle name="Normal 58 3 2 2 4" xfId="899"/>
    <cellStyle name="Normal 58 3 2 2 4 2" xfId="3386"/>
    <cellStyle name="Normal 58 3 2 2 4 2 2" xfId="12530"/>
    <cellStyle name="Normal 58 3 2 2 4 2 2 2" xfId="22749"/>
    <cellStyle name="Normal 58 3 2 2 4 2 3" xfId="8952"/>
    <cellStyle name="Normal 58 3 2 2 4 2 4" xfId="17742"/>
    <cellStyle name="Normal 58 3 2 2 4 3" xfId="5064"/>
    <cellStyle name="Normal 58 3 2 2 4 3 2" xfId="13903"/>
    <cellStyle name="Normal 58 3 2 2 4 3 2 2" xfId="24154"/>
    <cellStyle name="Normal 58 3 2 2 4 3 3" xfId="10324"/>
    <cellStyle name="Normal 58 3 2 2 4 3 4" xfId="19147"/>
    <cellStyle name="Normal 58 3 2 2 4 4" xfId="2495"/>
    <cellStyle name="Normal 58 3 2 2 4 4 2" xfId="11862"/>
    <cellStyle name="Normal 58 3 2 2 4 4 3" xfId="21866"/>
    <cellStyle name="Normal 58 3 2 2 4 5" xfId="6521"/>
    <cellStyle name="Normal 58 3 2 2 4 5 2" xfId="15348"/>
    <cellStyle name="Normal 58 3 2 2 4 5 3" xfId="25599"/>
    <cellStyle name="Normal 58 3 2 2 4 6" xfId="7967"/>
    <cellStyle name="Normal 58 3 2 2 4 6 2" xfId="20348"/>
    <cellStyle name="Normal 58 3 2 2 4 7" xfId="16859"/>
    <cellStyle name="Normal 58 3 2 2 5" xfId="1167"/>
    <cellStyle name="Normal 58 3 2 2 5 2" xfId="3598"/>
    <cellStyle name="Normal 58 3 2 2 5 2 2" xfId="12736"/>
    <cellStyle name="Normal 58 3 2 2 5 2 2 2" xfId="22955"/>
    <cellStyle name="Normal 58 3 2 2 5 2 3" xfId="9157"/>
    <cellStyle name="Normal 58 3 2 2 5 2 4" xfId="17948"/>
    <cellStyle name="Normal 58 3 2 2 5 3" xfId="5261"/>
    <cellStyle name="Normal 58 3 2 2 5 3 2" xfId="14100"/>
    <cellStyle name="Normal 58 3 2 2 5 3 2 2" xfId="24351"/>
    <cellStyle name="Normal 58 3 2 2 5 3 3" xfId="10521"/>
    <cellStyle name="Normal 58 3 2 2 5 3 4" xfId="19344"/>
    <cellStyle name="Normal 58 3 2 2 5 4" xfId="1876"/>
    <cellStyle name="Normal 58 3 2 2 5 4 2" xfId="11246"/>
    <cellStyle name="Normal 58 3 2 2 5 4 3" xfId="21250"/>
    <cellStyle name="Normal 58 3 2 2 5 5" xfId="6718"/>
    <cellStyle name="Normal 58 3 2 2 5 5 2" xfId="15545"/>
    <cellStyle name="Normal 58 3 2 2 5 5 3" xfId="25796"/>
    <cellStyle name="Normal 58 3 2 2 5 6" xfId="8164"/>
    <cellStyle name="Normal 58 3 2 2 5 6 2" xfId="20554"/>
    <cellStyle name="Normal 58 3 2 2 5 7" xfId="16243"/>
    <cellStyle name="Normal 58 3 2 2 6" xfId="2770"/>
    <cellStyle name="Normal 58 3 2 2 6 2" xfId="12089"/>
    <cellStyle name="Normal 58 3 2 2 6 2 2" xfId="22133"/>
    <cellStyle name="Normal 58 3 2 2 6 3" xfId="8554"/>
    <cellStyle name="Normal 58 3 2 2 6 4" xfId="17126"/>
    <cellStyle name="Normal 58 3 2 2 7" xfId="4217"/>
    <cellStyle name="Normal 58 3 2 2 7 2" xfId="13057"/>
    <cellStyle name="Normal 58 3 2 2 7 2 2" xfId="23308"/>
    <cellStyle name="Normal 58 3 2 2 7 3" xfId="9478"/>
    <cellStyle name="Normal 58 3 2 2 7 4" xfId="18301"/>
    <cellStyle name="Normal 58 3 2 2 8" xfId="1489"/>
    <cellStyle name="Normal 58 3 2 2 8 2" xfId="10868"/>
    <cellStyle name="Normal 58 3 2 2 8 3" xfId="20872"/>
    <cellStyle name="Normal 58 3 2 2 9" xfId="5675"/>
    <cellStyle name="Normal 58 3 2 2 9 2" xfId="14502"/>
    <cellStyle name="Normal 58 3 2 2 9 3" xfId="24753"/>
    <cellStyle name="Normal 58 3 2 2_Degree data" xfId="4007"/>
    <cellStyle name="Normal 58 3 2 3" xfId="231"/>
    <cellStyle name="Normal 58 3 2 3 10" xfId="16025"/>
    <cellStyle name="Normal 58 3 2 3 2" xfId="555"/>
    <cellStyle name="Normal 58 3 2 3 2 2" xfId="3043"/>
    <cellStyle name="Normal 58 3 2 3 2 2 2" xfId="12233"/>
    <cellStyle name="Normal 58 3 2 3 2 2 2 2" xfId="22406"/>
    <cellStyle name="Normal 58 3 2 3 2 2 3" xfId="8458"/>
    <cellStyle name="Normal 58 3 2 3 2 2 4" xfId="17399"/>
    <cellStyle name="Normal 58 3 2 3 2 3" xfId="4717"/>
    <cellStyle name="Normal 58 3 2 3 2 3 2" xfId="13557"/>
    <cellStyle name="Normal 58 3 2 3 2 3 2 2" xfId="23808"/>
    <cellStyle name="Normal 58 3 2 3 2 3 3" xfId="9978"/>
    <cellStyle name="Normal 58 3 2 3 2 3 4" xfId="18801"/>
    <cellStyle name="Normal 58 3 2 3 2 4" xfId="2152"/>
    <cellStyle name="Normal 58 3 2 3 2 4 2" xfId="11519"/>
    <cellStyle name="Normal 58 3 2 3 2 4 3" xfId="21523"/>
    <cellStyle name="Normal 58 3 2 3 2 5" xfId="6175"/>
    <cellStyle name="Normal 58 3 2 3 2 5 2" xfId="15002"/>
    <cellStyle name="Normal 58 3 2 3 2 5 3" xfId="25253"/>
    <cellStyle name="Normal 58 3 2 3 2 6" xfId="7620"/>
    <cellStyle name="Normal 58 3 2 3 2 6 2" xfId="20005"/>
    <cellStyle name="Normal 58 3 2 3 2 7" xfId="16516"/>
    <cellStyle name="Normal 58 3 2 3 3" xfId="901"/>
    <cellStyle name="Normal 58 3 2 3 3 2" xfId="3388"/>
    <cellStyle name="Normal 58 3 2 3 3 2 2" xfId="12532"/>
    <cellStyle name="Normal 58 3 2 3 3 2 2 2" xfId="22751"/>
    <cellStyle name="Normal 58 3 2 3 3 2 3" xfId="8954"/>
    <cellStyle name="Normal 58 3 2 3 3 2 4" xfId="17744"/>
    <cellStyle name="Normal 58 3 2 3 3 3" xfId="5066"/>
    <cellStyle name="Normal 58 3 2 3 3 3 2" xfId="13905"/>
    <cellStyle name="Normal 58 3 2 3 3 3 2 2" xfId="24156"/>
    <cellStyle name="Normal 58 3 2 3 3 3 3" xfId="10326"/>
    <cellStyle name="Normal 58 3 2 3 3 3 4" xfId="19149"/>
    <cellStyle name="Normal 58 3 2 3 3 4" xfId="2497"/>
    <cellStyle name="Normal 58 3 2 3 3 4 2" xfId="11864"/>
    <cellStyle name="Normal 58 3 2 3 3 4 3" xfId="21868"/>
    <cellStyle name="Normal 58 3 2 3 3 5" xfId="6523"/>
    <cellStyle name="Normal 58 3 2 3 3 5 2" xfId="15350"/>
    <cellStyle name="Normal 58 3 2 3 3 5 3" xfId="25601"/>
    <cellStyle name="Normal 58 3 2 3 3 6" xfId="7969"/>
    <cellStyle name="Normal 58 3 2 3 3 6 2" xfId="20350"/>
    <cellStyle name="Normal 58 3 2 3 3 7" xfId="16861"/>
    <cellStyle name="Normal 58 3 2 3 4" xfId="1327"/>
    <cellStyle name="Normal 58 3 2 3 4 2" xfId="3758"/>
    <cellStyle name="Normal 58 3 2 3 4 2 2" xfId="12896"/>
    <cellStyle name="Normal 58 3 2 3 4 2 2 2" xfId="23115"/>
    <cellStyle name="Normal 58 3 2 3 4 2 3" xfId="9317"/>
    <cellStyle name="Normal 58 3 2 3 4 2 4" xfId="18108"/>
    <cellStyle name="Normal 58 3 2 3 4 3" xfId="5421"/>
    <cellStyle name="Normal 58 3 2 3 4 3 2" xfId="14260"/>
    <cellStyle name="Normal 58 3 2 3 4 3 2 2" xfId="24511"/>
    <cellStyle name="Normal 58 3 2 3 4 3 3" xfId="10681"/>
    <cellStyle name="Normal 58 3 2 3 4 3 4" xfId="19504"/>
    <cellStyle name="Normal 58 3 2 3 4 4" xfId="1832"/>
    <cellStyle name="Normal 58 3 2 3 4 4 2" xfId="11202"/>
    <cellStyle name="Normal 58 3 2 3 4 4 3" xfId="21206"/>
    <cellStyle name="Normal 58 3 2 3 4 5" xfId="6878"/>
    <cellStyle name="Normal 58 3 2 3 4 5 2" xfId="15705"/>
    <cellStyle name="Normal 58 3 2 3 4 5 3" xfId="25956"/>
    <cellStyle name="Normal 58 3 2 3 4 6" xfId="8324"/>
    <cellStyle name="Normal 58 3 2 3 4 6 2" xfId="20714"/>
    <cellStyle name="Normal 58 3 2 3 4 7" xfId="16199"/>
    <cellStyle name="Normal 58 3 2 3 5" xfId="2726"/>
    <cellStyle name="Normal 58 3 2 3 5 2" xfId="12045"/>
    <cellStyle name="Normal 58 3 2 3 5 2 2" xfId="22089"/>
    <cellStyle name="Normal 58 3 2 3 5 3" xfId="8398"/>
    <cellStyle name="Normal 58 3 2 3 5 4" xfId="17082"/>
    <cellStyle name="Normal 58 3 2 3 6" xfId="4377"/>
    <cellStyle name="Normal 58 3 2 3 6 2" xfId="13217"/>
    <cellStyle name="Normal 58 3 2 3 6 2 2" xfId="23468"/>
    <cellStyle name="Normal 58 3 2 3 6 3" xfId="9638"/>
    <cellStyle name="Normal 58 3 2 3 6 4" xfId="18461"/>
    <cellStyle name="Normal 58 3 2 3 7" xfId="1649"/>
    <cellStyle name="Normal 58 3 2 3 7 2" xfId="11028"/>
    <cellStyle name="Normal 58 3 2 3 7 3" xfId="21032"/>
    <cellStyle name="Normal 58 3 2 3 8" xfId="5835"/>
    <cellStyle name="Normal 58 3 2 3 8 2" xfId="14662"/>
    <cellStyle name="Normal 58 3 2 3 8 3" xfId="24913"/>
    <cellStyle name="Normal 58 3 2 3 9" xfId="7279"/>
    <cellStyle name="Normal 58 3 2 3 9 2" xfId="19688"/>
    <cellStyle name="Normal 58 3 2 3_Degree data" xfId="4009"/>
    <cellStyle name="Normal 58 3 2 4" xfId="495"/>
    <cellStyle name="Normal 58 3 2 4 2" xfId="902"/>
    <cellStyle name="Normal 58 3 2 4 2 2" xfId="3389"/>
    <cellStyle name="Normal 58 3 2 4 2 2 2" xfId="12533"/>
    <cellStyle name="Normal 58 3 2 4 2 2 2 2" xfId="22752"/>
    <cellStyle name="Normal 58 3 2 4 2 2 3" xfId="8955"/>
    <cellStyle name="Normal 58 3 2 4 2 2 4" xfId="17745"/>
    <cellStyle name="Normal 58 3 2 4 2 3" xfId="4718"/>
    <cellStyle name="Normal 58 3 2 4 2 3 2" xfId="13558"/>
    <cellStyle name="Normal 58 3 2 4 2 3 2 2" xfId="23809"/>
    <cellStyle name="Normal 58 3 2 4 2 3 3" xfId="9979"/>
    <cellStyle name="Normal 58 3 2 4 2 3 4" xfId="18802"/>
    <cellStyle name="Normal 58 3 2 4 2 4" xfId="2498"/>
    <cellStyle name="Normal 58 3 2 4 2 4 2" xfId="11865"/>
    <cellStyle name="Normal 58 3 2 4 2 4 3" xfId="21869"/>
    <cellStyle name="Normal 58 3 2 4 2 5" xfId="6176"/>
    <cellStyle name="Normal 58 3 2 4 2 5 2" xfId="15003"/>
    <cellStyle name="Normal 58 3 2 4 2 5 3" xfId="25254"/>
    <cellStyle name="Normal 58 3 2 4 2 6" xfId="7621"/>
    <cellStyle name="Normal 58 3 2 4 2 6 2" xfId="20351"/>
    <cellStyle name="Normal 58 3 2 4 2 7" xfId="16862"/>
    <cellStyle name="Normal 58 3 2 4 3" xfId="1267"/>
    <cellStyle name="Normal 58 3 2 4 3 2" xfId="3698"/>
    <cellStyle name="Normal 58 3 2 4 3 2 2" xfId="12836"/>
    <cellStyle name="Normal 58 3 2 4 3 2 2 2" xfId="23055"/>
    <cellStyle name="Normal 58 3 2 4 3 2 3" xfId="9257"/>
    <cellStyle name="Normal 58 3 2 4 3 2 4" xfId="18048"/>
    <cellStyle name="Normal 58 3 2 4 3 3" xfId="5067"/>
    <cellStyle name="Normal 58 3 2 4 3 3 2" xfId="13906"/>
    <cellStyle name="Normal 58 3 2 4 3 3 2 2" xfId="24157"/>
    <cellStyle name="Normal 58 3 2 4 3 3 3" xfId="10327"/>
    <cellStyle name="Normal 58 3 2 4 3 3 4" xfId="19150"/>
    <cellStyle name="Normal 58 3 2 4 3 4" xfId="2092"/>
    <cellStyle name="Normal 58 3 2 4 3 4 2" xfId="11459"/>
    <cellStyle name="Normal 58 3 2 4 3 4 3" xfId="21463"/>
    <cellStyle name="Normal 58 3 2 4 3 5" xfId="6524"/>
    <cellStyle name="Normal 58 3 2 4 3 5 2" xfId="15351"/>
    <cellStyle name="Normal 58 3 2 4 3 5 3" xfId="25602"/>
    <cellStyle name="Normal 58 3 2 4 3 6" xfId="7970"/>
    <cellStyle name="Normal 58 3 2 4 3 6 2" xfId="20654"/>
    <cellStyle name="Normal 58 3 2 4 3 7" xfId="16456"/>
    <cellStyle name="Normal 58 3 2 4 4" xfId="2983"/>
    <cellStyle name="Normal 58 3 2 4 4 2" xfId="5361"/>
    <cellStyle name="Normal 58 3 2 4 4 2 2" xfId="14200"/>
    <cellStyle name="Normal 58 3 2 4 4 2 2 2" xfId="24451"/>
    <cellStyle name="Normal 58 3 2 4 4 2 3" xfId="10621"/>
    <cellStyle name="Normal 58 3 2 4 4 2 4" xfId="19444"/>
    <cellStyle name="Normal 58 3 2 4 4 3" xfId="6818"/>
    <cellStyle name="Normal 58 3 2 4 4 3 2" xfId="15645"/>
    <cellStyle name="Normal 58 3 2 4 4 3 3" xfId="25896"/>
    <cellStyle name="Normal 58 3 2 4 4 4" xfId="8264"/>
    <cellStyle name="Normal 58 3 2 4 4 4 2" xfId="22346"/>
    <cellStyle name="Normal 58 3 2 4 4 5" xfId="17339"/>
    <cellStyle name="Normal 58 3 2 4 5" xfId="4317"/>
    <cellStyle name="Normal 58 3 2 4 5 2" xfId="13157"/>
    <cellStyle name="Normal 58 3 2 4 5 2 2" xfId="23408"/>
    <cellStyle name="Normal 58 3 2 4 5 3" xfId="9578"/>
    <cellStyle name="Normal 58 3 2 4 5 4" xfId="18401"/>
    <cellStyle name="Normal 58 3 2 4 6" xfId="1589"/>
    <cellStyle name="Normal 58 3 2 4 6 2" xfId="10968"/>
    <cellStyle name="Normal 58 3 2 4 6 3" xfId="20972"/>
    <cellStyle name="Normal 58 3 2 4 7" xfId="5775"/>
    <cellStyle name="Normal 58 3 2 4 7 2" xfId="14602"/>
    <cellStyle name="Normal 58 3 2 4 7 3" xfId="24853"/>
    <cellStyle name="Normal 58 3 2 4 8" xfId="7219"/>
    <cellStyle name="Normal 58 3 2 4 8 2" xfId="19945"/>
    <cellStyle name="Normal 58 3 2 4 9" xfId="15965"/>
    <cellStyle name="Normal 58 3 2 4_Degree data" xfId="4010"/>
    <cellStyle name="Normal 58 3 2 5" xfId="338"/>
    <cellStyle name="Normal 58 3 2 5 2" xfId="2826"/>
    <cellStyle name="Normal 58 3 2 5 2 2" xfId="12127"/>
    <cellStyle name="Normal 58 3 2 5 2 2 2" xfId="22189"/>
    <cellStyle name="Normal 58 3 2 5 2 3" xfId="8545"/>
    <cellStyle name="Normal 58 3 2 5 2 4" xfId="17182"/>
    <cellStyle name="Normal 58 3 2 5 3" xfId="4714"/>
    <cellStyle name="Normal 58 3 2 5 3 2" xfId="13554"/>
    <cellStyle name="Normal 58 3 2 5 3 2 2" xfId="23805"/>
    <cellStyle name="Normal 58 3 2 5 3 3" xfId="9975"/>
    <cellStyle name="Normal 58 3 2 5 3 4" xfId="18798"/>
    <cellStyle name="Normal 58 3 2 5 4" xfId="1935"/>
    <cellStyle name="Normal 58 3 2 5 4 2" xfId="11302"/>
    <cellStyle name="Normal 58 3 2 5 4 3" xfId="21306"/>
    <cellStyle name="Normal 58 3 2 5 5" xfId="6172"/>
    <cellStyle name="Normal 58 3 2 5 5 2" xfId="14999"/>
    <cellStyle name="Normal 58 3 2 5 5 3" xfId="25250"/>
    <cellStyle name="Normal 58 3 2 5 6" xfId="7617"/>
    <cellStyle name="Normal 58 3 2 5 6 2" xfId="19788"/>
    <cellStyle name="Normal 58 3 2 5 7" xfId="16299"/>
    <cellStyle name="Normal 58 3 2 6" xfId="898"/>
    <cellStyle name="Normal 58 3 2 6 2" xfId="3385"/>
    <cellStyle name="Normal 58 3 2 6 2 2" xfId="12529"/>
    <cellStyle name="Normal 58 3 2 6 2 2 2" xfId="22748"/>
    <cellStyle name="Normal 58 3 2 6 2 3" xfId="8951"/>
    <cellStyle name="Normal 58 3 2 6 2 4" xfId="17741"/>
    <cellStyle name="Normal 58 3 2 6 3" xfId="5063"/>
    <cellStyle name="Normal 58 3 2 6 3 2" xfId="13902"/>
    <cellStyle name="Normal 58 3 2 6 3 2 2" xfId="24153"/>
    <cellStyle name="Normal 58 3 2 6 3 3" xfId="10323"/>
    <cellStyle name="Normal 58 3 2 6 3 4" xfId="19146"/>
    <cellStyle name="Normal 58 3 2 6 4" xfId="2494"/>
    <cellStyle name="Normal 58 3 2 6 4 2" xfId="11861"/>
    <cellStyle name="Normal 58 3 2 6 4 3" xfId="21865"/>
    <cellStyle name="Normal 58 3 2 6 5" xfId="6520"/>
    <cellStyle name="Normal 58 3 2 6 5 2" xfId="15347"/>
    <cellStyle name="Normal 58 3 2 6 5 3" xfId="25598"/>
    <cellStyle name="Normal 58 3 2 6 6" xfId="7966"/>
    <cellStyle name="Normal 58 3 2 6 6 2" xfId="20347"/>
    <cellStyle name="Normal 58 3 2 6 7" xfId="16858"/>
    <cellStyle name="Normal 58 3 2 7" xfId="1110"/>
    <cellStyle name="Normal 58 3 2 7 2" xfId="3541"/>
    <cellStyle name="Normal 58 3 2 7 2 2" xfId="12679"/>
    <cellStyle name="Normal 58 3 2 7 2 2 2" xfId="22898"/>
    <cellStyle name="Normal 58 3 2 7 2 3" xfId="9100"/>
    <cellStyle name="Normal 58 3 2 7 2 4" xfId="17891"/>
    <cellStyle name="Normal 58 3 2 7 3" xfId="5204"/>
    <cellStyle name="Normal 58 3 2 7 3 2" xfId="14043"/>
    <cellStyle name="Normal 58 3 2 7 3 2 2" xfId="24294"/>
    <cellStyle name="Normal 58 3 2 7 3 3" xfId="10464"/>
    <cellStyle name="Normal 58 3 2 7 3 4" xfId="19287"/>
    <cellStyle name="Normal 58 3 2 7 4" xfId="1769"/>
    <cellStyle name="Normal 58 3 2 7 4 2" xfId="11142"/>
    <cellStyle name="Normal 58 3 2 7 4 3" xfId="21146"/>
    <cellStyle name="Normal 58 3 2 7 5" xfId="6661"/>
    <cellStyle name="Normal 58 3 2 7 5 2" xfId="15488"/>
    <cellStyle name="Normal 58 3 2 7 5 3" xfId="25739"/>
    <cellStyle name="Normal 58 3 2 7 6" xfId="8107"/>
    <cellStyle name="Normal 58 3 2 7 6 2" xfId="20497"/>
    <cellStyle name="Normal 58 3 2 7 7" xfId="16139"/>
    <cellStyle name="Normal 58 3 2 8" xfId="2666"/>
    <cellStyle name="Normal 58 3 2 8 2" xfId="11988"/>
    <cellStyle name="Normal 58 3 2 8 2 2" xfId="22029"/>
    <cellStyle name="Normal 58 3 2 8 3" xfId="8606"/>
    <cellStyle name="Normal 58 3 2 8 4" xfId="17022"/>
    <cellStyle name="Normal 58 3 2 9" xfId="4158"/>
    <cellStyle name="Normal 58 3 2 9 2" xfId="12998"/>
    <cellStyle name="Normal 58 3 2 9 2 2" xfId="23249"/>
    <cellStyle name="Normal 58 3 2 9 3" xfId="9419"/>
    <cellStyle name="Normal 58 3 2 9 4" xfId="18242"/>
    <cellStyle name="Normal 58 3 2_Degree data" xfId="4006"/>
    <cellStyle name="Normal 58 3 3" xfId="212"/>
    <cellStyle name="Normal 58 3 3 10" xfId="7162"/>
    <cellStyle name="Normal 58 3 3 10 2" xfId="19671"/>
    <cellStyle name="Normal 58 3 3 11" xfId="15908"/>
    <cellStyle name="Normal 58 3 3 2" xfId="538"/>
    <cellStyle name="Normal 58 3 3 2 2" xfId="904"/>
    <cellStyle name="Normal 58 3 3 2 2 2" xfId="3391"/>
    <cellStyle name="Normal 58 3 3 2 2 2 2" xfId="12535"/>
    <cellStyle name="Normal 58 3 3 2 2 2 2 2" xfId="22754"/>
    <cellStyle name="Normal 58 3 3 2 2 2 3" xfId="8957"/>
    <cellStyle name="Normal 58 3 3 2 2 2 4" xfId="17747"/>
    <cellStyle name="Normal 58 3 3 2 2 3" xfId="4720"/>
    <cellStyle name="Normal 58 3 3 2 2 3 2" xfId="13560"/>
    <cellStyle name="Normal 58 3 3 2 2 3 2 2" xfId="23811"/>
    <cellStyle name="Normal 58 3 3 2 2 3 3" xfId="9981"/>
    <cellStyle name="Normal 58 3 3 2 2 3 4" xfId="18804"/>
    <cellStyle name="Normal 58 3 3 2 2 4" xfId="2500"/>
    <cellStyle name="Normal 58 3 3 2 2 4 2" xfId="11867"/>
    <cellStyle name="Normal 58 3 3 2 2 4 3" xfId="21871"/>
    <cellStyle name="Normal 58 3 3 2 2 5" xfId="6178"/>
    <cellStyle name="Normal 58 3 3 2 2 5 2" xfId="15005"/>
    <cellStyle name="Normal 58 3 3 2 2 5 3" xfId="25256"/>
    <cellStyle name="Normal 58 3 3 2 2 6" xfId="7623"/>
    <cellStyle name="Normal 58 3 3 2 2 6 2" xfId="20353"/>
    <cellStyle name="Normal 58 3 3 2 2 7" xfId="16864"/>
    <cellStyle name="Normal 58 3 3 2 3" xfId="1310"/>
    <cellStyle name="Normal 58 3 3 2 3 2" xfId="3741"/>
    <cellStyle name="Normal 58 3 3 2 3 2 2" xfId="12879"/>
    <cellStyle name="Normal 58 3 3 2 3 2 2 2" xfId="23098"/>
    <cellStyle name="Normal 58 3 3 2 3 2 3" xfId="9300"/>
    <cellStyle name="Normal 58 3 3 2 3 2 4" xfId="18091"/>
    <cellStyle name="Normal 58 3 3 2 3 3" xfId="5069"/>
    <cellStyle name="Normal 58 3 3 2 3 3 2" xfId="13908"/>
    <cellStyle name="Normal 58 3 3 2 3 3 2 2" xfId="24159"/>
    <cellStyle name="Normal 58 3 3 2 3 3 3" xfId="10329"/>
    <cellStyle name="Normal 58 3 3 2 3 3 4" xfId="19152"/>
    <cellStyle name="Normal 58 3 3 2 3 4" xfId="2135"/>
    <cellStyle name="Normal 58 3 3 2 3 4 2" xfId="11502"/>
    <cellStyle name="Normal 58 3 3 2 3 4 3" xfId="21506"/>
    <cellStyle name="Normal 58 3 3 2 3 5" xfId="6526"/>
    <cellStyle name="Normal 58 3 3 2 3 5 2" xfId="15353"/>
    <cellStyle name="Normal 58 3 3 2 3 5 3" xfId="25604"/>
    <cellStyle name="Normal 58 3 3 2 3 6" xfId="7972"/>
    <cellStyle name="Normal 58 3 3 2 3 6 2" xfId="20697"/>
    <cellStyle name="Normal 58 3 3 2 3 7" xfId="16499"/>
    <cellStyle name="Normal 58 3 3 2 4" xfId="3026"/>
    <cellStyle name="Normal 58 3 3 2 4 2" xfId="5404"/>
    <cellStyle name="Normal 58 3 3 2 4 2 2" xfId="14243"/>
    <cellStyle name="Normal 58 3 3 2 4 2 2 2" xfId="24494"/>
    <cellStyle name="Normal 58 3 3 2 4 2 3" xfId="10664"/>
    <cellStyle name="Normal 58 3 3 2 4 2 4" xfId="19487"/>
    <cellStyle name="Normal 58 3 3 2 4 3" xfId="6861"/>
    <cellStyle name="Normal 58 3 3 2 4 3 2" xfId="15688"/>
    <cellStyle name="Normal 58 3 3 2 4 3 3" xfId="25939"/>
    <cellStyle name="Normal 58 3 3 2 4 4" xfId="8307"/>
    <cellStyle name="Normal 58 3 3 2 4 4 2" xfId="22389"/>
    <cellStyle name="Normal 58 3 3 2 4 5" xfId="17382"/>
    <cellStyle name="Normal 58 3 3 2 5" xfId="4360"/>
    <cellStyle name="Normal 58 3 3 2 5 2" xfId="13200"/>
    <cellStyle name="Normal 58 3 3 2 5 2 2" xfId="23451"/>
    <cellStyle name="Normal 58 3 3 2 5 3" xfId="9621"/>
    <cellStyle name="Normal 58 3 3 2 5 4" xfId="18444"/>
    <cellStyle name="Normal 58 3 3 2 6" xfId="1632"/>
    <cellStyle name="Normal 58 3 3 2 6 2" xfId="11011"/>
    <cellStyle name="Normal 58 3 3 2 6 3" xfId="21015"/>
    <cellStyle name="Normal 58 3 3 2 7" xfId="5818"/>
    <cellStyle name="Normal 58 3 3 2 7 2" xfId="14645"/>
    <cellStyle name="Normal 58 3 3 2 7 3" xfId="24896"/>
    <cellStyle name="Normal 58 3 3 2 8" xfId="7262"/>
    <cellStyle name="Normal 58 3 3 2 8 2" xfId="19988"/>
    <cellStyle name="Normal 58 3 3 2 9" xfId="16008"/>
    <cellStyle name="Normal 58 3 3 2_Degree data" xfId="4012"/>
    <cellStyle name="Normal 58 3 3 3" xfId="438"/>
    <cellStyle name="Normal 58 3 3 3 2" xfId="2926"/>
    <cellStyle name="Normal 58 3 3 3 2 2" xfId="12216"/>
    <cellStyle name="Normal 58 3 3 3 2 2 2" xfId="22289"/>
    <cellStyle name="Normal 58 3 3 3 2 3" xfId="8436"/>
    <cellStyle name="Normal 58 3 3 3 2 4" xfId="17282"/>
    <cellStyle name="Normal 58 3 3 3 3" xfId="4719"/>
    <cellStyle name="Normal 58 3 3 3 3 2" xfId="13559"/>
    <cellStyle name="Normal 58 3 3 3 3 2 2" xfId="23810"/>
    <cellStyle name="Normal 58 3 3 3 3 3" xfId="9980"/>
    <cellStyle name="Normal 58 3 3 3 3 4" xfId="18803"/>
    <cellStyle name="Normal 58 3 3 3 4" xfId="2035"/>
    <cellStyle name="Normal 58 3 3 3 4 2" xfId="11402"/>
    <cellStyle name="Normal 58 3 3 3 4 3" xfId="21406"/>
    <cellStyle name="Normal 58 3 3 3 5" xfId="6177"/>
    <cellStyle name="Normal 58 3 3 3 5 2" xfId="15004"/>
    <cellStyle name="Normal 58 3 3 3 5 3" xfId="25255"/>
    <cellStyle name="Normal 58 3 3 3 6" xfId="7622"/>
    <cellStyle name="Normal 58 3 3 3 6 2" xfId="19888"/>
    <cellStyle name="Normal 58 3 3 3 7" xfId="16399"/>
    <cellStyle name="Normal 58 3 3 4" xfId="903"/>
    <cellStyle name="Normal 58 3 3 4 2" xfId="3390"/>
    <cellStyle name="Normal 58 3 3 4 2 2" xfId="12534"/>
    <cellStyle name="Normal 58 3 3 4 2 2 2" xfId="22753"/>
    <cellStyle name="Normal 58 3 3 4 2 3" xfId="8956"/>
    <cellStyle name="Normal 58 3 3 4 2 4" xfId="17746"/>
    <cellStyle name="Normal 58 3 3 4 3" xfId="5068"/>
    <cellStyle name="Normal 58 3 3 4 3 2" xfId="13907"/>
    <cellStyle name="Normal 58 3 3 4 3 2 2" xfId="24158"/>
    <cellStyle name="Normal 58 3 3 4 3 3" xfId="10328"/>
    <cellStyle name="Normal 58 3 3 4 3 4" xfId="19151"/>
    <cellStyle name="Normal 58 3 3 4 4" xfId="2499"/>
    <cellStyle name="Normal 58 3 3 4 4 2" xfId="11866"/>
    <cellStyle name="Normal 58 3 3 4 4 3" xfId="21870"/>
    <cellStyle name="Normal 58 3 3 4 5" xfId="6525"/>
    <cellStyle name="Normal 58 3 3 4 5 2" xfId="15352"/>
    <cellStyle name="Normal 58 3 3 4 5 3" xfId="25603"/>
    <cellStyle name="Normal 58 3 3 4 6" xfId="7971"/>
    <cellStyle name="Normal 58 3 3 4 6 2" xfId="20352"/>
    <cellStyle name="Normal 58 3 3 4 7" xfId="16863"/>
    <cellStyle name="Normal 58 3 3 5" xfId="1210"/>
    <cellStyle name="Normal 58 3 3 5 2" xfId="3641"/>
    <cellStyle name="Normal 58 3 3 5 2 2" xfId="12779"/>
    <cellStyle name="Normal 58 3 3 5 2 2 2" xfId="22998"/>
    <cellStyle name="Normal 58 3 3 5 2 3" xfId="9200"/>
    <cellStyle name="Normal 58 3 3 5 2 4" xfId="17991"/>
    <cellStyle name="Normal 58 3 3 5 3" xfId="5304"/>
    <cellStyle name="Normal 58 3 3 5 3 2" xfId="14143"/>
    <cellStyle name="Normal 58 3 3 5 3 2 2" xfId="24394"/>
    <cellStyle name="Normal 58 3 3 5 3 3" xfId="10564"/>
    <cellStyle name="Normal 58 3 3 5 3 4" xfId="19387"/>
    <cellStyle name="Normal 58 3 3 5 4" xfId="1815"/>
    <cellStyle name="Normal 58 3 3 5 4 2" xfId="11185"/>
    <cellStyle name="Normal 58 3 3 5 4 3" xfId="21189"/>
    <cellStyle name="Normal 58 3 3 5 5" xfId="6761"/>
    <cellStyle name="Normal 58 3 3 5 5 2" xfId="15588"/>
    <cellStyle name="Normal 58 3 3 5 5 3" xfId="25839"/>
    <cellStyle name="Normal 58 3 3 5 6" xfId="8207"/>
    <cellStyle name="Normal 58 3 3 5 6 2" xfId="20597"/>
    <cellStyle name="Normal 58 3 3 5 7" xfId="16182"/>
    <cellStyle name="Normal 58 3 3 6" xfId="2709"/>
    <cellStyle name="Normal 58 3 3 6 2" xfId="12028"/>
    <cellStyle name="Normal 58 3 3 6 2 2" xfId="22072"/>
    <cellStyle name="Normal 58 3 3 6 3" xfId="8588"/>
    <cellStyle name="Normal 58 3 3 6 4" xfId="17065"/>
    <cellStyle name="Normal 58 3 3 7" xfId="4260"/>
    <cellStyle name="Normal 58 3 3 7 2" xfId="13100"/>
    <cellStyle name="Normal 58 3 3 7 2 2" xfId="23351"/>
    <cellStyle name="Normal 58 3 3 7 3" xfId="9521"/>
    <cellStyle name="Normal 58 3 3 7 4" xfId="18344"/>
    <cellStyle name="Normal 58 3 3 8" xfId="1532"/>
    <cellStyle name="Normal 58 3 3 8 2" xfId="10911"/>
    <cellStyle name="Normal 58 3 3 8 3" xfId="20915"/>
    <cellStyle name="Normal 58 3 3 9" xfId="5718"/>
    <cellStyle name="Normal 58 3 3 9 2" xfId="14545"/>
    <cellStyle name="Normal 58 3 3 9 3" xfId="24796"/>
    <cellStyle name="Normal 58 3 3_Degree data" xfId="4011"/>
    <cellStyle name="Normal 58 3 4" xfId="247"/>
    <cellStyle name="Normal 58 3 4 10" xfId="7089"/>
    <cellStyle name="Normal 58 3 4 10 2" xfId="19703"/>
    <cellStyle name="Normal 58 3 4 11" xfId="15835"/>
    <cellStyle name="Normal 58 3 4 2" xfId="570"/>
    <cellStyle name="Normal 58 3 4 2 2" xfId="906"/>
    <cellStyle name="Normal 58 3 4 2 2 2" xfId="3393"/>
    <cellStyle name="Normal 58 3 4 2 2 2 2" xfId="12537"/>
    <cellStyle name="Normal 58 3 4 2 2 2 2 2" xfId="22756"/>
    <cellStyle name="Normal 58 3 4 2 2 2 3" xfId="8959"/>
    <cellStyle name="Normal 58 3 4 2 2 2 4" xfId="17749"/>
    <cellStyle name="Normal 58 3 4 2 2 3" xfId="4722"/>
    <cellStyle name="Normal 58 3 4 2 2 3 2" xfId="13562"/>
    <cellStyle name="Normal 58 3 4 2 2 3 2 2" xfId="23813"/>
    <cellStyle name="Normal 58 3 4 2 2 3 3" xfId="9983"/>
    <cellStyle name="Normal 58 3 4 2 2 3 4" xfId="18806"/>
    <cellStyle name="Normal 58 3 4 2 2 4" xfId="2502"/>
    <cellStyle name="Normal 58 3 4 2 2 4 2" xfId="11869"/>
    <cellStyle name="Normal 58 3 4 2 2 4 3" xfId="21873"/>
    <cellStyle name="Normal 58 3 4 2 2 5" xfId="6180"/>
    <cellStyle name="Normal 58 3 4 2 2 5 2" xfId="15007"/>
    <cellStyle name="Normal 58 3 4 2 2 5 3" xfId="25258"/>
    <cellStyle name="Normal 58 3 4 2 2 6" xfId="7625"/>
    <cellStyle name="Normal 58 3 4 2 2 6 2" xfId="20355"/>
    <cellStyle name="Normal 58 3 4 2 2 7" xfId="16866"/>
    <cellStyle name="Normal 58 3 4 2 3" xfId="1342"/>
    <cellStyle name="Normal 58 3 4 2 3 2" xfId="3773"/>
    <cellStyle name="Normal 58 3 4 2 3 2 2" xfId="12911"/>
    <cellStyle name="Normal 58 3 4 2 3 2 2 2" xfId="23130"/>
    <cellStyle name="Normal 58 3 4 2 3 2 3" xfId="9332"/>
    <cellStyle name="Normal 58 3 4 2 3 2 4" xfId="18123"/>
    <cellStyle name="Normal 58 3 4 2 3 3" xfId="5071"/>
    <cellStyle name="Normal 58 3 4 2 3 3 2" xfId="13910"/>
    <cellStyle name="Normal 58 3 4 2 3 3 2 2" xfId="24161"/>
    <cellStyle name="Normal 58 3 4 2 3 3 3" xfId="10331"/>
    <cellStyle name="Normal 58 3 4 2 3 3 4" xfId="19154"/>
    <cellStyle name="Normal 58 3 4 2 3 4" xfId="2167"/>
    <cellStyle name="Normal 58 3 4 2 3 4 2" xfId="11534"/>
    <cellStyle name="Normal 58 3 4 2 3 4 3" xfId="21538"/>
    <cellStyle name="Normal 58 3 4 2 3 5" xfId="6528"/>
    <cellStyle name="Normal 58 3 4 2 3 5 2" xfId="15355"/>
    <cellStyle name="Normal 58 3 4 2 3 5 3" xfId="25606"/>
    <cellStyle name="Normal 58 3 4 2 3 6" xfId="7974"/>
    <cellStyle name="Normal 58 3 4 2 3 6 2" xfId="20729"/>
    <cellStyle name="Normal 58 3 4 2 3 7" xfId="16531"/>
    <cellStyle name="Normal 58 3 4 2 4" xfId="3058"/>
    <cellStyle name="Normal 58 3 4 2 4 2" xfId="5436"/>
    <cellStyle name="Normal 58 3 4 2 4 2 2" xfId="14275"/>
    <cellStyle name="Normal 58 3 4 2 4 2 2 2" xfId="24526"/>
    <cellStyle name="Normal 58 3 4 2 4 2 3" xfId="10696"/>
    <cellStyle name="Normal 58 3 4 2 4 2 4" xfId="19519"/>
    <cellStyle name="Normal 58 3 4 2 4 3" xfId="6893"/>
    <cellStyle name="Normal 58 3 4 2 4 3 2" xfId="15720"/>
    <cellStyle name="Normal 58 3 4 2 4 3 3" xfId="25971"/>
    <cellStyle name="Normal 58 3 4 2 4 4" xfId="8339"/>
    <cellStyle name="Normal 58 3 4 2 4 4 2" xfId="22421"/>
    <cellStyle name="Normal 58 3 4 2 4 5" xfId="17414"/>
    <cellStyle name="Normal 58 3 4 2 5" xfId="4392"/>
    <cellStyle name="Normal 58 3 4 2 5 2" xfId="13232"/>
    <cellStyle name="Normal 58 3 4 2 5 2 2" xfId="23483"/>
    <cellStyle name="Normal 58 3 4 2 5 3" xfId="9653"/>
    <cellStyle name="Normal 58 3 4 2 5 4" xfId="18476"/>
    <cellStyle name="Normal 58 3 4 2 6" xfId="1664"/>
    <cellStyle name="Normal 58 3 4 2 6 2" xfId="11043"/>
    <cellStyle name="Normal 58 3 4 2 6 3" xfId="21047"/>
    <cellStyle name="Normal 58 3 4 2 7" xfId="5850"/>
    <cellStyle name="Normal 58 3 4 2 7 2" xfId="14677"/>
    <cellStyle name="Normal 58 3 4 2 7 3" xfId="24928"/>
    <cellStyle name="Normal 58 3 4 2 8" xfId="7294"/>
    <cellStyle name="Normal 58 3 4 2 8 2" xfId="20020"/>
    <cellStyle name="Normal 58 3 4 2 9" xfId="16040"/>
    <cellStyle name="Normal 58 3 4 2_Degree data" xfId="4014"/>
    <cellStyle name="Normal 58 3 4 3" xfId="365"/>
    <cellStyle name="Normal 58 3 4 3 2" xfId="2853"/>
    <cellStyle name="Normal 58 3 4 3 2 2" xfId="12143"/>
    <cellStyle name="Normal 58 3 4 3 2 2 2" xfId="22216"/>
    <cellStyle name="Normal 58 3 4 3 2 3" xfId="8542"/>
    <cellStyle name="Normal 58 3 4 3 2 4" xfId="17209"/>
    <cellStyle name="Normal 58 3 4 3 3" xfId="4721"/>
    <cellStyle name="Normal 58 3 4 3 3 2" xfId="13561"/>
    <cellStyle name="Normal 58 3 4 3 3 2 2" xfId="23812"/>
    <cellStyle name="Normal 58 3 4 3 3 3" xfId="9982"/>
    <cellStyle name="Normal 58 3 4 3 3 4" xfId="18805"/>
    <cellStyle name="Normal 58 3 4 3 4" xfId="1962"/>
    <cellStyle name="Normal 58 3 4 3 4 2" xfId="11329"/>
    <cellStyle name="Normal 58 3 4 3 4 3" xfId="21333"/>
    <cellStyle name="Normal 58 3 4 3 5" xfId="6179"/>
    <cellStyle name="Normal 58 3 4 3 5 2" xfId="15006"/>
    <cellStyle name="Normal 58 3 4 3 5 3" xfId="25257"/>
    <cellStyle name="Normal 58 3 4 3 6" xfId="7624"/>
    <cellStyle name="Normal 58 3 4 3 6 2" xfId="19815"/>
    <cellStyle name="Normal 58 3 4 3 7" xfId="16326"/>
    <cellStyle name="Normal 58 3 4 4" xfId="905"/>
    <cellStyle name="Normal 58 3 4 4 2" xfId="3392"/>
    <cellStyle name="Normal 58 3 4 4 2 2" xfId="12536"/>
    <cellStyle name="Normal 58 3 4 4 2 2 2" xfId="22755"/>
    <cellStyle name="Normal 58 3 4 4 2 3" xfId="8958"/>
    <cellStyle name="Normal 58 3 4 4 2 4" xfId="17748"/>
    <cellStyle name="Normal 58 3 4 4 3" xfId="5070"/>
    <cellStyle name="Normal 58 3 4 4 3 2" xfId="13909"/>
    <cellStyle name="Normal 58 3 4 4 3 2 2" xfId="24160"/>
    <cellStyle name="Normal 58 3 4 4 3 3" xfId="10330"/>
    <cellStyle name="Normal 58 3 4 4 3 4" xfId="19153"/>
    <cellStyle name="Normal 58 3 4 4 4" xfId="2501"/>
    <cellStyle name="Normal 58 3 4 4 4 2" xfId="11868"/>
    <cellStyle name="Normal 58 3 4 4 4 3" xfId="21872"/>
    <cellStyle name="Normal 58 3 4 4 5" xfId="6527"/>
    <cellStyle name="Normal 58 3 4 4 5 2" xfId="15354"/>
    <cellStyle name="Normal 58 3 4 4 5 3" xfId="25605"/>
    <cellStyle name="Normal 58 3 4 4 6" xfId="7973"/>
    <cellStyle name="Normal 58 3 4 4 6 2" xfId="20354"/>
    <cellStyle name="Normal 58 3 4 4 7" xfId="16865"/>
    <cellStyle name="Normal 58 3 4 5" xfId="1137"/>
    <cellStyle name="Normal 58 3 4 5 2" xfId="3568"/>
    <cellStyle name="Normal 58 3 4 5 2 2" xfId="12706"/>
    <cellStyle name="Normal 58 3 4 5 2 2 2" xfId="22925"/>
    <cellStyle name="Normal 58 3 4 5 2 3" xfId="9127"/>
    <cellStyle name="Normal 58 3 4 5 2 4" xfId="17918"/>
    <cellStyle name="Normal 58 3 4 5 3" xfId="5231"/>
    <cellStyle name="Normal 58 3 4 5 3 2" xfId="14070"/>
    <cellStyle name="Normal 58 3 4 5 3 2 2" xfId="24321"/>
    <cellStyle name="Normal 58 3 4 5 3 3" xfId="10491"/>
    <cellStyle name="Normal 58 3 4 5 3 4" xfId="19314"/>
    <cellStyle name="Normal 58 3 4 5 4" xfId="1847"/>
    <cellStyle name="Normal 58 3 4 5 4 2" xfId="11217"/>
    <cellStyle name="Normal 58 3 4 5 4 3" xfId="21221"/>
    <cellStyle name="Normal 58 3 4 5 5" xfId="6688"/>
    <cellStyle name="Normal 58 3 4 5 5 2" xfId="15515"/>
    <cellStyle name="Normal 58 3 4 5 5 3" xfId="25766"/>
    <cellStyle name="Normal 58 3 4 5 6" xfId="8134"/>
    <cellStyle name="Normal 58 3 4 5 6 2" xfId="20524"/>
    <cellStyle name="Normal 58 3 4 5 7" xfId="16214"/>
    <cellStyle name="Normal 58 3 4 6" xfId="2741"/>
    <cellStyle name="Normal 58 3 4 6 2" xfId="12060"/>
    <cellStyle name="Normal 58 3 4 6 2 2" xfId="22104"/>
    <cellStyle name="Normal 58 3 4 6 3" xfId="8500"/>
    <cellStyle name="Normal 58 3 4 6 4" xfId="17097"/>
    <cellStyle name="Normal 58 3 4 7" xfId="4187"/>
    <cellStyle name="Normal 58 3 4 7 2" xfId="13027"/>
    <cellStyle name="Normal 58 3 4 7 2 2" xfId="23278"/>
    <cellStyle name="Normal 58 3 4 7 3" xfId="9448"/>
    <cellStyle name="Normal 58 3 4 7 4" xfId="18271"/>
    <cellStyle name="Normal 58 3 4 8" xfId="1459"/>
    <cellStyle name="Normal 58 3 4 8 2" xfId="10838"/>
    <cellStyle name="Normal 58 3 4 8 3" xfId="20842"/>
    <cellStyle name="Normal 58 3 4 9" xfId="5645"/>
    <cellStyle name="Normal 58 3 4 9 2" xfId="14472"/>
    <cellStyle name="Normal 58 3 4 9 3" xfId="24723"/>
    <cellStyle name="Normal 58 3 4_Degree data" xfId="4013"/>
    <cellStyle name="Normal 58 3 5" xfId="465"/>
    <cellStyle name="Normal 58 3 5 2" xfId="907"/>
    <cellStyle name="Normal 58 3 5 2 2" xfId="3394"/>
    <cellStyle name="Normal 58 3 5 2 2 2" xfId="12538"/>
    <cellStyle name="Normal 58 3 5 2 2 2 2" xfId="22757"/>
    <cellStyle name="Normal 58 3 5 2 2 3" xfId="8960"/>
    <cellStyle name="Normal 58 3 5 2 2 4" xfId="17750"/>
    <cellStyle name="Normal 58 3 5 2 3" xfId="4723"/>
    <cellStyle name="Normal 58 3 5 2 3 2" xfId="13563"/>
    <cellStyle name="Normal 58 3 5 2 3 2 2" xfId="23814"/>
    <cellStyle name="Normal 58 3 5 2 3 3" xfId="9984"/>
    <cellStyle name="Normal 58 3 5 2 3 4" xfId="18807"/>
    <cellStyle name="Normal 58 3 5 2 4" xfId="2503"/>
    <cellStyle name="Normal 58 3 5 2 4 2" xfId="11870"/>
    <cellStyle name="Normal 58 3 5 2 4 3" xfId="21874"/>
    <cellStyle name="Normal 58 3 5 2 5" xfId="6181"/>
    <cellStyle name="Normal 58 3 5 2 5 2" xfId="15008"/>
    <cellStyle name="Normal 58 3 5 2 5 3" xfId="25259"/>
    <cellStyle name="Normal 58 3 5 2 6" xfId="7626"/>
    <cellStyle name="Normal 58 3 5 2 6 2" xfId="20356"/>
    <cellStyle name="Normal 58 3 5 2 7" xfId="16867"/>
    <cellStyle name="Normal 58 3 5 3" xfId="1237"/>
    <cellStyle name="Normal 58 3 5 3 2" xfId="3668"/>
    <cellStyle name="Normal 58 3 5 3 2 2" xfId="12806"/>
    <cellStyle name="Normal 58 3 5 3 2 2 2" xfId="23025"/>
    <cellStyle name="Normal 58 3 5 3 2 3" xfId="9227"/>
    <cellStyle name="Normal 58 3 5 3 2 4" xfId="18018"/>
    <cellStyle name="Normal 58 3 5 3 3" xfId="5072"/>
    <cellStyle name="Normal 58 3 5 3 3 2" xfId="13911"/>
    <cellStyle name="Normal 58 3 5 3 3 2 2" xfId="24162"/>
    <cellStyle name="Normal 58 3 5 3 3 3" xfId="10332"/>
    <cellStyle name="Normal 58 3 5 3 3 4" xfId="19155"/>
    <cellStyle name="Normal 58 3 5 3 4" xfId="2062"/>
    <cellStyle name="Normal 58 3 5 3 4 2" xfId="11429"/>
    <cellStyle name="Normal 58 3 5 3 4 3" xfId="21433"/>
    <cellStyle name="Normal 58 3 5 3 5" xfId="6529"/>
    <cellStyle name="Normal 58 3 5 3 5 2" xfId="15356"/>
    <cellStyle name="Normal 58 3 5 3 5 3" xfId="25607"/>
    <cellStyle name="Normal 58 3 5 3 6" xfId="7975"/>
    <cellStyle name="Normal 58 3 5 3 6 2" xfId="20624"/>
    <cellStyle name="Normal 58 3 5 3 7" xfId="16426"/>
    <cellStyle name="Normal 58 3 5 4" xfId="2953"/>
    <cellStyle name="Normal 58 3 5 4 2" xfId="5331"/>
    <cellStyle name="Normal 58 3 5 4 2 2" xfId="14170"/>
    <cellStyle name="Normal 58 3 5 4 2 2 2" xfId="24421"/>
    <cellStyle name="Normal 58 3 5 4 2 3" xfId="10591"/>
    <cellStyle name="Normal 58 3 5 4 2 4" xfId="19414"/>
    <cellStyle name="Normal 58 3 5 4 3" xfId="6788"/>
    <cellStyle name="Normal 58 3 5 4 3 2" xfId="15615"/>
    <cellStyle name="Normal 58 3 5 4 3 3" xfId="25866"/>
    <cellStyle name="Normal 58 3 5 4 4" xfId="8234"/>
    <cellStyle name="Normal 58 3 5 4 4 2" xfId="22316"/>
    <cellStyle name="Normal 58 3 5 4 5" xfId="17309"/>
    <cellStyle name="Normal 58 3 5 5" xfId="4287"/>
    <cellStyle name="Normal 58 3 5 5 2" xfId="13127"/>
    <cellStyle name="Normal 58 3 5 5 2 2" xfId="23378"/>
    <cellStyle name="Normal 58 3 5 5 3" xfId="9548"/>
    <cellStyle name="Normal 58 3 5 5 4" xfId="18371"/>
    <cellStyle name="Normal 58 3 5 6" xfId="1559"/>
    <cellStyle name="Normal 58 3 5 6 2" xfId="10938"/>
    <cellStyle name="Normal 58 3 5 6 3" xfId="20942"/>
    <cellStyle name="Normal 58 3 5 7" xfId="5745"/>
    <cellStyle name="Normal 58 3 5 7 2" xfId="14572"/>
    <cellStyle name="Normal 58 3 5 7 3" xfId="24823"/>
    <cellStyle name="Normal 58 3 5 8" xfId="7189"/>
    <cellStyle name="Normal 58 3 5 8 2" xfId="19915"/>
    <cellStyle name="Normal 58 3 5 9" xfId="15935"/>
    <cellStyle name="Normal 58 3 5_Degree data" xfId="4015"/>
    <cellStyle name="Normal 58 3 6" xfId="313"/>
    <cellStyle name="Normal 58 3 6 2" xfId="908"/>
    <cellStyle name="Normal 58 3 6 2 2" xfId="3395"/>
    <cellStyle name="Normal 58 3 6 2 2 2" xfId="12539"/>
    <cellStyle name="Normal 58 3 6 2 2 2 2" xfId="22758"/>
    <cellStyle name="Normal 58 3 6 2 2 3" xfId="8961"/>
    <cellStyle name="Normal 58 3 6 2 2 4" xfId="17751"/>
    <cellStyle name="Normal 58 3 6 2 3" xfId="4724"/>
    <cellStyle name="Normal 58 3 6 2 3 2" xfId="13564"/>
    <cellStyle name="Normal 58 3 6 2 3 2 2" xfId="23815"/>
    <cellStyle name="Normal 58 3 6 2 3 3" xfId="9985"/>
    <cellStyle name="Normal 58 3 6 2 3 4" xfId="18808"/>
    <cellStyle name="Normal 58 3 6 2 4" xfId="2504"/>
    <cellStyle name="Normal 58 3 6 2 4 2" xfId="11871"/>
    <cellStyle name="Normal 58 3 6 2 4 3" xfId="21875"/>
    <cellStyle name="Normal 58 3 6 2 5" xfId="6182"/>
    <cellStyle name="Normal 58 3 6 2 5 2" xfId="15009"/>
    <cellStyle name="Normal 58 3 6 2 5 3" xfId="25260"/>
    <cellStyle name="Normal 58 3 6 2 6" xfId="7627"/>
    <cellStyle name="Normal 58 3 6 2 6 2" xfId="20357"/>
    <cellStyle name="Normal 58 3 6 2 7" xfId="16868"/>
    <cellStyle name="Normal 58 3 6 3" xfId="1085"/>
    <cellStyle name="Normal 58 3 6 3 2" xfId="3516"/>
    <cellStyle name="Normal 58 3 6 3 2 2" xfId="12654"/>
    <cellStyle name="Normal 58 3 6 3 2 2 2" xfId="22873"/>
    <cellStyle name="Normal 58 3 6 3 2 3" xfId="9076"/>
    <cellStyle name="Normal 58 3 6 3 2 4" xfId="17866"/>
    <cellStyle name="Normal 58 3 6 3 3" xfId="5073"/>
    <cellStyle name="Normal 58 3 6 3 3 2" xfId="13912"/>
    <cellStyle name="Normal 58 3 6 3 3 2 2" xfId="24163"/>
    <cellStyle name="Normal 58 3 6 3 3 3" xfId="10333"/>
    <cellStyle name="Normal 58 3 6 3 3 4" xfId="19156"/>
    <cellStyle name="Normal 58 3 6 3 4" xfId="2608"/>
    <cellStyle name="Normal 58 3 6 3 4 2" xfId="11974"/>
    <cellStyle name="Normal 58 3 6 3 4 3" xfId="21978"/>
    <cellStyle name="Normal 58 3 6 3 5" xfId="6530"/>
    <cellStyle name="Normal 58 3 6 3 5 2" xfId="15357"/>
    <cellStyle name="Normal 58 3 6 3 5 3" xfId="25608"/>
    <cellStyle name="Normal 58 3 6 3 6" xfId="7976"/>
    <cellStyle name="Normal 58 3 6 3 6 2" xfId="20472"/>
    <cellStyle name="Normal 58 3 6 3 7" xfId="16971"/>
    <cellStyle name="Normal 58 3 6 4" xfId="2801"/>
    <cellStyle name="Normal 58 3 6 4 2" xfId="5179"/>
    <cellStyle name="Normal 58 3 6 4 2 2" xfId="14018"/>
    <cellStyle name="Normal 58 3 6 4 2 2 2" xfId="24269"/>
    <cellStyle name="Normal 58 3 6 4 2 3" xfId="10439"/>
    <cellStyle name="Normal 58 3 6 4 2 4" xfId="19262"/>
    <cellStyle name="Normal 58 3 6 4 3" xfId="6636"/>
    <cellStyle name="Normal 58 3 6 4 3 2" xfId="15463"/>
    <cellStyle name="Normal 58 3 6 4 3 3" xfId="25714"/>
    <cellStyle name="Normal 58 3 6 4 4" xfId="8082"/>
    <cellStyle name="Normal 58 3 6 4 4 2" xfId="22164"/>
    <cellStyle name="Normal 58 3 6 4 5" xfId="17157"/>
    <cellStyle name="Normal 58 3 6 5" xfId="4133"/>
    <cellStyle name="Normal 58 3 6 5 2" xfId="12973"/>
    <cellStyle name="Normal 58 3 6 5 2 2" xfId="23224"/>
    <cellStyle name="Normal 58 3 6 5 3" xfId="9394"/>
    <cellStyle name="Normal 58 3 6 5 4" xfId="18217"/>
    <cellStyle name="Normal 58 3 6 6" xfId="1910"/>
    <cellStyle name="Normal 58 3 6 6 2" xfId="11277"/>
    <cellStyle name="Normal 58 3 6 6 3" xfId="21281"/>
    <cellStyle name="Normal 58 3 6 7" xfId="5593"/>
    <cellStyle name="Normal 58 3 6 7 2" xfId="14420"/>
    <cellStyle name="Normal 58 3 6 7 3" xfId="24671"/>
    <cellStyle name="Normal 58 3 6 8" xfId="7037"/>
    <cellStyle name="Normal 58 3 6 8 2" xfId="19763"/>
    <cellStyle name="Normal 58 3 6 9" xfId="16274"/>
    <cellStyle name="Normal 58 3 6_Degree data" xfId="4016"/>
    <cellStyle name="Normal 58 3 7" xfId="897"/>
    <cellStyle name="Normal 58 3 7 2" xfId="3384"/>
    <cellStyle name="Normal 58 3 7 2 2" xfId="12528"/>
    <cellStyle name="Normal 58 3 7 2 2 2" xfId="22747"/>
    <cellStyle name="Normal 58 3 7 2 3" xfId="8950"/>
    <cellStyle name="Normal 58 3 7 2 4" xfId="17740"/>
    <cellStyle name="Normal 58 3 7 3" xfId="4713"/>
    <cellStyle name="Normal 58 3 7 3 2" xfId="13553"/>
    <cellStyle name="Normal 58 3 7 3 2 2" xfId="23804"/>
    <cellStyle name="Normal 58 3 7 3 3" xfId="9974"/>
    <cellStyle name="Normal 58 3 7 3 4" xfId="18797"/>
    <cellStyle name="Normal 58 3 7 4" xfId="2493"/>
    <cellStyle name="Normal 58 3 7 4 2" xfId="11860"/>
    <cellStyle name="Normal 58 3 7 4 3" xfId="21864"/>
    <cellStyle name="Normal 58 3 7 5" xfId="6171"/>
    <cellStyle name="Normal 58 3 7 5 2" xfId="14998"/>
    <cellStyle name="Normal 58 3 7 5 3" xfId="25249"/>
    <cellStyle name="Normal 58 3 7 6" xfId="7616"/>
    <cellStyle name="Normal 58 3 7 6 2" xfId="20346"/>
    <cellStyle name="Normal 58 3 7 7" xfId="16857"/>
    <cellStyle name="Normal 58 3 8" xfId="1065"/>
    <cellStyle name="Normal 58 3 8 2" xfId="3496"/>
    <cellStyle name="Normal 58 3 8 2 2" xfId="12634"/>
    <cellStyle name="Normal 58 3 8 2 2 2" xfId="22853"/>
    <cellStyle name="Normal 58 3 8 2 3" xfId="9056"/>
    <cellStyle name="Normal 58 3 8 2 4" xfId="17846"/>
    <cellStyle name="Normal 58 3 8 3" xfId="5062"/>
    <cellStyle name="Normal 58 3 8 3 2" xfId="13901"/>
    <cellStyle name="Normal 58 3 8 3 2 2" xfId="24152"/>
    <cellStyle name="Normal 58 3 8 3 3" xfId="10322"/>
    <cellStyle name="Normal 58 3 8 3 4" xfId="19145"/>
    <cellStyle name="Normal 58 3 8 4" xfId="1735"/>
    <cellStyle name="Normal 58 3 8 4 2" xfId="11111"/>
    <cellStyle name="Normal 58 3 8 4 3" xfId="21115"/>
    <cellStyle name="Normal 58 3 8 5" xfId="6519"/>
    <cellStyle name="Normal 58 3 8 5 2" xfId="15346"/>
    <cellStyle name="Normal 58 3 8 5 3" xfId="25597"/>
    <cellStyle name="Normal 58 3 8 6" xfId="7965"/>
    <cellStyle name="Normal 58 3 8 6 2" xfId="20452"/>
    <cellStyle name="Normal 58 3 8 7" xfId="16108"/>
    <cellStyle name="Normal 58 3 9" xfId="2633"/>
    <cellStyle name="Normal 58 3 9 2" xfId="5159"/>
    <cellStyle name="Normal 58 3 9 2 2" xfId="13998"/>
    <cellStyle name="Normal 58 3 9 2 2 2" xfId="24249"/>
    <cellStyle name="Normal 58 3 9 2 3" xfId="10419"/>
    <cellStyle name="Normal 58 3 9 2 4" xfId="19242"/>
    <cellStyle name="Normal 58 3 9 3" xfId="6616"/>
    <cellStyle name="Normal 58 3 9 3 2" xfId="15443"/>
    <cellStyle name="Normal 58 3 9 3 3" xfId="25694"/>
    <cellStyle name="Normal 58 3 9 4" xfId="8062"/>
    <cellStyle name="Normal 58 3 9 4 2" xfId="21998"/>
    <cellStyle name="Normal 58 3 9 5" xfId="16991"/>
    <cellStyle name="Normal 58 3_Degree data" xfId="4005"/>
    <cellStyle name="Normal 58 4" xfId="138"/>
    <cellStyle name="Normal 58 4 10" xfId="4108"/>
    <cellStyle name="Normal 58 4 10 2" xfId="5568"/>
    <cellStyle name="Normal 58 4 10 2 2" xfId="14395"/>
    <cellStyle name="Normal 58 4 10 2 3" xfId="24646"/>
    <cellStyle name="Normal 58 4 10 3" xfId="7012"/>
    <cellStyle name="Normal 58 4 10 3 2" xfId="23199"/>
    <cellStyle name="Normal 58 4 10 4" xfId="18192"/>
    <cellStyle name="Normal 58 4 11" xfId="1425"/>
    <cellStyle name="Normal 58 4 11 2" xfId="10804"/>
    <cellStyle name="Normal 58 4 11 3" xfId="20808"/>
    <cellStyle name="Normal 58 4 12" xfId="5536"/>
    <cellStyle name="Normal 58 4 12 2" xfId="14365"/>
    <cellStyle name="Normal 58 4 12 3" xfId="24616"/>
    <cellStyle name="Normal 58 4 13" xfId="6979"/>
    <cellStyle name="Normal 58 4 13 2" xfId="19609"/>
    <cellStyle name="Normal 58 4 14" xfId="15801"/>
    <cellStyle name="Normal 58 4 2" xfId="155"/>
    <cellStyle name="Normal 58 4 2 10" xfId="5670"/>
    <cellStyle name="Normal 58 4 2 10 2" xfId="14497"/>
    <cellStyle name="Normal 58 4 2 10 3" xfId="24748"/>
    <cellStyle name="Normal 58 4 2 11" xfId="7114"/>
    <cellStyle name="Normal 58 4 2 11 2" xfId="19623"/>
    <cellStyle name="Normal 58 4 2 12" xfId="15860"/>
    <cellStyle name="Normal 58 4 2 2" xfId="271"/>
    <cellStyle name="Normal 58 4 2 2 10" xfId="16064"/>
    <cellStyle name="Normal 58 4 2 2 2" xfId="594"/>
    <cellStyle name="Normal 58 4 2 2 2 2" xfId="3082"/>
    <cellStyle name="Normal 58 4 2 2 2 2 2" xfId="12235"/>
    <cellStyle name="Normal 58 4 2 2 2 2 2 2" xfId="22445"/>
    <cellStyle name="Normal 58 4 2 2 2 2 3" xfId="8657"/>
    <cellStyle name="Normal 58 4 2 2 2 2 4" xfId="17438"/>
    <cellStyle name="Normal 58 4 2 2 2 3" xfId="4727"/>
    <cellStyle name="Normal 58 4 2 2 2 3 2" xfId="13567"/>
    <cellStyle name="Normal 58 4 2 2 2 3 2 2" xfId="23818"/>
    <cellStyle name="Normal 58 4 2 2 2 3 3" xfId="9988"/>
    <cellStyle name="Normal 58 4 2 2 2 3 4" xfId="18811"/>
    <cellStyle name="Normal 58 4 2 2 2 4" xfId="2191"/>
    <cellStyle name="Normal 58 4 2 2 2 4 2" xfId="11558"/>
    <cellStyle name="Normal 58 4 2 2 2 4 3" xfId="21562"/>
    <cellStyle name="Normal 58 4 2 2 2 5" xfId="6185"/>
    <cellStyle name="Normal 58 4 2 2 2 5 2" xfId="15012"/>
    <cellStyle name="Normal 58 4 2 2 2 5 3" xfId="25263"/>
    <cellStyle name="Normal 58 4 2 2 2 6" xfId="7630"/>
    <cellStyle name="Normal 58 4 2 2 2 6 2" xfId="20044"/>
    <cellStyle name="Normal 58 4 2 2 2 7" xfId="16555"/>
    <cellStyle name="Normal 58 4 2 2 3" xfId="911"/>
    <cellStyle name="Normal 58 4 2 2 3 2" xfId="3398"/>
    <cellStyle name="Normal 58 4 2 2 3 2 2" xfId="12542"/>
    <cellStyle name="Normal 58 4 2 2 3 2 2 2" xfId="22761"/>
    <cellStyle name="Normal 58 4 2 2 3 2 3" xfId="8964"/>
    <cellStyle name="Normal 58 4 2 2 3 2 4" xfId="17754"/>
    <cellStyle name="Normal 58 4 2 2 3 3" xfId="5076"/>
    <cellStyle name="Normal 58 4 2 2 3 3 2" xfId="13915"/>
    <cellStyle name="Normal 58 4 2 2 3 3 2 2" xfId="24166"/>
    <cellStyle name="Normal 58 4 2 2 3 3 3" xfId="10336"/>
    <cellStyle name="Normal 58 4 2 2 3 3 4" xfId="19159"/>
    <cellStyle name="Normal 58 4 2 2 3 4" xfId="2507"/>
    <cellStyle name="Normal 58 4 2 2 3 4 2" xfId="11874"/>
    <cellStyle name="Normal 58 4 2 2 3 4 3" xfId="21878"/>
    <cellStyle name="Normal 58 4 2 2 3 5" xfId="6533"/>
    <cellStyle name="Normal 58 4 2 2 3 5 2" xfId="15360"/>
    <cellStyle name="Normal 58 4 2 2 3 5 3" xfId="25611"/>
    <cellStyle name="Normal 58 4 2 2 3 6" xfId="7979"/>
    <cellStyle name="Normal 58 4 2 2 3 6 2" xfId="20360"/>
    <cellStyle name="Normal 58 4 2 2 3 7" xfId="16871"/>
    <cellStyle name="Normal 58 4 2 2 4" xfId="1366"/>
    <cellStyle name="Normal 58 4 2 2 4 2" xfId="3797"/>
    <cellStyle name="Normal 58 4 2 2 4 2 2" xfId="12935"/>
    <cellStyle name="Normal 58 4 2 2 4 2 2 2" xfId="23154"/>
    <cellStyle name="Normal 58 4 2 2 4 2 3" xfId="9356"/>
    <cellStyle name="Normal 58 4 2 2 4 2 4" xfId="18147"/>
    <cellStyle name="Normal 58 4 2 2 4 3" xfId="5460"/>
    <cellStyle name="Normal 58 4 2 2 4 3 2" xfId="14299"/>
    <cellStyle name="Normal 58 4 2 2 4 3 2 2" xfId="24550"/>
    <cellStyle name="Normal 58 4 2 2 4 3 3" xfId="10720"/>
    <cellStyle name="Normal 58 4 2 2 4 3 4" xfId="19543"/>
    <cellStyle name="Normal 58 4 2 2 4 4" xfId="1871"/>
    <cellStyle name="Normal 58 4 2 2 4 4 2" xfId="11241"/>
    <cellStyle name="Normal 58 4 2 2 4 4 3" xfId="21245"/>
    <cellStyle name="Normal 58 4 2 2 4 5" xfId="6917"/>
    <cellStyle name="Normal 58 4 2 2 4 5 2" xfId="15744"/>
    <cellStyle name="Normal 58 4 2 2 4 5 3" xfId="25995"/>
    <cellStyle name="Normal 58 4 2 2 4 6" xfId="8363"/>
    <cellStyle name="Normal 58 4 2 2 4 6 2" xfId="20753"/>
    <cellStyle name="Normal 58 4 2 2 4 7" xfId="16238"/>
    <cellStyle name="Normal 58 4 2 2 5" xfId="2765"/>
    <cellStyle name="Normal 58 4 2 2 5 2" xfId="12084"/>
    <cellStyle name="Normal 58 4 2 2 5 2 2" xfId="22128"/>
    <cellStyle name="Normal 58 4 2 2 5 3" xfId="8412"/>
    <cellStyle name="Normal 58 4 2 2 5 4" xfId="17121"/>
    <cellStyle name="Normal 58 4 2 2 6" xfId="4416"/>
    <cellStyle name="Normal 58 4 2 2 6 2" xfId="13256"/>
    <cellStyle name="Normal 58 4 2 2 6 2 2" xfId="23507"/>
    <cellStyle name="Normal 58 4 2 2 6 3" xfId="9677"/>
    <cellStyle name="Normal 58 4 2 2 6 4" xfId="18500"/>
    <cellStyle name="Normal 58 4 2 2 7" xfId="1688"/>
    <cellStyle name="Normal 58 4 2 2 7 2" xfId="11067"/>
    <cellStyle name="Normal 58 4 2 2 7 3" xfId="21071"/>
    <cellStyle name="Normal 58 4 2 2 8" xfId="5874"/>
    <cellStyle name="Normal 58 4 2 2 8 2" xfId="14701"/>
    <cellStyle name="Normal 58 4 2 2 8 3" xfId="24952"/>
    <cellStyle name="Normal 58 4 2 2 9" xfId="7318"/>
    <cellStyle name="Normal 58 4 2 2 9 2" xfId="19727"/>
    <cellStyle name="Normal 58 4 2 2_Degree data" xfId="4019"/>
    <cellStyle name="Normal 58 4 2 3" xfId="490"/>
    <cellStyle name="Normal 58 4 2 3 2" xfId="912"/>
    <cellStyle name="Normal 58 4 2 3 2 2" xfId="3399"/>
    <cellStyle name="Normal 58 4 2 3 2 2 2" xfId="12543"/>
    <cellStyle name="Normal 58 4 2 3 2 2 2 2" xfId="22762"/>
    <cellStyle name="Normal 58 4 2 3 2 2 3" xfId="8965"/>
    <cellStyle name="Normal 58 4 2 3 2 2 4" xfId="17755"/>
    <cellStyle name="Normal 58 4 2 3 2 3" xfId="4728"/>
    <cellStyle name="Normal 58 4 2 3 2 3 2" xfId="13568"/>
    <cellStyle name="Normal 58 4 2 3 2 3 2 2" xfId="23819"/>
    <cellStyle name="Normal 58 4 2 3 2 3 3" xfId="9989"/>
    <cellStyle name="Normal 58 4 2 3 2 3 4" xfId="18812"/>
    <cellStyle name="Normal 58 4 2 3 2 4" xfId="2508"/>
    <cellStyle name="Normal 58 4 2 3 2 4 2" xfId="11875"/>
    <cellStyle name="Normal 58 4 2 3 2 4 3" xfId="21879"/>
    <cellStyle name="Normal 58 4 2 3 2 5" xfId="6186"/>
    <cellStyle name="Normal 58 4 2 3 2 5 2" xfId="15013"/>
    <cellStyle name="Normal 58 4 2 3 2 5 3" xfId="25264"/>
    <cellStyle name="Normal 58 4 2 3 2 6" xfId="7631"/>
    <cellStyle name="Normal 58 4 2 3 2 6 2" xfId="20361"/>
    <cellStyle name="Normal 58 4 2 3 2 7" xfId="16872"/>
    <cellStyle name="Normal 58 4 2 3 3" xfId="1262"/>
    <cellStyle name="Normal 58 4 2 3 3 2" xfId="3693"/>
    <cellStyle name="Normal 58 4 2 3 3 2 2" xfId="12831"/>
    <cellStyle name="Normal 58 4 2 3 3 2 2 2" xfId="23050"/>
    <cellStyle name="Normal 58 4 2 3 3 2 3" xfId="9252"/>
    <cellStyle name="Normal 58 4 2 3 3 2 4" xfId="18043"/>
    <cellStyle name="Normal 58 4 2 3 3 3" xfId="5077"/>
    <cellStyle name="Normal 58 4 2 3 3 3 2" xfId="13916"/>
    <cellStyle name="Normal 58 4 2 3 3 3 2 2" xfId="24167"/>
    <cellStyle name="Normal 58 4 2 3 3 3 3" xfId="10337"/>
    <cellStyle name="Normal 58 4 2 3 3 3 4" xfId="19160"/>
    <cellStyle name="Normal 58 4 2 3 3 4" xfId="2087"/>
    <cellStyle name="Normal 58 4 2 3 3 4 2" xfId="11454"/>
    <cellStyle name="Normal 58 4 2 3 3 4 3" xfId="21458"/>
    <cellStyle name="Normal 58 4 2 3 3 5" xfId="6534"/>
    <cellStyle name="Normal 58 4 2 3 3 5 2" xfId="15361"/>
    <cellStyle name="Normal 58 4 2 3 3 5 3" xfId="25612"/>
    <cellStyle name="Normal 58 4 2 3 3 6" xfId="7980"/>
    <cellStyle name="Normal 58 4 2 3 3 6 2" xfId="20649"/>
    <cellStyle name="Normal 58 4 2 3 3 7" xfId="16451"/>
    <cellStyle name="Normal 58 4 2 3 4" xfId="2978"/>
    <cellStyle name="Normal 58 4 2 3 4 2" xfId="5356"/>
    <cellStyle name="Normal 58 4 2 3 4 2 2" xfId="14195"/>
    <cellStyle name="Normal 58 4 2 3 4 2 2 2" xfId="24446"/>
    <cellStyle name="Normal 58 4 2 3 4 2 3" xfId="10616"/>
    <cellStyle name="Normal 58 4 2 3 4 2 4" xfId="19439"/>
    <cellStyle name="Normal 58 4 2 3 4 3" xfId="6813"/>
    <cellStyle name="Normal 58 4 2 3 4 3 2" xfId="15640"/>
    <cellStyle name="Normal 58 4 2 3 4 3 3" xfId="25891"/>
    <cellStyle name="Normal 58 4 2 3 4 4" xfId="8259"/>
    <cellStyle name="Normal 58 4 2 3 4 4 2" xfId="22341"/>
    <cellStyle name="Normal 58 4 2 3 4 5" xfId="17334"/>
    <cellStyle name="Normal 58 4 2 3 5" xfId="4312"/>
    <cellStyle name="Normal 58 4 2 3 5 2" xfId="13152"/>
    <cellStyle name="Normal 58 4 2 3 5 2 2" xfId="23403"/>
    <cellStyle name="Normal 58 4 2 3 5 3" xfId="9573"/>
    <cellStyle name="Normal 58 4 2 3 5 4" xfId="18396"/>
    <cellStyle name="Normal 58 4 2 3 6" xfId="1584"/>
    <cellStyle name="Normal 58 4 2 3 6 2" xfId="10963"/>
    <cellStyle name="Normal 58 4 2 3 6 3" xfId="20967"/>
    <cellStyle name="Normal 58 4 2 3 7" xfId="5770"/>
    <cellStyle name="Normal 58 4 2 3 7 2" xfId="14597"/>
    <cellStyle name="Normal 58 4 2 3 7 3" xfId="24848"/>
    <cellStyle name="Normal 58 4 2 3 8" xfId="7214"/>
    <cellStyle name="Normal 58 4 2 3 8 2" xfId="19940"/>
    <cellStyle name="Normal 58 4 2 3 9" xfId="15960"/>
    <cellStyle name="Normal 58 4 2 3_Degree data" xfId="4020"/>
    <cellStyle name="Normal 58 4 2 4" xfId="390"/>
    <cellStyle name="Normal 58 4 2 4 2" xfId="2878"/>
    <cellStyle name="Normal 58 4 2 4 2 2" xfId="12168"/>
    <cellStyle name="Normal 58 4 2 4 2 2 2" xfId="22241"/>
    <cellStyle name="Normal 58 4 2 4 2 3" xfId="8621"/>
    <cellStyle name="Normal 58 4 2 4 2 4" xfId="17234"/>
    <cellStyle name="Normal 58 4 2 4 3" xfId="4726"/>
    <cellStyle name="Normal 58 4 2 4 3 2" xfId="13566"/>
    <cellStyle name="Normal 58 4 2 4 3 2 2" xfId="23817"/>
    <cellStyle name="Normal 58 4 2 4 3 3" xfId="9987"/>
    <cellStyle name="Normal 58 4 2 4 3 4" xfId="18810"/>
    <cellStyle name="Normal 58 4 2 4 4" xfId="1987"/>
    <cellStyle name="Normal 58 4 2 4 4 2" xfId="11354"/>
    <cellStyle name="Normal 58 4 2 4 4 3" xfId="21358"/>
    <cellStyle name="Normal 58 4 2 4 5" xfId="6184"/>
    <cellStyle name="Normal 58 4 2 4 5 2" xfId="15011"/>
    <cellStyle name="Normal 58 4 2 4 5 3" xfId="25262"/>
    <cellStyle name="Normal 58 4 2 4 6" xfId="7629"/>
    <cellStyle name="Normal 58 4 2 4 6 2" xfId="19840"/>
    <cellStyle name="Normal 58 4 2 4 7" xfId="16351"/>
    <cellStyle name="Normal 58 4 2 5" xfId="910"/>
    <cellStyle name="Normal 58 4 2 5 2" xfId="3397"/>
    <cellStyle name="Normal 58 4 2 5 2 2" xfId="12541"/>
    <cellStyle name="Normal 58 4 2 5 2 2 2" xfId="22760"/>
    <cellStyle name="Normal 58 4 2 5 2 3" xfId="8963"/>
    <cellStyle name="Normal 58 4 2 5 2 4" xfId="17753"/>
    <cellStyle name="Normal 58 4 2 5 3" xfId="5075"/>
    <cellStyle name="Normal 58 4 2 5 3 2" xfId="13914"/>
    <cellStyle name="Normal 58 4 2 5 3 2 2" xfId="24165"/>
    <cellStyle name="Normal 58 4 2 5 3 3" xfId="10335"/>
    <cellStyle name="Normal 58 4 2 5 3 4" xfId="19158"/>
    <cellStyle name="Normal 58 4 2 5 4" xfId="2506"/>
    <cellStyle name="Normal 58 4 2 5 4 2" xfId="11873"/>
    <cellStyle name="Normal 58 4 2 5 4 3" xfId="21877"/>
    <cellStyle name="Normal 58 4 2 5 5" xfId="6532"/>
    <cellStyle name="Normal 58 4 2 5 5 2" xfId="15359"/>
    <cellStyle name="Normal 58 4 2 5 5 3" xfId="25610"/>
    <cellStyle name="Normal 58 4 2 5 6" xfId="7978"/>
    <cellStyle name="Normal 58 4 2 5 6 2" xfId="20359"/>
    <cellStyle name="Normal 58 4 2 5 7" xfId="16870"/>
    <cellStyle name="Normal 58 4 2 6" xfId="1162"/>
    <cellStyle name="Normal 58 4 2 6 2" xfId="3593"/>
    <cellStyle name="Normal 58 4 2 6 2 2" xfId="12731"/>
    <cellStyle name="Normal 58 4 2 6 2 2 2" xfId="22950"/>
    <cellStyle name="Normal 58 4 2 6 2 3" xfId="9152"/>
    <cellStyle name="Normal 58 4 2 6 2 4" xfId="17943"/>
    <cellStyle name="Normal 58 4 2 6 3" xfId="5256"/>
    <cellStyle name="Normal 58 4 2 6 3 2" xfId="14095"/>
    <cellStyle name="Normal 58 4 2 6 3 2 2" xfId="24346"/>
    <cellStyle name="Normal 58 4 2 6 3 3" xfId="10516"/>
    <cellStyle name="Normal 58 4 2 6 3 4" xfId="19339"/>
    <cellStyle name="Normal 58 4 2 6 4" xfId="1763"/>
    <cellStyle name="Normal 58 4 2 6 4 2" xfId="11136"/>
    <cellStyle name="Normal 58 4 2 6 4 3" xfId="21140"/>
    <cellStyle name="Normal 58 4 2 6 5" xfId="6713"/>
    <cellStyle name="Normal 58 4 2 6 5 2" xfId="15540"/>
    <cellStyle name="Normal 58 4 2 6 5 3" xfId="25791"/>
    <cellStyle name="Normal 58 4 2 6 6" xfId="8159"/>
    <cellStyle name="Normal 58 4 2 6 6 2" xfId="20549"/>
    <cellStyle name="Normal 58 4 2 6 7" xfId="16133"/>
    <cellStyle name="Normal 58 4 2 7" xfId="2661"/>
    <cellStyle name="Normal 58 4 2 7 2" xfId="11985"/>
    <cellStyle name="Normal 58 4 2 7 2 2" xfId="22024"/>
    <cellStyle name="Normal 58 4 2 7 3" xfId="8626"/>
    <cellStyle name="Normal 58 4 2 7 4" xfId="17017"/>
    <cellStyle name="Normal 58 4 2 8" xfId="4212"/>
    <cellStyle name="Normal 58 4 2 8 2" xfId="13052"/>
    <cellStyle name="Normal 58 4 2 8 2 2" xfId="23303"/>
    <cellStyle name="Normal 58 4 2 8 3" xfId="9473"/>
    <cellStyle name="Normal 58 4 2 8 4" xfId="18296"/>
    <cellStyle name="Normal 58 4 2 9" xfId="1484"/>
    <cellStyle name="Normal 58 4 2 9 2" xfId="10863"/>
    <cellStyle name="Normal 58 4 2 9 3" xfId="20867"/>
    <cellStyle name="Normal 58 4 2_Degree data" xfId="4018"/>
    <cellStyle name="Normal 58 4 3" xfId="205"/>
    <cellStyle name="Normal 58 4 3 10" xfId="7157"/>
    <cellStyle name="Normal 58 4 3 10 2" xfId="19666"/>
    <cellStyle name="Normal 58 4 3 11" xfId="15903"/>
    <cellStyle name="Normal 58 4 3 2" xfId="533"/>
    <cellStyle name="Normal 58 4 3 2 2" xfId="914"/>
    <cellStyle name="Normal 58 4 3 2 2 2" xfId="3401"/>
    <cellStyle name="Normal 58 4 3 2 2 2 2" xfId="12545"/>
    <cellStyle name="Normal 58 4 3 2 2 2 2 2" xfId="22764"/>
    <cellStyle name="Normal 58 4 3 2 2 2 3" xfId="8967"/>
    <cellStyle name="Normal 58 4 3 2 2 2 4" xfId="17757"/>
    <cellStyle name="Normal 58 4 3 2 2 3" xfId="4730"/>
    <cellStyle name="Normal 58 4 3 2 2 3 2" xfId="13570"/>
    <cellStyle name="Normal 58 4 3 2 2 3 2 2" xfId="23821"/>
    <cellStyle name="Normal 58 4 3 2 2 3 3" xfId="9991"/>
    <cellStyle name="Normal 58 4 3 2 2 3 4" xfId="18814"/>
    <cellStyle name="Normal 58 4 3 2 2 4" xfId="2510"/>
    <cellStyle name="Normal 58 4 3 2 2 4 2" xfId="11877"/>
    <cellStyle name="Normal 58 4 3 2 2 4 3" xfId="21881"/>
    <cellStyle name="Normal 58 4 3 2 2 5" xfId="6188"/>
    <cellStyle name="Normal 58 4 3 2 2 5 2" xfId="15015"/>
    <cellStyle name="Normal 58 4 3 2 2 5 3" xfId="25266"/>
    <cellStyle name="Normal 58 4 3 2 2 6" xfId="7633"/>
    <cellStyle name="Normal 58 4 3 2 2 6 2" xfId="20363"/>
    <cellStyle name="Normal 58 4 3 2 2 7" xfId="16874"/>
    <cellStyle name="Normal 58 4 3 2 3" xfId="1305"/>
    <cellStyle name="Normal 58 4 3 2 3 2" xfId="3736"/>
    <cellStyle name="Normal 58 4 3 2 3 2 2" xfId="12874"/>
    <cellStyle name="Normal 58 4 3 2 3 2 2 2" xfId="23093"/>
    <cellStyle name="Normal 58 4 3 2 3 2 3" xfId="9295"/>
    <cellStyle name="Normal 58 4 3 2 3 2 4" xfId="18086"/>
    <cellStyle name="Normal 58 4 3 2 3 3" xfId="5079"/>
    <cellStyle name="Normal 58 4 3 2 3 3 2" xfId="13918"/>
    <cellStyle name="Normal 58 4 3 2 3 3 2 2" xfId="24169"/>
    <cellStyle name="Normal 58 4 3 2 3 3 3" xfId="10339"/>
    <cellStyle name="Normal 58 4 3 2 3 3 4" xfId="19162"/>
    <cellStyle name="Normal 58 4 3 2 3 4" xfId="2130"/>
    <cellStyle name="Normal 58 4 3 2 3 4 2" xfId="11497"/>
    <cellStyle name="Normal 58 4 3 2 3 4 3" xfId="21501"/>
    <cellStyle name="Normal 58 4 3 2 3 5" xfId="6536"/>
    <cellStyle name="Normal 58 4 3 2 3 5 2" xfId="15363"/>
    <cellStyle name="Normal 58 4 3 2 3 5 3" xfId="25614"/>
    <cellStyle name="Normal 58 4 3 2 3 6" xfId="7982"/>
    <cellStyle name="Normal 58 4 3 2 3 6 2" xfId="20692"/>
    <cellStyle name="Normal 58 4 3 2 3 7" xfId="16494"/>
    <cellStyle name="Normal 58 4 3 2 4" xfId="3021"/>
    <cellStyle name="Normal 58 4 3 2 4 2" xfId="5399"/>
    <cellStyle name="Normal 58 4 3 2 4 2 2" xfId="14238"/>
    <cellStyle name="Normal 58 4 3 2 4 2 2 2" xfId="24489"/>
    <cellStyle name="Normal 58 4 3 2 4 2 3" xfId="10659"/>
    <cellStyle name="Normal 58 4 3 2 4 2 4" xfId="19482"/>
    <cellStyle name="Normal 58 4 3 2 4 3" xfId="6856"/>
    <cellStyle name="Normal 58 4 3 2 4 3 2" xfId="15683"/>
    <cellStyle name="Normal 58 4 3 2 4 3 3" xfId="25934"/>
    <cellStyle name="Normal 58 4 3 2 4 4" xfId="8302"/>
    <cellStyle name="Normal 58 4 3 2 4 4 2" xfId="22384"/>
    <cellStyle name="Normal 58 4 3 2 4 5" xfId="17377"/>
    <cellStyle name="Normal 58 4 3 2 5" xfId="4355"/>
    <cellStyle name="Normal 58 4 3 2 5 2" xfId="13195"/>
    <cellStyle name="Normal 58 4 3 2 5 2 2" xfId="23446"/>
    <cellStyle name="Normal 58 4 3 2 5 3" xfId="9616"/>
    <cellStyle name="Normal 58 4 3 2 5 4" xfId="18439"/>
    <cellStyle name="Normal 58 4 3 2 6" xfId="1627"/>
    <cellStyle name="Normal 58 4 3 2 6 2" xfId="11006"/>
    <cellStyle name="Normal 58 4 3 2 6 3" xfId="21010"/>
    <cellStyle name="Normal 58 4 3 2 7" xfId="5813"/>
    <cellStyle name="Normal 58 4 3 2 7 2" xfId="14640"/>
    <cellStyle name="Normal 58 4 3 2 7 3" xfId="24891"/>
    <cellStyle name="Normal 58 4 3 2 8" xfId="7257"/>
    <cellStyle name="Normal 58 4 3 2 8 2" xfId="19983"/>
    <cellStyle name="Normal 58 4 3 2 9" xfId="16003"/>
    <cellStyle name="Normal 58 4 3 2_Degree data" xfId="4022"/>
    <cellStyle name="Normal 58 4 3 3" xfId="433"/>
    <cellStyle name="Normal 58 4 3 3 2" xfId="2921"/>
    <cellStyle name="Normal 58 4 3 3 2 2" xfId="12211"/>
    <cellStyle name="Normal 58 4 3 3 2 2 2" xfId="22284"/>
    <cellStyle name="Normal 58 4 3 3 2 3" xfId="8524"/>
    <cellStyle name="Normal 58 4 3 3 2 4" xfId="17277"/>
    <cellStyle name="Normal 58 4 3 3 3" xfId="4729"/>
    <cellStyle name="Normal 58 4 3 3 3 2" xfId="13569"/>
    <cellStyle name="Normal 58 4 3 3 3 2 2" xfId="23820"/>
    <cellStyle name="Normal 58 4 3 3 3 3" xfId="9990"/>
    <cellStyle name="Normal 58 4 3 3 3 4" xfId="18813"/>
    <cellStyle name="Normal 58 4 3 3 4" xfId="2030"/>
    <cellStyle name="Normal 58 4 3 3 4 2" xfId="11397"/>
    <cellStyle name="Normal 58 4 3 3 4 3" xfId="21401"/>
    <cellStyle name="Normal 58 4 3 3 5" xfId="6187"/>
    <cellStyle name="Normal 58 4 3 3 5 2" xfId="15014"/>
    <cellStyle name="Normal 58 4 3 3 5 3" xfId="25265"/>
    <cellStyle name="Normal 58 4 3 3 6" xfId="7632"/>
    <cellStyle name="Normal 58 4 3 3 6 2" xfId="19883"/>
    <cellStyle name="Normal 58 4 3 3 7" xfId="16394"/>
    <cellStyle name="Normal 58 4 3 4" xfId="913"/>
    <cellStyle name="Normal 58 4 3 4 2" xfId="3400"/>
    <cellStyle name="Normal 58 4 3 4 2 2" xfId="12544"/>
    <cellStyle name="Normal 58 4 3 4 2 2 2" xfId="22763"/>
    <cellStyle name="Normal 58 4 3 4 2 3" xfId="8966"/>
    <cellStyle name="Normal 58 4 3 4 2 4" xfId="17756"/>
    <cellStyle name="Normal 58 4 3 4 3" xfId="5078"/>
    <cellStyle name="Normal 58 4 3 4 3 2" xfId="13917"/>
    <cellStyle name="Normal 58 4 3 4 3 2 2" xfId="24168"/>
    <cellStyle name="Normal 58 4 3 4 3 3" xfId="10338"/>
    <cellStyle name="Normal 58 4 3 4 3 4" xfId="19161"/>
    <cellStyle name="Normal 58 4 3 4 4" xfId="2509"/>
    <cellStyle name="Normal 58 4 3 4 4 2" xfId="11876"/>
    <cellStyle name="Normal 58 4 3 4 4 3" xfId="21880"/>
    <cellStyle name="Normal 58 4 3 4 5" xfId="6535"/>
    <cellStyle name="Normal 58 4 3 4 5 2" xfId="15362"/>
    <cellStyle name="Normal 58 4 3 4 5 3" xfId="25613"/>
    <cellStyle name="Normal 58 4 3 4 6" xfId="7981"/>
    <cellStyle name="Normal 58 4 3 4 6 2" xfId="20362"/>
    <cellStyle name="Normal 58 4 3 4 7" xfId="16873"/>
    <cellStyle name="Normal 58 4 3 5" xfId="1205"/>
    <cellStyle name="Normal 58 4 3 5 2" xfId="3636"/>
    <cellStyle name="Normal 58 4 3 5 2 2" xfId="12774"/>
    <cellStyle name="Normal 58 4 3 5 2 2 2" xfId="22993"/>
    <cellStyle name="Normal 58 4 3 5 2 3" xfId="9195"/>
    <cellStyle name="Normal 58 4 3 5 2 4" xfId="17986"/>
    <cellStyle name="Normal 58 4 3 5 3" xfId="5299"/>
    <cellStyle name="Normal 58 4 3 5 3 2" xfId="14138"/>
    <cellStyle name="Normal 58 4 3 5 3 2 2" xfId="24389"/>
    <cellStyle name="Normal 58 4 3 5 3 3" xfId="10559"/>
    <cellStyle name="Normal 58 4 3 5 3 4" xfId="19382"/>
    <cellStyle name="Normal 58 4 3 5 4" xfId="1809"/>
    <cellStyle name="Normal 58 4 3 5 4 2" xfId="11180"/>
    <cellStyle name="Normal 58 4 3 5 4 3" xfId="21184"/>
    <cellStyle name="Normal 58 4 3 5 5" xfId="6756"/>
    <cellStyle name="Normal 58 4 3 5 5 2" xfId="15583"/>
    <cellStyle name="Normal 58 4 3 5 5 3" xfId="25834"/>
    <cellStyle name="Normal 58 4 3 5 6" xfId="8202"/>
    <cellStyle name="Normal 58 4 3 5 6 2" xfId="20592"/>
    <cellStyle name="Normal 58 4 3 5 7" xfId="16177"/>
    <cellStyle name="Normal 58 4 3 6" xfId="2704"/>
    <cellStyle name="Normal 58 4 3 6 2" xfId="12023"/>
    <cellStyle name="Normal 58 4 3 6 2 2" xfId="22067"/>
    <cellStyle name="Normal 58 4 3 6 3" xfId="8415"/>
    <cellStyle name="Normal 58 4 3 6 4" xfId="17060"/>
    <cellStyle name="Normal 58 4 3 7" xfId="4255"/>
    <cellStyle name="Normal 58 4 3 7 2" xfId="13095"/>
    <cellStyle name="Normal 58 4 3 7 2 2" xfId="23346"/>
    <cellStyle name="Normal 58 4 3 7 3" xfId="9516"/>
    <cellStyle name="Normal 58 4 3 7 4" xfId="18339"/>
    <cellStyle name="Normal 58 4 3 8" xfId="1527"/>
    <cellStyle name="Normal 58 4 3 8 2" xfId="10906"/>
    <cellStyle name="Normal 58 4 3 8 3" xfId="20910"/>
    <cellStyle name="Normal 58 4 3 9" xfId="5713"/>
    <cellStyle name="Normal 58 4 3 9 2" xfId="14540"/>
    <cellStyle name="Normal 58 4 3 9 3" xfId="24791"/>
    <cellStyle name="Normal 58 4 3_Degree data" xfId="4021"/>
    <cellStyle name="Normal 58 4 4" xfId="258"/>
    <cellStyle name="Normal 58 4 4 10" xfId="7100"/>
    <cellStyle name="Normal 58 4 4 10 2" xfId="19714"/>
    <cellStyle name="Normal 58 4 4 11" xfId="15846"/>
    <cellStyle name="Normal 58 4 4 2" xfId="581"/>
    <cellStyle name="Normal 58 4 4 2 2" xfId="916"/>
    <cellStyle name="Normal 58 4 4 2 2 2" xfId="3403"/>
    <cellStyle name="Normal 58 4 4 2 2 2 2" xfId="12547"/>
    <cellStyle name="Normal 58 4 4 2 2 2 2 2" xfId="22766"/>
    <cellStyle name="Normal 58 4 4 2 2 2 3" xfId="8969"/>
    <cellStyle name="Normal 58 4 4 2 2 2 4" xfId="17759"/>
    <cellStyle name="Normal 58 4 4 2 2 3" xfId="4732"/>
    <cellStyle name="Normal 58 4 4 2 2 3 2" xfId="13572"/>
    <cellStyle name="Normal 58 4 4 2 2 3 2 2" xfId="23823"/>
    <cellStyle name="Normal 58 4 4 2 2 3 3" xfId="9993"/>
    <cellStyle name="Normal 58 4 4 2 2 3 4" xfId="18816"/>
    <cellStyle name="Normal 58 4 4 2 2 4" xfId="2512"/>
    <cellStyle name="Normal 58 4 4 2 2 4 2" xfId="11879"/>
    <cellStyle name="Normal 58 4 4 2 2 4 3" xfId="21883"/>
    <cellStyle name="Normal 58 4 4 2 2 5" xfId="6190"/>
    <cellStyle name="Normal 58 4 4 2 2 5 2" xfId="15017"/>
    <cellStyle name="Normal 58 4 4 2 2 5 3" xfId="25268"/>
    <cellStyle name="Normal 58 4 4 2 2 6" xfId="7635"/>
    <cellStyle name="Normal 58 4 4 2 2 6 2" xfId="20365"/>
    <cellStyle name="Normal 58 4 4 2 2 7" xfId="16876"/>
    <cellStyle name="Normal 58 4 4 2 3" xfId="1353"/>
    <cellStyle name="Normal 58 4 4 2 3 2" xfId="3784"/>
    <cellStyle name="Normal 58 4 4 2 3 2 2" xfId="12922"/>
    <cellStyle name="Normal 58 4 4 2 3 2 2 2" xfId="23141"/>
    <cellStyle name="Normal 58 4 4 2 3 2 3" xfId="9343"/>
    <cellStyle name="Normal 58 4 4 2 3 2 4" xfId="18134"/>
    <cellStyle name="Normal 58 4 4 2 3 3" xfId="5081"/>
    <cellStyle name="Normal 58 4 4 2 3 3 2" xfId="13920"/>
    <cellStyle name="Normal 58 4 4 2 3 3 2 2" xfId="24171"/>
    <cellStyle name="Normal 58 4 4 2 3 3 3" xfId="10341"/>
    <cellStyle name="Normal 58 4 4 2 3 3 4" xfId="19164"/>
    <cellStyle name="Normal 58 4 4 2 3 4" xfId="2178"/>
    <cellStyle name="Normal 58 4 4 2 3 4 2" xfId="11545"/>
    <cellStyle name="Normal 58 4 4 2 3 4 3" xfId="21549"/>
    <cellStyle name="Normal 58 4 4 2 3 5" xfId="6538"/>
    <cellStyle name="Normal 58 4 4 2 3 5 2" xfId="15365"/>
    <cellStyle name="Normal 58 4 4 2 3 5 3" xfId="25616"/>
    <cellStyle name="Normal 58 4 4 2 3 6" xfId="7984"/>
    <cellStyle name="Normal 58 4 4 2 3 6 2" xfId="20740"/>
    <cellStyle name="Normal 58 4 4 2 3 7" xfId="16542"/>
    <cellStyle name="Normal 58 4 4 2 4" xfId="3069"/>
    <cellStyle name="Normal 58 4 4 2 4 2" xfId="5447"/>
    <cellStyle name="Normal 58 4 4 2 4 2 2" xfId="14286"/>
    <cellStyle name="Normal 58 4 4 2 4 2 2 2" xfId="24537"/>
    <cellStyle name="Normal 58 4 4 2 4 2 3" xfId="10707"/>
    <cellStyle name="Normal 58 4 4 2 4 2 4" xfId="19530"/>
    <cellStyle name="Normal 58 4 4 2 4 3" xfId="6904"/>
    <cellStyle name="Normal 58 4 4 2 4 3 2" xfId="15731"/>
    <cellStyle name="Normal 58 4 4 2 4 3 3" xfId="25982"/>
    <cellStyle name="Normal 58 4 4 2 4 4" xfId="8350"/>
    <cellStyle name="Normal 58 4 4 2 4 4 2" xfId="22432"/>
    <cellStyle name="Normal 58 4 4 2 4 5" xfId="17425"/>
    <cellStyle name="Normal 58 4 4 2 5" xfId="4403"/>
    <cellStyle name="Normal 58 4 4 2 5 2" xfId="13243"/>
    <cellStyle name="Normal 58 4 4 2 5 2 2" xfId="23494"/>
    <cellStyle name="Normal 58 4 4 2 5 3" xfId="9664"/>
    <cellStyle name="Normal 58 4 4 2 5 4" xfId="18487"/>
    <cellStyle name="Normal 58 4 4 2 6" xfId="1675"/>
    <cellStyle name="Normal 58 4 4 2 6 2" xfId="11054"/>
    <cellStyle name="Normal 58 4 4 2 6 3" xfId="21058"/>
    <cellStyle name="Normal 58 4 4 2 7" xfId="5861"/>
    <cellStyle name="Normal 58 4 4 2 7 2" xfId="14688"/>
    <cellStyle name="Normal 58 4 4 2 7 3" xfId="24939"/>
    <cellStyle name="Normal 58 4 4 2 8" xfId="7305"/>
    <cellStyle name="Normal 58 4 4 2 8 2" xfId="20031"/>
    <cellStyle name="Normal 58 4 4 2 9" xfId="16051"/>
    <cellStyle name="Normal 58 4 4 2_Degree data" xfId="4024"/>
    <cellStyle name="Normal 58 4 4 3" xfId="376"/>
    <cellStyle name="Normal 58 4 4 3 2" xfId="2864"/>
    <cellStyle name="Normal 58 4 4 3 2 2" xfId="12154"/>
    <cellStyle name="Normal 58 4 4 3 2 2 2" xfId="22227"/>
    <cellStyle name="Normal 58 4 4 3 2 3" xfId="8478"/>
    <cellStyle name="Normal 58 4 4 3 2 4" xfId="17220"/>
    <cellStyle name="Normal 58 4 4 3 3" xfId="4731"/>
    <cellStyle name="Normal 58 4 4 3 3 2" xfId="13571"/>
    <cellStyle name="Normal 58 4 4 3 3 2 2" xfId="23822"/>
    <cellStyle name="Normal 58 4 4 3 3 3" xfId="9992"/>
    <cellStyle name="Normal 58 4 4 3 3 4" xfId="18815"/>
    <cellStyle name="Normal 58 4 4 3 4" xfId="1973"/>
    <cellStyle name="Normal 58 4 4 3 4 2" xfId="11340"/>
    <cellStyle name="Normal 58 4 4 3 4 3" xfId="21344"/>
    <cellStyle name="Normal 58 4 4 3 5" xfId="6189"/>
    <cellStyle name="Normal 58 4 4 3 5 2" xfId="15016"/>
    <cellStyle name="Normal 58 4 4 3 5 3" xfId="25267"/>
    <cellStyle name="Normal 58 4 4 3 6" xfId="7634"/>
    <cellStyle name="Normal 58 4 4 3 6 2" xfId="19826"/>
    <cellStyle name="Normal 58 4 4 3 7" xfId="16337"/>
    <cellStyle name="Normal 58 4 4 4" xfId="915"/>
    <cellStyle name="Normal 58 4 4 4 2" xfId="3402"/>
    <cellStyle name="Normal 58 4 4 4 2 2" xfId="12546"/>
    <cellStyle name="Normal 58 4 4 4 2 2 2" xfId="22765"/>
    <cellStyle name="Normal 58 4 4 4 2 3" xfId="8968"/>
    <cellStyle name="Normal 58 4 4 4 2 4" xfId="17758"/>
    <cellStyle name="Normal 58 4 4 4 3" xfId="5080"/>
    <cellStyle name="Normal 58 4 4 4 3 2" xfId="13919"/>
    <cellStyle name="Normal 58 4 4 4 3 2 2" xfId="24170"/>
    <cellStyle name="Normal 58 4 4 4 3 3" xfId="10340"/>
    <cellStyle name="Normal 58 4 4 4 3 4" xfId="19163"/>
    <cellStyle name="Normal 58 4 4 4 4" xfId="2511"/>
    <cellStyle name="Normal 58 4 4 4 4 2" xfId="11878"/>
    <cellStyle name="Normal 58 4 4 4 4 3" xfId="21882"/>
    <cellStyle name="Normal 58 4 4 4 5" xfId="6537"/>
    <cellStyle name="Normal 58 4 4 4 5 2" xfId="15364"/>
    <cellStyle name="Normal 58 4 4 4 5 3" xfId="25615"/>
    <cellStyle name="Normal 58 4 4 4 6" xfId="7983"/>
    <cellStyle name="Normal 58 4 4 4 6 2" xfId="20364"/>
    <cellStyle name="Normal 58 4 4 4 7" xfId="16875"/>
    <cellStyle name="Normal 58 4 4 5" xfId="1148"/>
    <cellStyle name="Normal 58 4 4 5 2" xfId="3579"/>
    <cellStyle name="Normal 58 4 4 5 2 2" xfId="12717"/>
    <cellStyle name="Normal 58 4 4 5 2 2 2" xfId="22936"/>
    <cellStyle name="Normal 58 4 4 5 2 3" xfId="9138"/>
    <cellStyle name="Normal 58 4 4 5 2 4" xfId="17929"/>
    <cellStyle name="Normal 58 4 4 5 3" xfId="5242"/>
    <cellStyle name="Normal 58 4 4 5 3 2" xfId="14081"/>
    <cellStyle name="Normal 58 4 4 5 3 2 2" xfId="24332"/>
    <cellStyle name="Normal 58 4 4 5 3 3" xfId="10502"/>
    <cellStyle name="Normal 58 4 4 5 3 4" xfId="19325"/>
    <cellStyle name="Normal 58 4 4 5 4" xfId="1858"/>
    <cellStyle name="Normal 58 4 4 5 4 2" xfId="11228"/>
    <cellStyle name="Normal 58 4 4 5 4 3" xfId="21232"/>
    <cellStyle name="Normal 58 4 4 5 5" xfId="6699"/>
    <cellStyle name="Normal 58 4 4 5 5 2" xfId="15526"/>
    <cellStyle name="Normal 58 4 4 5 5 3" xfId="25777"/>
    <cellStyle name="Normal 58 4 4 5 6" xfId="8145"/>
    <cellStyle name="Normal 58 4 4 5 6 2" xfId="20535"/>
    <cellStyle name="Normal 58 4 4 5 7" xfId="16225"/>
    <cellStyle name="Normal 58 4 4 6" xfId="2752"/>
    <cellStyle name="Normal 58 4 4 6 2" xfId="12071"/>
    <cellStyle name="Normal 58 4 4 6 2 2" xfId="22115"/>
    <cellStyle name="Normal 58 4 4 6 3" xfId="8499"/>
    <cellStyle name="Normal 58 4 4 6 4" xfId="17108"/>
    <cellStyle name="Normal 58 4 4 7" xfId="4198"/>
    <cellStyle name="Normal 58 4 4 7 2" xfId="13038"/>
    <cellStyle name="Normal 58 4 4 7 2 2" xfId="23289"/>
    <cellStyle name="Normal 58 4 4 7 3" xfId="9459"/>
    <cellStyle name="Normal 58 4 4 7 4" xfId="18282"/>
    <cellStyle name="Normal 58 4 4 8" xfId="1470"/>
    <cellStyle name="Normal 58 4 4 8 2" xfId="10849"/>
    <cellStyle name="Normal 58 4 4 8 3" xfId="20853"/>
    <cellStyle name="Normal 58 4 4 9" xfId="5656"/>
    <cellStyle name="Normal 58 4 4 9 2" xfId="14483"/>
    <cellStyle name="Normal 58 4 4 9 3" xfId="24734"/>
    <cellStyle name="Normal 58 4 4_Degree data" xfId="4023"/>
    <cellStyle name="Normal 58 4 5" xfId="476"/>
    <cellStyle name="Normal 58 4 5 2" xfId="917"/>
    <cellStyle name="Normal 58 4 5 2 2" xfId="3404"/>
    <cellStyle name="Normal 58 4 5 2 2 2" xfId="12548"/>
    <cellStyle name="Normal 58 4 5 2 2 2 2" xfId="22767"/>
    <cellStyle name="Normal 58 4 5 2 2 3" xfId="8970"/>
    <cellStyle name="Normal 58 4 5 2 2 4" xfId="17760"/>
    <cellStyle name="Normal 58 4 5 2 3" xfId="4733"/>
    <cellStyle name="Normal 58 4 5 2 3 2" xfId="13573"/>
    <cellStyle name="Normal 58 4 5 2 3 2 2" xfId="23824"/>
    <cellStyle name="Normal 58 4 5 2 3 3" xfId="9994"/>
    <cellStyle name="Normal 58 4 5 2 3 4" xfId="18817"/>
    <cellStyle name="Normal 58 4 5 2 4" xfId="2513"/>
    <cellStyle name="Normal 58 4 5 2 4 2" xfId="11880"/>
    <cellStyle name="Normal 58 4 5 2 4 3" xfId="21884"/>
    <cellStyle name="Normal 58 4 5 2 5" xfId="6191"/>
    <cellStyle name="Normal 58 4 5 2 5 2" xfId="15018"/>
    <cellStyle name="Normal 58 4 5 2 5 3" xfId="25269"/>
    <cellStyle name="Normal 58 4 5 2 6" xfId="7636"/>
    <cellStyle name="Normal 58 4 5 2 6 2" xfId="20366"/>
    <cellStyle name="Normal 58 4 5 2 7" xfId="16877"/>
    <cellStyle name="Normal 58 4 5 3" xfId="1248"/>
    <cellStyle name="Normal 58 4 5 3 2" xfId="3679"/>
    <cellStyle name="Normal 58 4 5 3 2 2" xfId="12817"/>
    <cellStyle name="Normal 58 4 5 3 2 2 2" xfId="23036"/>
    <cellStyle name="Normal 58 4 5 3 2 3" xfId="9238"/>
    <cellStyle name="Normal 58 4 5 3 2 4" xfId="18029"/>
    <cellStyle name="Normal 58 4 5 3 3" xfId="5082"/>
    <cellStyle name="Normal 58 4 5 3 3 2" xfId="13921"/>
    <cellStyle name="Normal 58 4 5 3 3 2 2" xfId="24172"/>
    <cellStyle name="Normal 58 4 5 3 3 3" xfId="10342"/>
    <cellStyle name="Normal 58 4 5 3 3 4" xfId="19165"/>
    <cellStyle name="Normal 58 4 5 3 4" xfId="2073"/>
    <cellStyle name="Normal 58 4 5 3 4 2" xfId="11440"/>
    <cellStyle name="Normal 58 4 5 3 4 3" xfId="21444"/>
    <cellStyle name="Normal 58 4 5 3 5" xfId="6539"/>
    <cellStyle name="Normal 58 4 5 3 5 2" xfId="15366"/>
    <cellStyle name="Normal 58 4 5 3 5 3" xfId="25617"/>
    <cellStyle name="Normal 58 4 5 3 6" xfId="7985"/>
    <cellStyle name="Normal 58 4 5 3 6 2" xfId="20635"/>
    <cellStyle name="Normal 58 4 5 3 7" xfId="16437"/>
    <cellStyle name="Normal 58 4 5 4" xfId="2964"/>
    <cellStyle name="Normal 58 4 5 4 2" xfId="5342"/>
    <cellStyle name="Normal 58 4 5 4 2 2" xfId="14181"/>
    <cellStyle name="Normal 58 4 5 4 2 2 2" xfId="24432"/>
    <cellStyle name="Normal 58 4 5 4 2 3" xfId="10602"/>
    <cellStyle name="Normal 58 4 5 4 2 4" xfId="19425"/>
    <cellStyle name="Normal 58 4 5 4 3" xfId="6799"/>
    <cellStyle name="Normal 58 4 5 4 3 2" xfId="15626"/>
    <cellStyle name="Normal 58 4 5 4 3 3" xfId="25877"/>
    <cellStyle name="Normal 58 4 5 4 4" xfId="8245"/>
    <cellStyle name="Normal 58 4 5 4 4 2" xfId="22327"/>
    <cellStyle name="Normal 58 4 5 4 5" xfId="17320"/>
    <cellStyle name="Normal 58 4 5 5" xfId="4298"/>
    <cellStyle name="Normal 58 4 5 5 2" xfId="13138"/>
    <cellStyle name="Normal 58 4 5 5 2 2" xfId="23389"/>
    <cellStyle name="Normal 58 4 5 5 3" xfId="9559"/>
    <cellStyle name="Normal 58 4 5 5 4" xfId="18382"/>
    <cellStyle name="Normal 58 4 5 6" xfId="1570"/>
    <cellStyle name="Normal 58 4 5 6 2" xfId="10949"/>
    <cellStyle name="Normal 58 4 5 6 3" xfId="20953"/>
    <cellStyle name="Normal 58 4 5 7" xfId="5756"/>
    <cellStyle name="Normal 58 4 5 7 2" xfId="14583"/>
    <cellStyle name="Normal 58 4 5 7 3" xfId="24834"/>
    <cellStyle name="Normal 58 4 5 8" xfId="7200"/>
    <cellStyle name="Normal 58 4 5 8 2" xfId="19926"/>
    <cellStyle name="Normal 58 4 5 9" xfId="15946"/>
    <cellStyle name="Normal 58 4 5_Degree data" xfId="4025"/>
    <cellStyle name="Normal 58 4 6" xfId="331"/>
    <cellStyle name="Normal 58 4 6 2" xfId="918"/>
    <cellStyle name="Normal 58 4 6 2 2" xfId="3405"/>
    <cellStyle name="Normal 58 4 6 2 2 2" xfId="12549"/>
    <cellStyle name="Normal 58 4 6 2 2 2 2" xfId="22768"/>
    <cellStyle name="Normal 58 4 6 2 2 3" xfId="8971"/>
    <cellStyle name="Normal 58 4 6 2 2 4" xfId="17761"/>
    <cellStyle name="Normal 58 4 6 2 3" xfId="4734"/>
    <cellStyle name="Normal 58 4 6 2 3 2" xfId="13574"/>
    <cellStyle name="Normal 58 4 6 2 3 2 2" xfId="23825"/>
    <cellStyle name="Normal 58 4 6 2 3 3" xfId="9995"/>
    <cellStyle name="Normal 58 4 6 2 3 4" xfId="18818"/>
    <cellStyle name="Normal 58 4 6 2 4" xfId="2514"/>
    <cellStyle name="Normal 58 4 6 2 4 2" xfId="11881"/>
    <cellStyle name="Normal 58 4 6 2 4 3" xfId="21885"/>
    <cellStyle name="Normal 58 4 6 2 5" xfId="6192"/>
    <cellStyle name="Normal 58 4 6 2 5 2" xfId="15019"/>
    <cellStyle name="Normal 58 4 6 2 5 3" xfId="25270"/>
    <cellStyle name="Normal 58 4 6 2 6" xfId="7637"/>
    <cellStyle name="Normal 58 4 6 2 6 2" xfId="20367"/>
    <cellStyle name="Normal 58 4 6 2 7" xfId="16878"/>
    <cellStyle name="Normal 58 4 6 3" xfId="1103"/>
    <cellStyle name="Normal 58 4 6 3 2" xfId="3534"/>
    <cellStyle name="Normal 58 4 6 3 2 2" xfId="12672"/>
    <cellStyle name="Normal 58 4 6 3 2 2 2" xfId="22891"/>
    <cellStyle name="Normal 58 4 6 3 2 3" xfId="9094"/>
    <cellStyle name="Normal 58 4 6 3 2 4" xfId="17884"/>
    <cellStyle name="Normal 58 4 6 3 3" xfId="5083"/>
    <cellStyle name="Normal 58 4 6 3 3 2" xfId="13922"/>
    <cellStyle name="Normal 58 4 6 3 3 2 2" xfId="24173"/>
    <cellStyle name="Normal 58 4 6 3 3 3" xfId="10343"/>
    <cellStyle name="Normal 58 4 6 3 3 4" xfId="19166"/>
    <cellStyle name="Normal 58 4 6 3 4" xfId="2609"/>
    <cellStyle name="Normal 58 4 6 3 4 2" xfId="11975"/>
    <cellStyle name="Normal 58 4 6 3 4 3" xfId="21979"/>
    <cellStyle name="Normal 58 4 6 3 5" xfId="6540"/>
    <cellStyle name="Normal 58 4 6 3 5 2" xfId="15367"/>
    <cellStyle name="Normal 58 4 6 3 5 3" xfId="25618"/>
    <cellStyle name="Normal 58 4 6 3 6" xfId="7986"/>
    <cellStyle name="Normal 58 4 6 3 6 2" xfId="20490"/>
    <cellStyle name="Normal 58 4 6 3 7" xfId="16972"/>
    <cellStyle name="Normal 58 4 6 4" xfId="2819"/>
    <cellStyle name="Normal 58 4 6 4 2" xfId="5197"/>
    <cellStyle name="Normal 58 4 6 4 2 2" xfId="14036"/>
    <cellStyle name="Normal 58 4 6 4 2 2 2" xfId="24287"/>
    <cellStyle name="Normal 58 4 6 4 2 3" xfId="10457"/>
    <cellStyle name="Normal 58 4 6 4 2 4" xfId="19280"/>
    <cellStyle name="Normal 58 4 6 4 3" xfId="6654"/>
    <cellStyle name="Normal 58 4 6 4 3 2" xfId="15481"/>
    <cellStyle name="Normal 58 4 6 4 3 3" xfId="25732"/>
    <cellStyle name="Normal 58 4 6 4 4" xfId="8100"/>
    <cellStyle name="Normal 58 4 6 4 4 2" xfId="22182"/>
    <cellStyle name="Normal 58 4 6 4 5" xfId="17175"/>
    <cellStyle name="Normal 58 4 6 5" xfId="4151"/>
    <cellStyle name="Normal 58 4 6 5 2" xfId="12991"/>
    <cellStyle name="Normal 58 4 6 5 2 2" xfId="23242"/>
    <cellStyle name="Normal 58 4 6 5 3" xfId="9412"/>
    <cellStyle name="Normal 58 4 6 5 4" xfId="18235"/>
    <cellStyle name="Normal 58 4 6 6" xfId="1928"/>
    <cellStyle name="Normal 58 4 6 6 2" xfId="11295"/>
    <cellStyle name="Normal 58 4 6 6 3" xfId="21299"/>
    <cellStyle name="Normal 58 4 6 7" xfId="5611"/>
    <cellStyle name="Normal 58 4 6 7 2" xfId="14438"/>
    <cellStyle name="Normal 58 4 6 7 3" xfId="24689"/>
    <cellStyle name="Normal 58 4 6 8" xfId="7055"/>
    <cellStyle name="Normal 58 4 6 8 2" xfId="19781"/>
    <cellStyle name="Normal 58 4 6 9" xfId="16292"/>
    <cellStyle name="Normal 58 4 6_Degree data" xfId="4026"/>
    <cellStyle name="Normal 58 4 7" xfId="909"/>
    <cellStyle name="Normal 58 4 7 2" xfId="3396"/>
    <cellStyle name="Normal 58 4 7 2 2" xfId="12540"/>
    <cellStyle name="Normal 58 4 7 2 2 2" xfId="22759"/>
    <cellStyle name="Normal 58 4 7 2 3" xfId="8962"/>
    <cellStyle name="Normal 58 4 7 2 4" xfId="17752"/>
    <cellStyle name="Normal 58 4 7 3" xfId="4725"/>
    <cellStyle name="Normal 58 4 7 3 2" xfId="13565"/>
    <cellStyle name="Normal 58 4 7 3 2 2" xfId="23816"/>
    <cellStyle name="Normal 58 4 7 3 3" xfId="9986"/>
    <cellStyle name="Normal 58 4 7 3 4" xfId="18809"/>
    <cellStyle name="Normal 58 4 7 4" xfId="2505"/>
    <cellStyle name="Normal 58 4 7 4 2" xfId="11872"/>
    <cellStyle name="Normal 58 4 7 4 3" xfId="21876"/>
    <cellStyle name="Normal 58 4 7 5" xfId="6183"/>
    <cellStyle name="Normal 58 4 7 5 2" xfId="15010"/>
    <cellStyle name="Normal 58 4 7 5 3" xfId="25261"/>
    <cellStyle name="Normal 58 4 7 6" xfId="7628"/>
    <cellStyle name="Normal 58 4 7 6 2" xfId="20358"/>
    <cellStyle name="Normal 58 4 7 7" xfId="16869"/>
    <cellStyle name="Normal 58 4 8" xfId="1060"/>
    <cellStyle name="Normal 58 4 8 2" xfId="3491"/>
    <cellStyle name="Normal 58 4 8 2 2" xfId="12629"/>
    <cellStyle name="Normal 58 4 8 2 2 2" xfId="22848"/>
    <cellStyle name="Normal 58 4 8 2 3" xfId="9051"/>
    <cellStyle name="Normal 58 4 8 2 4" xfId="17841"/>
    <cellStyle name="Normal 58 4 8 3" xfId="5074"/>
    <cellStyle name="Normal 58 4 8 3 2" xfId="13913"/>
    <cellStyle name="Normal 58 4 8 3 2 2" xfId="24164"/>
    <cellStyle name="Normal 58 4 8 3 3" xfId="10334"/>
    <cellStyle name="Normal 58 4 8 3 4" xfId="19157"/>
    <cellStyle name="Normal 58 4 8 4" xfId="1746"/>
    <cellStyle name="Normal 58 4 8 4 2" xfId="11122"/>
    <cellStyle name="Normal 58 4 8 4 3" xfId="21126"/>
    <cellStyle name="Normal 58 4 8 5" xfId="6531"/>
    <cellStyle name="Normal 58 4 8 5 2" xfId="15358"/>
    <cellStyle name="Normal 58 4 8 5 3" xfId="25609"/>
    <cellStyle name="Normal 58 4 8 6" xfId="7977"/>
    <cellStyle name="Normal 58 4 8 6 2" xfId="20447"/>
    <cellStyle name="Normal 58 4 8 7" xfId="16119"/>
    <cellStyle name="Normal 58 4 9" xfId="2646"/>
    <cellStyle name="Normal 58 4 9 2" xfId="5154"/>
    <cellStyle name="Normal 58 4 9 2 2" xfId="13993"/>
    <cellStyle name="Normal 58 4 9 2 2 2" xfId="24244"/>
    <cellStyle name="Normal 58 4 9 2 3" xfId="10414"/>
    <cellStyle name="Normal 58 4 9 2 4" xfId="19237"/>
    <cellStyle name="Normal 58 4 9 3" xfId="6611"/>
    <cellStyle name="Normal 58 4 9 3 2" xfId="15438"/>
    <cellStyle name="Normal 58 4 9 3 3" xfId="25689"/>
    <cellStyle name="Normal 58 4 9 4" xfId="8057"/>
    <cellStyle name="Normal 58 4 9 4 2" xfId="22010"/>
    <cellStyle name="Normal 58 4 9 5" xfId="17003"/>
    <cellStyle name="Normal 58 4_Degree data" xfId="4017"/>
    <cellStyle name="Normal 58 5" xfId="173"/>
    <cellStyle name="Normal 58 5 10" xfId="1440"/>
    <cellStyle name="Normal 58 5 10 2" xfId="10819"/>
    <cellStyle name="Normal 58 5 10 3" xfId="20823"/>
    <cellStyle name="Normal 58 5 11" xfId="5549"/>
    <cellStyle name="Normal 58 5 11 2" xfId="14378"/>
    <cellStyle name="Normal 58 5 11 3" xfId="24629"/>
    <cellStyle name="Normal 58 5 12" xfId="6995"/>
    <cellStyle name="Normal 58 5 12 2" xfId="19636"/>
    <cellStyle name="Normal 58 5 13" xfId="15816"/>
    <cellStyle name="Normal 58 5 2" xfId="220"/>
    <cellStyle name="Normal 58 5 2 10" xfId="7170"/>
    <cellStyle name="Normal 58 5 2 10 2" xfId="19679"/>
    <cellStyle name="Normal 58 5 2 11" xfId="15916"/>
    <cellStyle name="Normal 58 5 2 2" xfId="546"/>
    <cellStyle name="Normal 58 5 2 2 2" xfId="921"/>
    <cellStyle name="Normal 58 5 2 2 2 2" xfId="3408"/>
    <cellStyle name="Normal 58 5 2 2 2 2 2" xfId="12552"/>
    <cellStyle name="Normal 58 5 2 2 2 2 2 2" xfId="22771"/>
    <cellStyle name="Normal 58 5 2 2 2 2 3" xfId="8974"/>
    <cellStyle name="Normal 58 5 2 2 2 2 4" xfId="17764"/>
    <cellStyle name="Normal 58 5 2 2 2 3" xfId="4737"/>
    <cellStyle name="Normal 58 5 2 2 2 3 2" xfId="13577"/>
    <cellStyle name="Normal 58 5 2 2 2 3 2 2" xfId="23828"/>
    <cellStyle name="Normal 58 5 2 2 2 3 3" xfId="9998"/>
    <cellStyle name="Normal 58 5 2 2 2 3 4" xfId="18821"/>
    <cellStyle name="Normal 58 5 2 2 2 4" xfId="2517"/>
    <cellStyle name="Normal 58 5 2 2 2 4 2" xfId="11884"/>
    <cellStyle name="Normal 58 5 2 2 2 4 3" xfId="21888"/>
    <cellStyle name="Normal 58 5 2 2 2 5" xfId="6195"/>
    <cellStyle name="Normal 58 5 2 2 2 5 2" xfId="15022"/>
    <cellStyle name="Normal 58 5 2 2 2 5 3" xfId="25273"/>
    <cellStyle name="Normal 58 5 2 2 2 6" xfId="7640"/>
    <cellStyle name="Normal 58 5 2 2 2 6 2" xfId="20370"/>
    <cellStyle name="Normal 58 5 2 2 2 7" xfId="16881"/>
    <cellStyle name="Normal 58 5 2 2 3" xfId="1318"/>
    <cellStyle name="Normal 58 5 2 2 3 2" xfId="3749"/>
    <cellStyle name="Normal 58 5 2 2 3 2 2" xfId="12887"/>
    <cellStyle name="Normal 58 5 2 2 3 2 2 2" xfId="23106"/>
    <cellStyle name="Normal 58 5 2 2 3 2 3" xfId="9308"/>
    <cellStyle name="Normal 58 5 2 2 3 2 4" xfId="18099"/>
    <cellStyle name="Normal 58 5 2 2 3 3" xfId="5086"/>
    <cellStyle name="Normal 58 5 2 2 3 3 2" xfId="13925"/>
    <cellStyle name="Normal 58 5 2 2 3 3 2 2" xfId="24176"/>
    <cellStyle name="Normal 58 5 2 2 3 3 3" xfId="10346"/>
    <cellStyle name="Normal 58 5 2 2 3 3 4" xfId="19169"/>
    <cellStyle name="Normal 58 5 2 2 3 4" xfId="2143"/>
    <cellStyle name="Normal 58 5 2 2 3 4 2" xfId="11510"/>
    <cellStyle name="Normal 58 5 2 2 3 4 3" xfId="21514"/>
    <cellStyle name="Normal 58 5 2 2 3 5" xfId="6543"/>
    <cellStyle name="Normal 58 5 2 2 3 5 2" xfId="15370"/>
    <cellStyle name="Normal 58 5 2 2 3 5 3" xfId="25621"/>
    <cellStyle name="Normal 58 5 2 2 3 6" xfId="7989"/>
    <cellStyle name="Normal 58 5 2 2 3 6 2" xfId="20705"/>
    <cellStyle name="Normal 58 5 2 2 3 7" xfId="16507"/>
    <cellStyle name="Normal 58 5 2 2 4" xfId="3034"/>
    <cellStyle name="Normal 58 5 2 2 4 2" xfId="5412"/>
    <cellStyle name="Normal 58 5 2 2 4 2 2" xfId="14251"/>
    <cellStyle name="Normal 58 5 2 2 4 2 2 2" xfId="24502"/>
    <cellStyle name="Normal 58 5 2 2 4 2 3" xfId="10672"/>
    <cellStyle name="Normal 58 5 2 2 4 2 4" xfId="19495"/>
    <cellStyle name="Normal 58 5 2 2 4 3" xfId="6869"/>
    <cellStyle name="Normal 58 5 2 2 4 3 2" xfId="15696"/>
    <cellStyle name="Normal 58 5 2 2 4 3 3" xfId="25947"/>
    <cellStyle name="Normal 58 5 2 2 4 4" xfId="8315"/>
    <cellStyle name="Normal 58 5 2 2 4 4 2" xfId="22397"/>
    <cellStyle name="Normal 58 5 2 2 4 5" xfId="17390"/>
    <cellStyle name="Normal 58 5 2 2 5" xfId="4368"/>
    <cellStyle name="Normal 58 5 2 2 5 2" xfId="13208"/>
    <cellStyle name="Normal 58 5 2 2 5 2 2" xfId="23459"/>
    <cellStyle name="Normal 58 5 2 2 5 3" xfId="9629"/>
    <cellStyle name="Normal 58 5 2 2 5 4" xfId="18452"/>
    <cellStyle name="Normal 58 5 2 2 6" xfId="1640"/>
    <cellStyle name="Normal 58 5 2 2 6 2" xfId="11019"/>
    <cellStyle name="Normal 58 5 2 2 6 3" xfId="21023"/>
    <cellStyle name="Normal 58 5 2 2 7" xfId="5826"/>
    <cellStyle name="Normal 58 5 2 2 7 2" xfId="14653"/>
    <cellStyle name="Normal 58 5 2 2 7 3" xfId="24904"/>
    <cellStyle name="Normal 58 5 2 2 8" xfId="7270"/>
    <cellStyle name="Normal 58 5 2 2 8 2" xfId="19996"/>
    <cellStyle name="Normal 58 5 2 2 9" xfId="16016"/>
    <cellStyle name="Normal 58 5 2 2_Degree data" xfId="4029"/>
    <cellStyle name="Normal 58 5 2 3" xfId="446"/>
    <cellStyle name="Normal 58 5 2 3 2" xfId="2934"/>
    <cellStyle name="Normal 58 5 2 3 2 2" xfId="12224"/>
    <cellStyle name="Normal 58 5 2 3 2 2 2" xfId="22297"/>
    <cellStyle name="Normal 58 5 2 3 2 3" xfId="8461"/>
    <cellStyle name="Normal 58 5 2 3 2 4" xfId="17290"/>
    <cellStyle name="Normal 58 5 2 3 3" xfId="4736"/>
    <cellStyle name="Normal 58 5 2 3 3 2" xfId="13576"/>
    <cellStyle name="Normal 58 5 2 3 3 2 2" xfId="23827"/>
    <cellStyle name="Normal 58 5 2 3 3 3" xfId="9997"/>
    <cellStyle name="Normal 58 5 2 3 3 4" xfId="18820"/>
    <cellStyle name="Normal 58 5 2 3 4" xfId="2043"/>
    <cellStyle name="Normal 58 5 2 3 4 2" xfId="11410"/>
    <cellStyle name="Normal 58 5 2 3 4 3" xfId="21414"/>
    <cellStyle name="Normal 58 5 2 3 5" xfId="6194"/>
    <cellStyle name="Normal 58 5 2 3 5 2" xfId="15021"/>
    <cellStyle name="Normal 58 5 2 3 5 3" xfId="25272"/>
    <cellStyle name="Normal 58 5 2 3 6" xfId="7639"/>
    <cellStyle name="Normal 58 5 2 3 6 2" xfId="19896"/>
    <cellStyle name="Normal 58 5 2 3 7" xfId="16407"/>
    <cellStyle name="Normal 58 5 2 4" xfId="920"/>
    <cellStyle name="Normal 58 5 2 4 2" xfId="3407"/>
    <cellStyle name="Normal 58 5 2 4 2 2" xfId="12551"/>
    <cellStyle name="Normal 58 5 2 4 2 2 2" xfId="22770"/>
    <cellStyle name="Normal 58 5 2 4 2 3" xfId="8973"/>
    <cellStyle name="Normal 58 5 2 4 2 4" xfId="17763"/>
    <cellStyle name="Normal 58 5 2 4 3" xfId="5085"/>
    <cellStyle name="Normal 58 5 2 4 3 2" xfId="13924"/>
    <cellStyle name="Normal 58 5 2 4 3 2 2" xfId="24175"/>
    <cellStyle name="Normal 58 5 2 4 3 3" xfId="10345"/>
    <cellStyle name="Normal 58 5 2 4 3 4" xfId="19168"/>
    <cellStyle name="Normal 58 5 2 4 4" xfId="2516"/>
    <cellStyle name="Normal 58 5 2 4 4 2" xfId="11883"/>
    <cellStyle name="Normal 58 5 2 4 4 3" xfId="21887"/>
    <cellStyle name="Normal 58 5 2 4 5" xfId="6542"/>
    <cellStyle name="Normal 58 5 2 4 5 2" xfId="15369"/>
    <cellStyle name="Normal 58 5 2 4 5 3" xfId="25620"/>
    <cellStyle name="Normal 58 5 2 4 6" xfId="7988"/>
    <cellStyle name="Normal 58 5 2 4 6 2" xfId="20369"/>
    <cellStyle name="Normal 58 5 2 4 7" xfId="16880"/>
    <cellStyle name="Normal 58 5 2 5" xfId="1218"/>
    <cellStyle name="Normal 58 5 2 5 2" xfId="3649"/>
    <cellStyle name="Normal 58 5 2 5 2 2" xfId="12787"/>
    <cellStyle name="Normal 58 5 2 5 2 2 2" xfId="23006"/>
    <cellStyle name="Normal 58 5 2 5 2 3" xfId="9208"/>
    <cellStyle name="Normal 58 5 2 5 2 4" xfId="17999"/>
    <cellStyle name="Normal 58 5 2 5 3" xfId="5312"/>
    <cellStyle name="Normal 58 5 2 5 3 2" xfId="14151"/>
    <cellStyle name="Normal 58 5 2 5 3 2 2" xfId="24402"/>
    <cellStyle name="Normal 58 5 2 5 3 3" xfId="10572"/>
    <cellStyle name="Normal 58 5 2 5 3 4" xfId="19395"/>
    <cellStyle name="Normal 58 5 2 5 4" xfId="1823"/>
    <cellStyle name="Normal 58 5 2 5 4 2" xfId="11193"/>
    <cellStyle name="Normal 58 5 2 5 4 3" xfId="21197"/>
    <cellStyle name="Normal 58 5 2 5 5" xfId="6769"/>
    <cellStyle name="Normal 58 5 2 5 5 2" xfId="15596"/>
    <cellStyle name="Normal 58 5 2 5 5 3" xfId="25847"/>
    <cellStyle name="Normal 58 5 2 5 6" xfId="8215"/>
    <cellStyle name="Normal 58 5 2 5 6 2" xfId="20605"/>
    <cellStyle name="Normal 58 5 2 5 7" xfId="16190"/>
    <cellStyle name="Normal 58 5 2 6" xfId="2717"/>
    <cellStyle name="Normal 58 5 2 6 2" xfId="12036"/>
    <cellStyle name="Normal 58 5 2 6 2 2" xfId="22080"/>
    <cellStyle name="Normal 58 5 2 6 3" xfId="6964"/>
    <cellStyle name="Normal 58 5 2 6 4" xfId="17073"/>
    <cellStyle name="Normal 58 5 2 7" xfId="4268"/>
    <cellStyle name="Normal 58 5 2 7 2" xfId="13108"/>
    <cellStyle name="Normal 58 5 2 7 2 2" xfId="23359"/>
    <cellStyle name="Normal 58 5 2 7 3" xfId="9529"/>
    <cellStyle name="Normal 58 5 2 7 4" xfId="18352"/>
    <cellStyle name="Normal 58 5 2 8" xfId="1540"/>
    <cellStyle name="Normal 58 5 2 8 2" xfId="10919"/>
    <cellStyle name="Normal 58 5 2 8 3" xfId="20923"/>
    <cellStyle name="Normal 58 5 2 9" xfId="5726"/>
    <cellStyle name="Normal 58 5 2 9 2" xfId="14553"/>
    <cellStyle name="Normal 58 5 2 9 3" xfId="24804"/>
    <cellStyle name="Normal 58 5 2_Degree data" xfId="4028"/>
    <cellStyle name="Normal 58 5 3" xfId="285"/>
    <cellStyle name="Normal 58 5 3 10" xfId="7127"/>
    <cellStyle name="Normal 58 5 3 10 2" xfId="19740"/>
    <cellStyle name="Normal 58 5 3 11" xfId="15873"/>
    <cellStyle name="Normal 58 5 3 2" xfId="607"/>
    <cellStyle name="Normal 58 5 3 2 2" xfId="923"/>
    <cellStyle name="Normal 58 5 3 2 2 2" xfId="3410"/>
    <cellStyle name="Normal 58 5 3 2 2 2 2" xfId="12554"/>
    <cellStyle name="Normal 58 5 3 2 2 2 2 2" xfId="22773"/>
    <cellStyle name="Normal 58 5 3 2 2 2 3" xfId="8976"/>
    <cellStyle name="Normal 58 5 3 2 2 2 4" xfId="17766"/>
    <cellStyle name="Normal 58 5 3 2 2 3" xfId="4739"/>
    <cellStyle name="Normal 58 5 3 2 2 3 2" xfId="13579"/>
    <cellStyle name="Normal 58 5 3 2 2 3 2 2" xfId="23830"/>
    <cellStyle name="Normal 58 5 3 2 2 3 3" xfId="10000"/>
    <cellStyle name="Normal 58 5 3 2 2 3 4" xfId="18823"/>
    <cellStyle name="Normal 58 5 3 2 2 4" xfId="2519"/>
    <cellStyle name="Normal 58 5 3 2 2 4 2" xfId="11886"/>
    <cellStyle name="Normal 58 5 3 2 2 4 3" xfId="21890"/>
    <cellStyle name="Normal 58 5 3 2 2 5" xfId="6197"/>
    <cellStyle name="Normal 58 5 3 2 2 5 2" xfId="15024"/>
    <cellStyle name="Normal 58 5 3 2 2 5 3" xfId="25275"/>
    <cellStyle name="Normal 58 5 3 2 2 6" xfId="7642"/>
    <cellStyle name="Normal 58 5 3 2 2 6 2" xfId="20372"/>
    <cellStyle name="Normal 58 5 3 2 2 7" xfId="16883"/>
    <cellStyle name="Normal 58 5 3 2 3" xfId="1379"/>
    <cellStyle name="Normal 58 5 3 2 3 2" xfId="3810"/>
    <cellStyle name="Normal 58 5 3 2 3 2 2" xfId="12948"/>
    <cellStyle name="Normal 58 5 3 2 3 2 2 2" xfId="23167"/>
    <cellStyle name="Normal 58 5 3 2 3 2 3" xfId="9369"/>
    <cellStyle name="Normal 58 5 3 2 3 2 4" xfId="18160"/>
    <cellStyle name="Normal 58 5 3 2 3 3" xfId="5088"/>
    <cellStyle name="Normal 58 5 3 2 3 3 2" xfId="13927"/>
    <cellStyle name="Normal 58 5 3 2 3 3 2 2" xfId="24178"/>
    <cellStyle name="Normal 58 5 3 2 3 3 3" xfId="10348"/>
    <cellStyle name="Normal 58 5 3 2 3 3 4" xfId="19171"/>
    <cellStyle name="Normal 58 5 3 2 3 4" xfId="2204"/>
    <cellStyle name="Normal 58 5 3 2 3 4 2" xfId="11571"/>
    <cellStyle name="Normal 58 5 3 2 3 4 3" xfId="21575"/>
    <cellStyle name="Normal 58 5 3 2 3 5" xfId="6545"/>
    <cellStyle name="Normal 58 5 3 2 3 5 2" xfId="15372"/>
    <cellStyle name="Normal 58 5 3 2 3 5 3" xfId="25623"/>
    <cellStyle name="Normal 58 5 3 2 3 6" xfId="7991"/>
    <cellStyle name="Normal 58 5 3 2 3 6 2" xfId="20766"/>
    <cellStyle name="Normal 58 5 3 2 3 7" xfId="16568"/>
    <cellStyle name="Normal 58 5 3 2 4" xfId="3095"/>
    <cellStyle name="Normal 58 5 3 2 4 2" xfId="5473"/>
    <cellStyle name="Normal 58 5 3 2 4 2 2" xfId="14312"/>
    <cellStyle name="Normal 58 5 3 2 4 2 2 2" xfId="24563"/>
    <cellStyle name="Normal 58 5 3 2 4 2 3" xfId="10733"/>
    <cellStyle name="Normal 58 5 3 2 4 2 4" xfId="19556"/>
    <cellStyle name="Normal 58 5 3 2 4 3" xfId="6930"/>
    <cellStyle name="Normal 58 5 3 2 4 3 2" xfId="15757"/>
    <cellStyle name="Normal 58 5 3 2 4 3 3" xfId="26008"/>
    <cellStyle name="Normal 58 5 3 2 4 4" xfId="8376"/>
    <cellStyle name="Normal 58 5 3 2 4 4 2" xfId="22458"/>
    <cellStyle name="Normal 58 5 3 2 4 5" xfId="17451"/>
    <cellStyle name="Normal 58 5 3 2 5" xfId="4429"/>
    <cellStyle name="Normal 58 5 3 2 5 2" xfId="13269"/>
    <cellStyle name="Normal 58 5 3 2 5 2 2" xfId="23520"/>
    <cellStyle name="Normal 58 5 3 2 5 3" xfId="9690"/>
    <cellStyle name="Normal 58 5 3 2 5 4" xfId="18513"/>
    <cellStyle name="Normal 58 5 3 2 6" xfId="1701"/>
    <cellStyle name="Normal 58 5 3 2 6 2" xfId="11080"/>
    <cellStyle name="Normal 58 5 3 2 6 3" xfId="21084"/>
    <cellStyle name="Normal 58 5 3 2 7" xfId="5887"/>
    <cellStyle name="Normal 58 5 3 2 7 2" xfId="14714"/>
    <cellStyle name="Normal 58 5 3 2 7 3" xfId="24965"/>
    <cellStyle name="Normal 58 5 3 2 8" xfId="7331"/>
    <cellStyle name="Normal 58 5 3 2 8 2" xfId="20057"/>
    <cellStyle name="Normal 58 5 3 2 9" xfId="16077"/>
    <cellStyle name="Normal 58 5 3 2_Degree data" xfId="4031"/>
    <cellStyle name="Normal 58 5 3 3" xfId="403"/>
    <cellStyle name="Normal 58 5 3 3 2" xfId="2891"/>
    <cellStyle name="Normal 58 5 3 3 2 2" xfId="12181"/>
    <cellStyle name="Normal 58 5 3 3 2 2 2" xfId="22254"/>
    <cellStyle name="Normal 58 5 3 3 2 3" xfId="8472"/>
    <cellStyle name="Normal 58 5 3 3 2 4" xfId="17247"/>
    <cellStyle name="Normal 58 5 3 3 3" xfId="4738"/>
    <cellStyle name="Normal 58 5 3 3 3 2" xfId="13578"/>
    <cellStyle name="Normal 58 5 3 3 3 2 2" xfId="23829"/>
    <cellStyle name="Normal 58 5 3 3 3 3" xfId="9999"/>
    <cellStyle name="Normal 58 5 3 3 3 4" xfId="18822"/>
    <cellStyle name="Normal 58 5 3 3 4" xfId="2000"/>
    <cellStyle name="Normal 58 5 3 3 4 2" xfId="11367"/>
    <cellStyle name="Normal 58 5 3 3 4 3" xfId="21371"/>
    <cellStyle name="Normal 58 5 3 3 5" xfId="6196"/>
    <cellStyle name="Normal 58 5 3 3 5 2" xfId="15023"/>
    <cellStyle name="Normal 58 5 3 3 5 3" xfId="25274"/>
    <cellStyle name="Normal 58 5 3 3 6" xfId="7641"/>
    <cellStyle name="Normal 58 5 3 3 6 2" xfId="19853"/>
    <cellStyle name="Normal 58 5 3 3 7" xfId="16364"/>
    <cellStyle name="Normal 58 5 3 4" xfId="922"/>
    <cellStyle name="Normal 58 5 3 4 2" xfId="3409"/>
    <cellStyle name="Normal 58 5 3 4 2 2" xfId="12553"/>
    <cellStyle name="Normal 58 5 3 4 2 2 2" xfId="22772"/>
    <cellStyle name="Normal 58 5 3 4 2 3" xfId="8975"/>
    <cellStyle name="Normal 58 5 3 4 2 4" xfId="17765"/>
    <cellStyle name="Normal 58 5 3 4 3" xfId="5087"/>
    <cellStyle name="Normal 58 5 3 4 3 2" xfId="13926"/>
    <cellStyle name="Normal 58 5 3 4 3 2 2" xfId="24177"/>
    <cellStyle name="Normal 58 5 3 4 3 3" xfId="10347"/>
    <cellStyle name="Normal 58 5 3 4 3 4" xfId="19170"/>
    <cellStyle name="Normal 58 5 3 4 4" xfId="2518"/>
    <cellStyle name="Normal 58 5 3 4 4 2" xfId="11885"/>
    <cellStyle name="Normal 58 5 3 4 4 3" xfId="21889"/>
    <cellStyle name="Normal 58 5 3 4 5" xfId="6544"/>
    <cellStyle name="Normal 58 5 3 4 5 2" xfId="15371"/>
    <cellStyle name="Normal 58 5 3 4 5 3" xfId="25622"/>
    <cellStyle name="Normal 58 5 3 4 6" xfId="7990"/>
    <cellStyle name="Normal 58 5 3 4 6 2" xfId="20371"/>
    <cellStyle name="Normal 58 5 3 4 7" xfId="16882"/>
    <cellStyle name="Normal 58 5 3 5" xfId="1175"/>
    <cellStyle name="Normal 58 5 3 5 2" xfId="3606"/>
    <cellStyle name="Normal 58 5 3 5 2 2" xfId="12744"/>
    <cellStyle name="Normal 58 5 3 5 2 2 2" xfId="22963"/>
    <cellStyle name="Normal 58 5 3 5 2 3" xfId="9165"/>
    <cellStyle name="Normal 58 5 3 5 2 4" xfId="17956"/>
    <cellStyle name="Normal 58 5 3 5 3" xfId="5269"/>
    <cellStyle name="Normal 58 5 3 5 3 2" xfId="14108"/>
    <cellStyle name="Normal 58 5 3 5 3 2 2" xfId="24359"/>
    <cellStyle name="Normal 58 5 3 5 3 3" xfId="10529"/>
    <cellStyle name="Normal 58 5 3 5 3 4" xfId="19352"/>
    <cellStyle name="Normal 58 5 3 5 4" xfId="1884"/>
    <cellStyle name="Normal 58 5 3 5 4 2" xfId="11254"/>
    <cellStyle name="Normal 58 5 3 5 4 3" xfId="21258"/>
    <cellStyle name="Normal 58 5 3 5 5" xfId="6726"/>
    <cellStyle name="Normal 58 5 3 5 5 2" xfId="15553"/>
    <cellStyle name="Normal 58 5 3 5 5 3" xfId="25804"/>
    <cellStyle name="Normal 58 5 3 5 6" xfId="8172"/>
    <cellStyle name="Normal 58 5 3 5 6 2" xfId="20562"/>
    <cellStyle name="Normal 58 5 3 5 7" xfId="16251"/>
    <cellStyle name="Normal 58 5 3 6" xfId="2778"/>
    <cellStyle name="Normal 58 5 3 6 2" xfId="12097"/>
    <cellStyle name="Normal 58 5 3 6 2 2" xfId="22141"/>
    <cellStyle name="Normal 58 5 3 6 3" xfId="8551"/>
    <cellStyle name="Normal 58 5 3 6 4" xfId="17134"/>
    <cellStyle name="Normal 58 5 3 7" xfId="4225"/>
    <cellStyle name="Normal 58 5 3 7 2" xfId="13065"/>
    <cellStyle name="Normal 58 5 3 7 2 2" xfId="23316"/>
    <cellStyle name="Normal 58 5 3 7 3" xfId="9486"/>
    <cellStyle name="Normal 58 5 3 7 4" xfId="18309"/>
    <cellStyle name="Normal 58 5 3 8" xfId="1497"/>
    <cellStyle name="Normal 58 5 3 8 2" xfId="10876"/>
    <cellStyle name="Normal 58 5 3 8 3" xfId="20880"/>
    <cellStyle name="Normal 58 5 3 9" xfId="5683"/>
    <cellStyle name="Normal 58 5 3 9 2" xfId="14510"/>
    <cellStyle name="Normal 58 5 3 9 3" xfId="24761"/>
    <cellStyle name="Normal 58 5 3_Degree data" xfId="4030"/>
    <cellStyle name="Normal 58 5 4" xfId="503"/>
    <cellStyle name="Normal 58 5 4 2" xfId="924"/>
    <cellStyle name="Normal 58 5 4 2 2" xfId="3411"/>
    <cellStyle name="Normal 58 5 4 2 2 2" xfId="12555"/>
    <cellStyle name="Normal 58 5 4 2 2 2 2" xfId="22774"/>
    <cellStyle name="Normal 58 5 4 2 2 3" xfId="8977"/>
    <cellStyle name="Normal 58 5 4 2 2 4" xfId="17767"/>
    <cellStyle name="Normal 58 5 4 2 3" xfId="4740"/>
    <cellStyle name="Normal 58 5 4 2 3 2" xfId="13580"/>
    <cellStyle name="Normal 58 5 4 2 3 2 2" xfId="23831"/>
    <cellStyle name="Normal 58 5 4 2 3 3" xfId="10001"/>
    <cellStyle name="Normal 58 5 4 2 3 4" xfId="18824"/>
    <cellStyle name="Normal 58 5 4 2 4" xfId="2520"/>
    <cellStyle name="Normal 58 5 4 2 4 2" xfId="11887"/>
    <cellStyle name="Normal 58 5 4 2 4 3" xfId="21891"/>
    <cellStyle name="Normal 58 5 4 2 5" xfId="6198"/>
    <cellStyle name="Normal 58 5 4 2 5 2" xfId="15025"/>
    <cellStyle name="Normal 58 5 4 2 5 3" xfId="25276"/>
    <cellStyle name="Normal 58 5 4 2 6" xfId="7643"/>
    <cellStyle name="Normal 58 5 4 2 6 2" xfId="20373"/>
    <cellStyle name="Normal 58 5 4 2 7" xfId="16884"/>
    <cellStyle name="Normal 58 5 4 3" xfId="1275"/>
    <cellStyle name="Normal 58 5 4 3 2" xfId="3706"/>
    <cellStyle name="Normal 58 5 4 3 2 2" xfId="12844"/>
    <cellStyle name="Normal 58 5 4 3 2 2 2" xfId="23063"/>
    <cellStyle name="Normal 58 5 4 3 2 3" xfId="9265"/>
    <cellStyle name="Normal 58 5 4 3 2 4" xfId="18056"/>
    <cellStyle name="Normal 58 5 4 3 3" xfId="5089"/>
    <cellStyle name="Normal 58 5 4 3 3 2" xfId="13928"/>
    <cellStyle name="Normal 58 5 4 3 3 2 2" xfId="24179"/>
    <cellStyle name="Normal 58 5 4 3 3 3" xfId="10349"/>
    <cellStyle name="Normal 58 5 4 3 3 4" xfId="19172"/>
    <cellStyle name="Normal 58 5 4 3 4" xfId="2100"/>
    <cellStyle name="Normal 58 5 4 3 4 2" xfId="11467"/>
    <cellStyle name="Normal 58 5 4 3 4 3" xfId="21471"/>
    <cellStyle name="Normal 58 5 4 3 5" xfId="6546"/>
    <cellStyle name="Normal 58 5 4 3 5 2" xfId="15373"/>
    <cellStyle name="Normal 58 5 4 3 5 3" xfId="25624"/>
    <cellStyle name="Normal 58 5 4 3 6" xfId="7992"/>
    <cellStyle name="Normal 58 5 4 3 6 2" xfId="20662"/>
    <cellStyle name="Normal 58 5 4 3 7" xfId="16464"/>
    <cellStyle name="Normal 58 5 4 4" xfId="2991"/>
    <cellStyle name="Normal 58 5 4 4 2" xfId="5369"/>
    <cellStyle name="Normal 58 5 4 4 2 2" xfId="14208"/>
    <cellStyle name="Normal 58 5 4 4 2 2 2" xfId="24459"/>
    <cellStyle name="Normal 58 5 4 4 2 3" xfId="10629"/>
    <cellStyle name="Normal 58 5 4 4 2 4" xfId="19452"/>
    <cellStyle name="Normal 58 5 4 4 3" xfId="6826"/>
    <cellStyle name="Normal 58 5 4 4 3 2" xfId="15653"/>
    <cellStyle name="Normal 58 5 4 4 3 3" xfId="25904"/>
    <cellStyle name="Normal 58 5 4 4 4" xfId="8272"/>
    <cellStyle name="Normal 58 5 4 4 4 2" xfId="22354"/>
    <cellStyle name="Normal 58 5 4 4 5" xfId="17347"/>
    <cellStyle name="Normal 58 5 4 5" xfId="4325"/>
    <cellStyle name="Normal 58 5 4 5 2" xfId="13165"/>
    <cellStyle name="Normal 58 5 4 5 2 2" xfId="23416"/>
    <cellStyle name="Normal 58 5 4 5 3" xfId="9586"/>
    <cellStyle name="Normal 58 5 4 5 4" xfId="18409"/>
    <cellStyle name="Normal 58 5 4 6" xfId="1597"/>
    <cellStyle name="Normal 58 5 4 6 2" xfId="10976"/>
    <cellStyle name="Normal 58 5 4 6 3" xfId="20980"/>
    <cellStyle name="Normal 58 5 4 7" xfId="5783"/>
    <cellStyle name="Normal 58 5 4 7 2" xfId="14610"/>
    <cellStyle name="Normal 58 5 4 7 3" xfId="24861"/>
    <cellStyle name="Normal 58 5 4 8" xfId="7227"/>
    <cellStyle name="Normal 58 5 4 8 2" xfId="19953"/>
    <cellStyle name="Normal 58 5 4 9" xfId="15973"/>
    <cellStyle name="Normal 58 5 4_Degree data" xfId="4032"/>
    <cellStyle name="Normal 58 5 5" xfId="346"/>
    <cellStyle name="Normal 58 5 5 2" xfId="925"/>
    <cellStyle name="Normal 58 5 5 2 2" xfId="3412"/>
    <cellStyle name="Normal 58 5 5 2 2 2" xfId="12556"/>
    <cellStyle name="Normal 58 5 5 2 2 2 2" xfId="22775"/>
    <cellStyle name="Normal 58 5 5 2 2 3" xfId="8978"/>
    <cellStyle name="Normal 58 5 5 2 2 4" xfId="17768"/>
    <cellStyle name="Normal 58 5 5 2 3" xfId="4741"/>
    <cellStyle name="Normal 58 5 5 2 3 2" xfId="13581"/>
    <cellStyle name="Normal 58 5 5 2 3 2 2" xfId="23832"/>
    <cellStyle name="Normal 58 5 5 2 3 3" xfId="10002"/>
    <cellStyle name="Normal 58 5 5 2 3 4" xfId="18825"/>
    <cellStyle name="Normal 58 5 5 2 4" xfId="2521"/>
    <cellStyle name="Normal 58 5 5 2 4 2" xfId="11888"/>
    <cellStyle name="Normal 58 5 5 2 4 3" xfId="21892"/>
    <cellStyle name="Normal 58 5 5 2 5" xfId="6199"/>
    <cellStyle name="Normal 58 5 5 2 5 2" xfId="15026"/>
    <cellStyle name="Normal 58 5 5 2 5 3" xfId="25277"/>
    <cellStyle name="Normal 58 5 5 2 6" xfId="7644"/>
    <cellStyle name="Normal 58 5 5 2 6 2" xfId="20374"/>
    <cellStyle name="Normal 58 5 5 2 7" xfId="16885"/>
    <cellStyle name="Normal 58 5 5 3" xfId="1118"/>
    <cellStyle name="Normal 58 5 5 3 2" xfId="3549"/>
    <cellStyle name="Normal 58 5 5 3 2 2" xfId="12687"/>
    <cellStyle name="Normal 58 5 5 3 2 2 2" xfId="22906"/>
    <cellStyle name="Normal 58 5 5 3 2 3" xfId="9108"/>
    <cellStyle name="Normal 58 5 5 3 2 4" xfId="17899"/>
    <cellStyle name="Normal 58 5 5 3 3" xfId="5090"/>
    <cellStyle name="Normal 58 5 5 3 3 2" xfId="13929"/>
    <cellStyle name="Normal 58 5 5 3 3 2 2" xfId="24180"/>
    <cellStyle name="Normal 58 5 5 3 3 3" xfId="10350"/>
    <cellStyle name="Normal 58 5 5 3 3 4" xfId="19173"/>
    <cellStyle name="Normal 58 5 5 3 4" xfId="2610"/>
    <cellStyle name="Normal 58 5 5 3 4 2" xfId="11976"/>
    <cellStyle name="Normal 58 5 5 3 4 3" xfId="21980"/>
    <cellStyle name="Normal 58 5 5 3 5" xfId="6547"/>
    <cellStyle name="Normal 58 5 5 3 5 2" xfId="15374"/>
    <cellStyle name="Normal 58 5 5 3 5 3" xfId="25625"/>
    <cellStyle name="Normal 58 5 5 3 6" xfId="7993"/>
    <cellStyle name="Normal 58 5 5 3 6 2" xfId="20505"/>
    <cellStyle name="Normal 58 5 5 3 7" xfId="16973"/>
    <cellStyle name="Normal 58 5 5 4" xfId="2834"/>
    <cellStyle name="Normal 58 5 5 4 2" xfId="5212"/>
    <cellStyle name="Normal 58 5 5 4 2 2" xfId="14051"/>
    <cellStyle name="Normal 58 5 5 4 2 2 2" xfId="24302"/>
    <cellStyle name="Normal 58 5 5 4 2 3" xfId="10472"/>
    <cellStyle name="Normal 58 5 5 4 2 4" xfId="19295"/>
    <cellStyle name="Normal 58 5 5 4 3" xfId="6669"/>
    <cellStyle name="Normal 58 5 5 4 3 2" xfId="15496"/>
    <cellStyle name="Normal 58 5 5 4 3 3" xfId="25747"/>
    <cellStyle name="Normal 58 5 5 4 4" xfId="8115"/>
    <cellStyle name="Normal 58 5 5 4 4 2" xfId="22197"/>
    <cellStyle name="Normal 58 5 5 4 5" xfId="17190"/>
    <cellStyle name="Normal 58 5 5 5" xfId="4166"/>
    <cellStyle name="Normal 58 5 5 5 2" xfId="13006"/>
    <cellStyle name="Normal 58 5 5 5 2 2" xfId="23257"/>
    <cellStyle name="Normal 58 5 5 5 3" xfId="9427"/>
    <cellStyle name="Normal 58 5 5 5 4" xfId="18250"/>
    <cellStyle name="Normal 58 5 5 6" xfId="1943"/>
    <cellStyle name="Normal 58 5 5 6 2" xfId="11310"/>
    <cellStyle name="Normal 58 5 5 6 3" xfId="21314"/>
    <cellStyle name="Normal 58 5 5 7" xfId="5626"/>
    <cellStyle name="Normal 58 5 5 7 2" xfId="14453"/>
    <cellStyle name="Normal 58 5 5 7 3" xfId="24704"/>
    <cellStyle name="Normal 58 5 5 8" xfId="7070"/>
    <cellStyle name="Normal 58 5 5 8 2" xfId="19796"/>
    <cellStyle name="Normal 58 5 5 9" xfId="16307"/>
    <cellStyle name="Normal 58 5 5_Degree data" xfId="4033"/>
    <cellStyle name="Normal 58 5 6" xfId="919"/>
    <cellStyle name="Normal 58 5 6 2" xfId="3406"/>
    <cellStyle name="Normal 58 5 6 2 2" xfId="12550"/>
    <cellStyle name="Normal 58 5 6 2 2 2" xfId="22769"/>
    <cellStyle name="Normal 58 5 6 2 3" xfId="8972"/>
    <cellStyle name="Normal 58 5 6 2 4" xfId="17762"/>
    <cellStyle name="Normal 58 5 6 3" xfId="4735"/>
    <cellStyle name="Normal 58 5 6 3 2" xfId="13575"/>
    <cellStyle name="Normal 58 5 6 3 2 2" xfId="23826"/>
    <cellStyle name="Normal 58 5 6 3 3" xfId="9996"/>
    <cellStyle name="Normal 58 5 6 3 4" xfId="18819"/>
    <cellStyle name="Normal 58 5 6 4" xfId="2515"/>
    <cellStyle name="Normal 58 5 6 4 2" xfId="11882"/>
    <cellStyle name="Normal 58 5 6 4 3" xfId="21886"/>
    <cellStyle name="Normal 58 5 6 5" xfId="6193"/>
    <cellStyle name="Normal 58 5 6 5 2" xfId="15020"/>
    <cellStyle name="Normal 58 5 6 5 3" xfId="25271"/>
    <cellStyle name="Normal 58 5 6 6" xfId="7638"/>
    <cellStyle name="Normal 58 5 6 6 2" xfId="20368"/>
    <cellStyle name="Normal 58 5 6 7" xfId="16879"/>
    <cellStyle name="Normal 58 5 7" xfId="1073"/>
    <cellStyle name="Normal 58 5 7 2" xfId="3504"/>
    <cellStyle name="Normal 58 5 7 2 2" xfId="12642"/>
    <cellStyle name="Normal 58 5 7 2 2 2" xfId="22861"/>
    <cellStyle name="Normal 58 5 7 2 3" xfId="9064"/>
    <cellStyle name="Normal 58 5 7 2 4" xfId="17854"/>
    <cellStyle name="Normal 58 5 7 3" xfId="5084"/>
    <cellStyle name="Normal 58 5 7 3 2" xfId="13923"/>
    <cellStyle name="Normal 58 5 7 3 2 2" xfId="24174"/>
    <cellStyle name="Normal 58 5 7 3 3" xfId="10344"/>
    <cellStyle name="Normal 58 5 7 3 4" xfId="19167"/>
    <cellStyle name="Normal 58 5 7 4" xfId="1777"/>
    <cellStyle name="Normal 58 5 7 4 2" xfId="11150"/>
    <cellStyle name="Normal 58 5 7 4 3" xfId="21154"/>
    <cellStyle name="Normal 58 5 7 5" xfId="6541"/>
    <cellStyle name="Normal 58 5 7 5 2" xfId="15368"/>
    <cellStyle name="Normal 58 5 7 5 3" xfId="25619"/>
    <cellStyle name="Normal 58 5 7 6" xfId="7987"/>
    <cellStyle name="Normal 58 5 7 6 2" xfId="20460"/>
    <cellStyle name="Normal 58 5 7 7" xfId="16147"/>
    <cellStyle name="Normal 58 5 8" xfId="2674"/>
    <cellStyle name="Normal 58 5 8 2" xfId="5167"/>
    <cellStyle name="Normal 58 5 8 2 2" xfId="14006"/>
    <cellStyle name="Normal 58 5 8 2 2 2" xfId="24257"/>
    <cellStyle name="Normal 58 5 8 2 3" xfId="10427"/>
    <cellStyle name="Normal 58 5 8 2 4" xfId="19250"/>
    <cellStyle name="Normal 58 5 8 3" xfId="6624"/>
    <cellStyle name="Normal 58 5 8 3 2" xfId="15451"/>
    <cellStyle name="Normal 58 5 8 3 3" xfId="25702"/>
    <cellStyle name="Normal 58 5 8 4" xfId="8070"/>
    <cellStyle name="Normal 58 5 8 4 2" xfId="22037"/>
    <cellStyle name="Normal 58 5 8 5" xfId="17030"/>
    <cellStyle name="Normal 58 5 9" xfId="4121"/>
    <cellStyle name="Normal 58 5 9 2" xfId="5581"/>
    <cellStyle name="Normal 58 5 9 2 2" xfId="14408"/>
    <cellStyle name="Normal 58 5 9 2 3" xfId="24659"/>
    <cellStyle name="Normal 58 5 9 3" xfId="7025"/>
    <cellStyle name="Normal 58 5 9 3 2" xfId="23212"/>
    <cellStyle name="Normal 58 5 9 4" xfId="18205"/>
    <cellStyle name="Normal 58 5_Degree data" xfId="4027"/>
    <cellStyle name="Normal 58 6" xfId="148"/>
    <cellStyle name="Normal 58 6 10" xfId="1418"/>
    <cellStyle name="Normal 58 6 10 2" xfId="10797"/>
    <cellStyle name="Normal 58 6 10 3" xfId="20801"/>
    <cellStyle name="Normal 58 6 11" xfId="5529"/>
    <cellStyle name="Normal 58 6 11 2" xfId="14358"/>
    <cellStyle name="Normal 58 6 11 3" xfId="24609"/>
    <cellStyle name="Normal 58 6 12" xfId="6971"/>
    <cellStyle name="Normal 58 6 12 2" xfId="19616"/>
    <cellStyle name="Normal 58 6 13" xfId="15794"/>
    <cellStyle name="Normal 58 6 2" xfId="198"/>
    <cellStyle name="Normal 58 6 2 10" xfId="7150"/>
    <cellStyle name="Normal 58 6 2 10 2" xfId="19659"/>
    <cellStyle name="Normal 58 6 2 11" xfId="15896"/>
    <cellStyle name="Normal 58 6 2 2" xfId="526"/>
    <cellStyle name="Normal 58 6 2 2 2" xfId="928"/>
    <cellStyle name="Normal 58 6 2 2 2 2" xfId="3415"/>
    <cellStyle name="Normal 58 6 2 2 2 2 2" xfId="12559"/>
    <cellStyle name="Normal 58 6 2 2 2 2 2 2" xfId="22778"/>
    <cellStyle name="Normal 58 6 2 2 2 2 3" xfId="8981"/>
    <cellStyle name="Normal 58 6 2 2 2 2 4" xfId="17771"/>
    <cellStyle name="Normal 58 6 2 2 2 3" xfId="4744"/>
    <cellStyle name="Normal 58 6 2 2 2 3 2" xfId="13584"/>
    <cellStyle name="Normal 58 6 2 2 2 3 2 2" xfId="23835"/>
    <cellStyle name="Normal 58 6 2 2 2 3 3" xfId="10005"/>
    <cellStyle name="Normal 58 6 2 2 2 3 4" xfId="18828"/>
    <cellStyle name="Normal 58 6 2 2 2 4" xfId="2524"/>
    <cellStyle name="Normal 58 6 2 2 2 4 2" xfId="11891"/>
    <cellStyle name="Normal 58 6 2 2 2 4 3" xfId="21895"/>
    <cellStyle name="Normal 58 6 2 2 2 5" xfId="6202"/>
    <cellStyle name="Normal 58 6 2 2 2 5 2" xfId="15029"/>
    <cellStyle name="Normal 58 6 2 2 2 5 3" xfId="25280"/>
    <cellStyle name="Normal 58 6 2 2 2 6" xfId="7647"/>
    <cellStyle name="Normal 58 6 2 2 2 6 2" xfId="20377"/>
    <cellStyle name="Normal 58 6 2 2 2 7" xfId="16888"/>
    <cellStyle name="Normal 58 6 2 2 3" xfId="1298"/>
    <cellStyle name="Normal 58 6 2 2 3 2" xfId="3729"/>
    <cellStyle name="Normal 58 6 2 2 3 2 2" xfId="12867"/>
    <cellStyle name="Normal 58 6 2 2 3 2 2 2" xfId="23086"/>
    <cellStyle name="Normal 58 6 2 2 3 2 3" xfId="9288"/>
    <cellStyle name="Normal 58 6 2 2 3 2 4" xfId="18079"/>
    <cellStyle name="Normal 58 6 2 2 3 3" xfId="5093"/>
    <cellStyle name="Normal 58 6 2 2 3 3 2" xfId="13932"/>
    <cellStyle name="Normal 58 6 2 2 3 3 2 2" xfId="24183"/>
    <cellStyle name="Normal 58 6 2 2 3 3 3" xfId="10353"/>
    <cellStyle name="Normal 58 6 2 2 3 3 4" xfId="19176"/>
    <cellStyle name="Normal 58 6 2 2 3 4" xfId="2123"/>
    <cellStyle name="Normal 58 6 2 2 3 4 2" xfId="11490"/>
    <cellStyle name="Normal 58 6 2 2 3 4 3" xfId="21494"/>
    <cellStyle name="Normal 58 6 2 2 3 5" xfId="6550"/>
    <cellStyle name="Normal 58 6 2 2 3 5 2" xfId="15377"/>
    <cellStyle name="Normal 58 6 2 2 3 5 3" xfId="25628"/>
    <cellStyle name="Normal 58 6 2 2 3 6" xfId="7996"/>
    <cellStyle name="Normal 58 6 2 2 3 6 2" xfId="20685"/>
    <cellStyle name="Normal 58 6 2 2 3 7" xfId="16487"/>
    <cellStyle name="Normal 58 6 2 2 4" xfId="3014"/>
    <cellStyle name="Normal 58 6 2 2 4 2" xfId="5392"/>
    <cellStyle name="Normal 58 6 2 2 4 2 2" xfId="14231"/>
    <cellStyle name="Normal 58 6 2 2 4 2 2 2" xfId="24482"/>
    <cellStyle name="Normal 58 6 2 2 4 2 3" xfId="10652"/>
    <cellStyle name="Normal 58 6 2 2 4 2 4" xfId="19475"/>
    <cellStyle name="Normal 58 6 2 2 4 3" xfId="6849"/>
    <cellStyle name="Normal 58 6 2 2 4 3 2" xfId="15676"/>
    <cellStyle name="Normal 58 6 2 2 4 3 3" xfId="25927"/>
    <cellStyle name="Normal 58 6 2 2 4 4" xfId="8295"/>
    <cellStyle name="Normal 58 6 2 2 4 4 2" xfId="22377"/>
    <cellStyle name="Normal 58 6 2 2 4 5" xfId="17370"/>
    <cellStyle name="Normal 58 6 2 2 5" xfId="4348"/>
    <cellStyle name="Normal 58 6 2 2 5 2" xfId="13188"/>
    <cellStyle name="Normal 58 6 2 2 5 2 2" xfId="23439"/>
    <cellStyle name="Normal 58 6 2 2 5 3" xfId="9609"/>
    <cellStyle name="Normal 58 6 2 2 5 4" xfId="18432"/>
    <cellStyle name="Normal 58 6 2 2 6" xfId="1620"/>
    <cellStyle name="Normal 58 6 2 2 6 2" xfId="10999"/>
    <cellStyle name="Normal 58 6 2 2 6 3" xfId="21003"/>
    <cellStyle name="Normal 58 6 2 2 7" xfId="5806"/>
    <cellStyle name="Normal 58 6 2 2 7 2" xfId="14633"/>
    <cellStyle name="Normal 58 6 2 2 7 3" xfId="24884"/>
    <cellStyle name="Normal 58 6 2 2 8" xfId="7250"/>
    <cellStyle name="Normal 58 6 2 2 8 2" xfId="19976"/>
    <cellStyle name="Normal 58 6 2 2 9" xfId="15996"/>
    <cellStyle name="Normal 58 6 2 2_Degree data" xfId="4036"/>
    <cellStyle name="Normal 58 6 2 3" xfId="426"/>
    <cellStyle name="Normal 58 6 2 3 2" xfId="2914"/>
    <cellStyle name="Normal 58 6 2 3 2 2" xfId="12204"/>
    <cellStyle name="Normal 58 6 2 3 2 2 2" xfId="22277"/>
    <cellStyle name="Normal 58 6 2 3 2 3" xfId="8464"/>
    <cellStyle name="Normal 58 6 2 3 2 4" xfId="17270"/>
    <cellStyle name="Normal 58 6 2 3 3" xfId="4743"/>
    <cellStyle name="Normal 58 6 2 3 3 2" xfId="13583"/>
    <cellStyle name="Normal 58 6 2 3 3 2 2" xfId="23834"/>
    <cellStyle name="Normal 58 6 2 3 3 3" xfId="10004"/>
    <cellStyle name="Normal 58 6 2 3 3 4" xfId="18827"/>
    <cellStyle name="Normal 58 6 2 3 4" xfId="2023"/>
    <cellStyle name="Normal 58 6 2 3 4 2" xfId="11390"/>
    <cellStyle name="Normal 58 6 2 3 4 3" xfId="21394"/>
    <cellStyle name="Normal 58 6 2 3 5" xfId="6201"/>
    <cellStyle name="Normal 58 6 2 3 5 2" xfId="15028"/>
    <cellStyle name="Normal 58 6 2 3 5 3" xfId="25279"/>
    <cellStyle name="Normal 58 6 2 3 6" xfId="7646"/>
    <cellStyle name="Normal 58 6 2 3 6 2" xfId="19876"/>
    <cellStyle name="Normal 58 6 2 3 7" xfId="16387"/>
    <cellStyle name="Normal 58 6 2 4" xfId="927"/>
    <cellStyle name="Normal 58 6 2 4 2" xfId="3414"/>
    <cellStyle name="Normal 58 6 2 4 2 2" xfId="12558"/>
    <cellStyle name="Normal 58 6 2 4 2 2 2" xfId="22777"/>
    <cellStyle name="Normal 58 6 2 4 2 3" xfId="8980"/>
    <cellStyle name="Normal 58 6 2 4 2 4" xfId="17770"/>
    <cellStyle name="Normal 58 6 2 4 3" xfId="5092"/>
    <cellStyle name="Normal 58 6 2 4 3 2" xfId="13931"/>
    <cellStyle name="Normal 58 6 2 4 3 2 2" xfId="24182"/>
    <cellStyle name="Normal 58 6 2 4 3 3" xfId="10352"/>
    <cellStyle name="Normal 58 6 2 4 3 4" xfId="19175"/>
    <cellStyle name="Normal 58 6 2 4 4" xfId="2523"/>
    <cellStyle name="Normal 58 6 2 4 4 2" xfId="11890"/>
    <cellStyle name="Normal 58 6 2 4 4 3" xfId="21894"/>
    <cellStyle name="Normal 58 6 2 4 5" xfId="6549"/>
    <cellStyle name="Normal 58 6 2 4 5 2" xfId="15376"/>
    <cellStyle name="Normal 58 6 2 4 5 3" xfId="25627"/>
    <cellStyle name="Normal 58 6 2 4 6" xfId="7995"/>
    <cellStyle name="Normal 58 6 2 4 6 2" xfId="20376"/>
    <cellStyle name="Normal 58 6 2 4 7" xfId="16887"/>
    <cellStyle name="Normal 58 6 2 5" xfId="1198"/>
    <cellStyle name="Normal 58 6 2 5 2" xfId="3629"/>
    <cellStyle name="Normal 58 6 2 5 2 2" xfId="12767"/>
    <cellStyle name="Normal 58 6 2 5 2 2 2" xfId="22986"/>
    <cellStyle name="Normal 58 6 2 5 2 3" xfId="9188"/>
    <cellStyle name="Normal 58 6 2 5 2 4" xfId="17979"/>
    <cellStyle name="Normal 58 6 2 5 3" xfId="5292"/>
    <cellStyle name="Normal 58 6 2 5 3 2" xfId="14131"/>
    <cellStyle name="Normal 58 6 2 5 3 2 2" xfId="24382"/>
    <cellStyle name="Normal 58 6 2 5 3 3" xfId="10552"/>
    <cellStyle name="Normal 58 6 2 5 3 4" xfId="19375"/>
    <cellStyle name="Normal 58 6 2 5 4" xfId="1802"/>
    <cellStyle name="Normal 58 6 2 5 4 2" xfId="11173"/>
    <cellStyle name="Normal 58 6 2 5 4 3" xfId="21177"/>
    <cellStyle name="Normal 58 6 2 5 5" xfId="6749"/>
    <cellStyle name="Normal 58 6 2 5 5 2" xfId="15576"/>
    <cellStyle name="Normal 58 6 2 5 5 3" xfId="25827"/>
    <cellStyle name="Normal 58 6 2 5 6" xfId="8195"/>
    <cellStyle name="Normal 58 6 2 5 6 2" xfId="20585"/>
    <cellStyle name="Normal 58 6 2 5 7" xfId="16170"/>
    <cellStyle name="Normal 58 6 2 6" xfId="2697"/>
    <cellStyle name="Normal 58 6 2 6 2" xfId="12016"/>
    <cellStyle name="Normal 58 6 2 6 2 2" xfId="22060"/>
    <cellStyle name="Normal 58 6 2 6 3" xfId="8570"/>
    <cellStyle name="Normal 58 6 2 6 4" xfId="17053"/>
    <cellStyle name="Normal 58 6 2 7" xfId="4248"/>
    <cellStyle name="Normal 58 6 2 7 2" xfId="13088"/>
    <cellStyle name="Normal 58 6 2 7 2 2" xfId="23339"/>
    <cellStyle name="Normal 58 6 2 7 3" xfId="9509"/>
    <cellStyle name="Normal 58 6 2 7 4" xfId="18332"/>
    <cellStyle name="Normal 58 6 2 8" xfId="1520"/>
    <cellStyle name="Normal 58 6 2 8 2" xfId="10899"/>
    <cellStyle name="Normal 58 6 2 8 3" xfId="20903"/>
    <cellStyle name="Normal 58 6 2 9" xfId="5706"/>
    <cellStyle name="Normal 58 6 2 9 2" xfId="14533"/>
    <cellStyle name="Normal 58 6 2 9 3" xfId="24784"/>
    <cellStyle name="Normal 58 6 2_Degree data" xfId="4035"/>
    <cellStyle name="Normal 58 6 3" xfId="265"/>
    <cellStyle name="Normal 58 6 3 10" xfId="7107"/>
    <cellStyle name="Normal 58 6 3 10 2" xfId="19721"/>
    <cellStyle name="Normal 58 6 3 11" xfId="15853"/>
    <cellStyle name="Normal 58 6 3 2" xfId="588"/>
    <cellStyle name="Normal 58 6 3 2 2" xfId="930"/>
    <cellStyle name="Normal 58 6 3 2 2 2" xfId="3417"/>
    <cellStyle name="Normal 58 6 3 2 2 2 2" xfId="12561"/>
    <cellStyle name="Normal 58 6 3 2 2 2 2 2" xfId="22780"/>
    <cellStyle name="Normal 58 6 3 2 2 2 3" xfId="8983"/>
    <cellStyle name="Normal 58 6 3 2 2 2 4" xfId="17773"/>
    <cellStyle name="Normal 58 6 3 2 2 3" xfId="4746"/>
    <cellStyle name="Normal 58 6 3 2 2 3 2" xfId="13586"/>
    <cellStyle name="Normal 58 6 3 2 2 3 2 2" xfId="23837"/>
    <cellStyle name="Normal 58 6 3 2 2 3 3" xfId="10007"/>
    <cellStyle name="Normal 58 6 3 2 2 3 4" xfId="18830"/>
    <cellStyle name="Normal 58 6 3 2 2 4" xfId="2526"/>
    <cellStyle name="Normal 58 6 3 2 2 4 2" xfId="11893"/>
    <cellStyle name="Normal 58 6 3 2 2 4 3" xfId="21897"/>
    <cellStyle name="Normal 58 6 3 2 2 5" xfId="6204"/>
    <cellStyle name="Normal 58 6 3 2 2 5 2" xfId="15031"/>
    <cellStyle name="Normal 58 6 3 2 2 5 3" xfId="25282"/>
    <cellStyle name="Normal 58 6 3 2 2 6" xfId="7649"/>
    <cellStyle name="Normal 58 6 3 2 2 6 2" xfId="20379"/>
    <cellStyle name="Normal 58 6 3 2 2 7" xfId="16890"/>
    <cellStyle name="Normal 58 6 3 2 3" xfId="1360"/>
    <cellStyle name="Normal 58 6 3 2 3 2" xfId="3791"/>
    <cellStyle name="Normal 58 6 3 2 3 2 2" xfId="12929"/>
    <cellStyle name="Normal 58 6 3 2 3 2 2 2" xfId="23148"/>
    <cellStyle name="Normal 58 6 3 2 3 2 3" xfId="9350"/>
    <cellStyle name="Normal 58 6 3 2 3 2 4" xfId="18141"/>
    <cellStyle name="Normal 58 6 3 2 3 3" xfId="5095"/>
    <cellStyle name="Normal 58 6 3 2 3 3 2" xfId="13934"/>
    <cellStyle name="Normal 58 6 3 2 3 3 2 2" xfId="24185"/>
    <cellStyle name="Normal 58 6 3 2 3 3 3" xfId="10355"/>
    <cellStyle name="Normal 58 6 3 2 3 3 4" xfId="19178"/>
    <cellStyle name="Normal 58 6 3 2 3 4" xfId="2185"/>
    <cellStyle name="Normal 58 6 3 2 3 4 2" xfId="11552"/>
    <cellStyle name="Normal 58 6 3 2 3 4 3" xfId="21556"/>
    <cellStyle name="Normal 58 6 3 2 3 5" xfId="6552"/>
    <cellStyle name="Normal 58 6 3 2 3 5 2" xfId="15379"/>
    <cellStyle name="Normal 58 6 3 2 3 5 3" xfId="25630"/>
    <cellStyle name="Normal 58 6 3 2 3 6" xfId="7998"/>
    <cellStyle name="Normal 58 6 3 2 3 6 2" xfId="20747"/>
    <cellStyle name="Normal 58 6 3 2 3 7" xfId="16549"/>
    <cellStyle name="Normal 58 6 3 2 4" xfId="3076"/>
    <cellStyle name="Normal 58 6 3 2 4 2" xfId="5454"/>
    <cellStyle name="Normal 58 6 3 2 4 2 2" xfId="14293"/>
    <cellStyle name="Normal 58 6 3 2 4 2 2 2" xfId="24544"/>
    <cellStyle name="Normal 58 6 3 2 4 2 3" xfId="10714"/>
    <cellStyle name="Normal 58 6 3 2 4 2 4" xfId="19537"/>
    <cellStyle name="Normal 58 6 3 2 4 3" xfId="6911"/>
    <cellStyle name="Normal 58 6 3 2 4 3 2" xfId="15738"/>
    <cellStyle name="Normal 58 6 3 2 4 3 3" xfId="25989"/>
    <cellStyle name="Normal 58 6 3 2 4 4" xfId="8357"/>
    <cellStyle name="Normal 58 6 3 2 4 4 2" xfId="22439"/>
    <cellStyle name="Normal 58 6 3 2 4 5" xfId="17432"/>
    <cellStyle name="Normal 58 6 3 2 5" xfId="4410"/>
    <cellStyle name="Normal 58 6 3 2 5 2" xfId="13250"/>
    <cellStyle name="Normal 58 6 3 2 5 2 2" xfId="23501"/>
    <cellStyle name="Normal 58 6 3 2 5 3" xfId="9671"/>
    <cellStyle name="Normal 58 6 3 2 5 4" xfId="18494"/>
    <cellStyle name="Normal 58 6 3 2 6" xfId="1682"/>
    <cellStyle name="Normal 58 6 3 2 6 2" xfId="11061"/>
    <cellStyle name="Normal 58 6 3 2 6 3" xfId="21065"/>
    <cellStyle name="Normal 58 6 3 2 7" xfId="5868"/>
    <cellStyle name="Normal 58 6 3 2 7 2" xfId="14695"/>
    <cellStyle name="Normal 58 6 3 2 7 3" xfId="24946"/>
    <cellStyle name="Normal 58 6 3 2 8" xfId="7312"/>
    <cellStyle name="Normal 58 6 3 2 8 2" xfId="20038"/>
    <cellStyle name="Normal 58 6 3 2 9" xfId="16058"/>
    <cellStyle name="Normal 58 6 3 2_Degree data" xfId="4038"/>
    <cellStyle name="Normal 58 6 3 3" xfId="383"/>
    <cellStyle name="Normal 58 6 3 3 2" xfId="2871"/>
    <cellStyle name="Normal 58 6 3 3 2 2" xfId="12161"/>
    <cellStyle name="Normal 58 6 3 3 2 2 2" xfId="22234"/>
    <cellStyle name="Normal 58 6 3 3 2 3" xfId="8537"/>
    <cellStyle name="Normal 58 6 3 3 2 4" xfId="17227"/>
    <cellStyle name="Normal 58 6 3 3 3" xfId="4745"/>
    <cellStyle name="Normal 58 6 3 3 3 2" xfId="13585"/>
    <cellStyle name="Normal 58 6 3 3 3 2 2" xfId="23836"/>
    <cellStyle name="Normal 58 6 3 3 3 3" xfId="10006"/>
    <cellStyle name="Normal 58 6 3 3 3 4" xfId="18829"/>
    <cellStyle name="Normal 58 6 3 3 4" xfId="1980"/>
    <cellStyle name="Normal 58 6 3 3 4 2" xfId="11347"/>
    <cellStyle name="Normal 58 6 3 3 4 3" xfId="21351"/>
    <cellStyle name="Normal 58 6 3 3 5" xfId="6203"/>
    <cellStyle name="Normal 58 6 3 3 5 2" xfId="15030"/>
    <cellStyle name="Normal 58 6 3 3 5 3" xfId="25281"/>
    <cellStyle name="Normal 58 6 3 3 6" xfId="7648"/>
    <cellStyle name="Normal 58 6 3 3 6 2" xfId="19833"/>
    <cellStyle name="Normal 58 6 3 3 7" xfId="16344"/>
    <cellStyle name="Normal 58 6 3 4" xfId="929"/>
    <cellStyle name="Normal 58 6 3 4 2" xfId="3416"/>
    <cellStyle name="Normal 58 6 3 4 2 2" xfId="12560"/>
    <cellStyle name="Normal 58 6 3 4 2 2 2" xfId="22779"/>
    <cellStyle name="Normal 58 6 3 4 2 3" xfId="8982"/>
    <cellStyle name="Normal 58 6 3 4 2 4" xfId="17772"/>
    <cellStyle name="Normal 58 6 3 4 3" xfId="5094"/>
    <cellStyle name="Normal 58 6 3 4 3 2" xfId="13933"/>
    <cellStyle name="Normal 58 6 3 4 3 2 2" xfId="24184"/>
    <cellStyle name="Normal 58 6 3 4 3 3" xfId="10354"/>
    <cellStyle name="Normal 58 6 3 4 3 4" xfId="19177"/>
    <cellStyle name="Normal 58 6 3 4 4" xfId="2525"/>
    <cellStyle name="Normal 58 6 3 4 4 2" xfId="11892"/>
    <cellStyle name="Normal 58 6 3 4 4 3" xfId="21896"/>
    <cellStyle name="Normal 58 6 3 4 5" xfId="6551"/>
    <cellStyle name="Normal 58 6 3 4 5 2" xfId="15378"/>
    <cellStyle name="Normal 58 6 3 4 5 3" xfId="25629"/>
    <cellStyle name="Normal 58 6 3 4 6" xfId="7997"/>
    <cellStyle name="Normal 58 6 3 4 6 2" xfId="20378"/>
    <cellStyle name="Normal 58 6 3 4 7" xfId="16889"/>
    <cellStyle name="Normal 58 6 3 5" xfId="1155"/>
    <cellStyle name="Normal 58 6 3 5 2" xfId="3586"/>
    <cellStyle name="Normal 58 6 3 5 2 2" xfId="12724"/>
    <cellStyle name="Normal 58 6 3 5 2 2 2" xfId="22943"/>
    <cellStyle name="Normal 58 6 3 5 2 3" xfId="9145"/>
    <cellStyle name="Normal 58 6 3 5 2 4" xfId="17936"/>
    <cellStyle name="Normal 58 6 3 5 3" xfId="5249"/>
    <cellStyle name="Normal 58 6 3 5 3 2" xfId="14088"/>
    <cellStyle name="Normal 58 6 3 5 3 2 2" xfId="24339"/>
    <cellStyle name="Normal 58 6 3 5 3 3" xfId="10509"/>
    <cellStyle name="Normal 58 6 3 5 3 4" xfId="19332"/>
    <cellStyle name="Normal 58 6 3 5 4" xfId="1865"/>
    <cellStyle name="Normal 58 6 3 5 4 2" xfId="11235"/>
    <cellStyle name="Normal 58 6 3 5 4 3" xfId="21239"/>
    <cellStyle name="Normal 58 6 3 5 5" xfId="6706"/>
    <cellStyle name="Normal 58 6 3 5 5 2" xfId="15533"/>
    <cellStyle name="Normal 58 6 3 5 5 3" xfId="25784"/>
    <cellStyle name="Normal 58 6 3 5 6" xfId="8152"/>
    <cellStyle name="Normal 58 6 3 5 6 2" xfId="20542"/>
    <cellStyle name="Normal 58 6 3 5 7" xfId="16232"/>
    <cellStyle name="Normal 58 6 3 6" xfId="2759"/>
    <cellStyle name="Normal 58 6 3 6 2" xfId="12078"/>
    <cellStyle name="Normal 58 6 3 6 2 2" xfId="22122"/>
    <cellStyle name="Normal 58 6 3 6 3" xfId="8557"/>
    <cellStyle name="Normal 58 6 3 6 4" xfId="17115"/>
    <cellStyle name="Normal 58 6 3 7" xfId="4205"/>
    <cellStyle name="Normal 58 6 3 7 2" xfId="13045"/>
    <cellStyle name="Normal 58 6 3 7 2 2" xfId="23296"/>
    <cellStyle name="Normal 58 6 3 7 3" xfId="9466"/>
    <cellStyle name="Normal 58 6 3 7 4" xfId="18289"/>
    <cellStyle name="Normal 58 6 3 8" xfId="1477"/>
    <cellStyle name="Normal 58 6 3 8 2" xfId="10856"/>
    <cellStyle name="Normal 58 6 3 8 3" xfId="20860"/>
    <cellStyle name="Normal 58 6 3 9" xfId="5663"/>
    <cellStyle name="Normal 58 6 3 9 2" xfId="14490"/>
    <cellStyle name="Normal 58 6 3 9 3" xfId="24741"/>
    <cellStyle name="Normal 58 6 3_Degree data" xfId="4037"/>
    <cellStyle name="Normal 58 6 4" xfId="483"/>
    <cellStyle name="Normal 58 6 4 2" xfId="931"/>
    <cellStyle name="Normal 58 6 4 2 2" xfId="3418"/>
    <cellStyle name="Normal 58 6 4 2 2 2" xfId="12562"/>
    <cellStyle name="Normal 58 6 4 2 2 2 2" xfId="22781"/>
    <cellStyle name="Normal 58 6 4 2 2 3" xfId="8984"/>
    <cellStyle name="Normal 58 6 4 2 2 4" xfId="17774"/>
    <cellStyle name="Normal 58 6 4 2 3" xfId="4747"/>
    <cellStyle name="Normal 58 6 4 2 3 2" xfId="13587"/>
    <cellStyle name="Normal 58 6 4 2 3 2 2" xfId="23838"/>
    <cellStyle name="Normal 58 6 4 2 3 3" xfId="10008"/>
    <cellStyle name="Normal 58 6 4 2 3 4" xfId="18831"/>
    <cellStyle name="Normal 58 6 4 2 4" xfId="2527"/>
    <cellStyle name="Normal 58 6 4 2 4 2" xfId="11894"/>
    <cellStyle name="Normal 58 6 4 2 4 3" xfId="21898"/>
    <cellStyle name="Normal 58 6 4 2 5" xfId="6205"/>
    <cellStyle name="Normal 58 6 4 2 5 2" xfId="15032"/>
    <cellStyle name="Normal 58 6 4 2 5 3" xfId="25283"/>
    <cellStyle name="Normal 58 6 4 2 6" xfId="7650"/>
    <cellStyle name="Normal 58 6 4 2 6 2" xfId="20380"/>
    <cellStyle name="Normal 58 6 4 2 7" xfId="16891"/>
    <cellStyle name="Normal 58 6 4 3" xfId="1255"/>
    <cellStyle name="Normal 58 6 4 3 2" xfId="3686"/>
    <cellStyle name="Normal 58 6 4 3 2 2" xfId="12824"/>
    <cellStyle name="Normal 58 6 4 3 2 2 2" xfId="23043"/>
    <cellStyle name="Normal 58 6 4 3 2 3" xfId="9245"/>
    <cellStyle name="Normal 58 6 4 3 2 4" xfId="18036"/>
    <cellStyle name="Normal 58 6 4 3 3" xfId="5096"/>
    <cellStyle name="Normal 58 6 4 3 3 2" xfId="13935"/>
    <cellStyle name="Normal 58 6 4 3 3 2 2" xfId="24186"/>
    <cellStyle name="Normal 58 6 4 3 3 3" xfId="10356"/>
    <cellStyle name="Normal 58 6 4 3 3 4" xfId="19179"/>
    <cellStyle name="Normal 58 6 4 3 4" xfId="2080"/>
    <cellStyle name="Normal 58 6 4 3 4 2" xfId="11447"/>
    <cellStyle name="Normal 58 6 4 3 4 3" xfId="21451"/>
    <cellStyle name="Normal 58 6 4 3 5" xfId="6553"/>
    <cellStyle name="Normal 58 6 4 3 5 2" xfId="15380"/>
    <cellStyle name="Normal 58 6 4 3 5 3" xfId="25631"/>
    <cellStyle name="Normal 58 6 4 3 6" xfId="7999"/>
    <cellStyle name="Normal 58 6 4 3 6 2" xfId="20642"/>
    <cellStyle name="Normal 58 6 4 3 7" xfId="16444"/>
    <cellStyle name="Normal 58 6 4 4" xfId="2971"/>
    <cellStyle name="Normal 58 6 4 4 2" xfId="5349"/>
    <cellStyle name="Normal 58 6 4 4 2 2" xfId="14188"/>
    <cellStyle name="Normal 58 6 4 4 2 2 2" xfId="24439"/>
    <cellStyle name="Normal 58 6 4 4 2 3" xfId="10609"/>
    <cellStyle name="Normal 58 6 4 4 2 4" xfId="19432"/>
    <cellStyle name="Normal 58 6 4 4 3" xfId="6806"/>
    <cellStyle name="Normal 58 6 4 4 3 2" xfId="15633"/>
    <cellStyle name="Normal 58 6 4 4 3 3" xfId="25884"/>
    <cellStyle name="Normal 58 6 4 4 4" xfId="8252"/>
    <cellStyle name="Normal 58 6 4 4 4 2" xfId="22334"/>
    <cellStyle name="Normal 58 6 4 4 5" xfId="17327"/>
    <cellStyle name="Normal 58 6 4 5" xfId="4305"/>
    <cellStyle name="Normal 58 6 4 5 2" xfId="13145"/>
    <cellStyle name="Normal 58 6 4 5 2 2" xfId="23396"/>
    <cellStyle name="Normal 58 6 4 5 3" xfId="9566"/>
    <cellStyle name="Normal 58 6 4 5 4" xfId="18389"/>
    <cellStyle name="Normal 58 6 4 6" xfId="1577"/>
    <cellStyle name="Normal 58 6 4 6 2" xfId="10956"/>
    <cellStyle name="Normal 58 6 4 6 3" xfId="20960"/>
    <cellStyle name="Normal 58 6 4 7" xfId="5763"/>
    <cellStyle name="Normal 58 6 4 7 2" xfId="14590"/>
    <cellStyle name="Normal 58 6 4 7 3" xfId="24841"/>
    <cellStyle name="Normal 58 6 4 8" xfId="7207"/>
    <cellStyle name="Normal 58 6 4 8 2" xfId="19933"/>
    <cellStyle name="Normal 58 6 4 9" xfId="15953"/>
    <cellStyle name="Normal 58 6 4_Degree data" xfId="4039"/>
    <cellStyle name="Normal 58 6 5" xfId="324"/>
    <cellStyle name="Normal 58 6 5 2" xfId="2812"/>
    <cellStyle name="Normal 58 6 5 2 2" xfId="12118"/>
    <cellStyle name="Normal 58 6 5 2 2 2" xfId="22175"/>
    <cellStyle name="Normal 58 6 5 2 3" xfId="8637"/>
    <cellStyle name="Normal 58 6 5 2 4" xfId="17168"/>
    <cellStyle name="Normal 58 6 5 3" xfId="4742"/>
    <cellStyle name="Normal 58 6 5 3 2" xfId="13582"/>
    <cellStyle name="Normal 58 6 5 3 2 2" xfId="23833"/>
    <cellStyle name="Normal 58 6 5 3 3" xfId="10003"/>
    <cellStyle name="Normal 58 6 5 3 4" xfId="18826"/>
    <cellStyle name="Normal 58 6 5 4" xfId="1921"/>
    <cellStyle name="Normal 58 6 5 4 2" xfId="11288"/>
    <cellStyle name="Normal 58 6 5 4 3" xfId="21292"/>
    <cellStyle name="Normal 58 6 5 5" xfId="6200"/>
    <cellStyle name="Normal 58 6 5 5 2" xfId="15027"/>
    <cellStyle name="Normal 58 6 5 5 3" xfId="25278"/>
    <cellStyle name="Normal 58 6 5 6" xfId="7645"/>
    <cellStyle name="Normal 58 6 5 6 2" xfId="19774"/>
    <cellStyle name="Normal 58 6 5 7" xfId="16285"/>
    <cellStyle name="Normal 58 6 6" xfId="926"/>
    <cellStyle name="Normal 58 6 6 2" xfId="3413"/>
    <cellStyle name="Normal 58 6 6 2 2" xfId="12557"/>
    <cellStyle name="Normal 58 6 6 2 2 2" xfId="22776"/>
    <cellStyle name="Normal 58 6 6 2 3" xfId="8979"/>
    <cellStyle name="Normal 58 6 6 2 4" xfId="17769"/>
    <cellStyle name="Normal 58 6 6 3" xfId="5091"/>
    <cellStyle name="Normal 58 6 6 3 2" xfId="13930"/>
    <cellStyle name="Normal 58 6 6 3 2 2" xfId="24181"/>
    <cellStyle name="Normal 58 6 6 3 3" xfId="10351"/>
    <cellStyle name="Normal 58 6 6 3 4" xfId="19174"/>
    <cellStyle name="Normal 58 6 6 4" xfId="2522"/>
    <cellStyle name="Normal 58 6 6 4 2" xfId="11889"/>
    <cellStyle name="Normal 58 6 6 4 3" xfId="21893"/>
    <cellStyle name="Normal 58 6 6 5" xfId="6548"/>
    <cellStyle name="Normal 58 6 6 5 2" xfId="15375"/>
    <cellStyle name="Normal 58 6 6 5 3" xfId="25626"/>
    <cellStyle name="Normal 58 6 6 6" xfId="7994"/>
    <cellStyle name="Normal 58 6 6 6 2" xfId="20375"/>
    <cellStyle name="Normal 58 6 6 7" xfId="16886"/>
    <cellStyle name="Normal 58 6 7" xfId="1096"/>
    <cellStyle name="Normal 58 6 7 2" xfId="3527"/>
    <cellStyle name="Normal 58 6 7 2 2" xfId="12665"/>
    <cellStyle name="Normal 58 6 7 2 2 2" xfId="22884"/>
    <cellStyle name="Normal 58 6 7 2 3" xfId="9087"/>
    <cellStyle name="Normal 58 6 7 2 4" xfId="17877"/>
    <cellStyle name="Normal 58 6 7 3" xfId="5190"/>
    <cellStyle name="Normal 58 6 7 3 2" xfId="14029"/>
    <cellStyle name="Normal 58 6 7 3 2 2" xfId="24280"/>
    <cellStyle name="Normal 58 6 7 3 3" xfId="10450"/>
    <cellStyle name="Normal 58 6 7 3 4" xfId="19273"/>
    <cellStyle name="Normal 58 6 7 4" xfId="1756"/>
    <cellStyle name="Normal 58 6 7 4 2" xfId="11129"/>
    <cellStyle name="Normal 58 6 7 4 3" xfId="21133"/>
    <cellStyle name="Normal 58 6 7 5" xfId="6647"/>
    <cellStyle name="Normal 58 6 7 5 2" xfId="15474"/>
    <cellStyle name="Normal 58 6 7 5 3" xfId="25725"/>
    <cellStyle name="Normal 58 6 7 6" xfId="8093"/>
    <cellStyle name="Normal 58 6 7 6 2" xfId="20483"/>
    <cellStyle name="Normal 58 6 7 7" xfId="16126"/>
    <cellStyle name="Normal 58 6 8" xfId="2654"/>
    <cellStyle name="Normal 58 6 8 2" xfId="5604"/>
    <cellStyle name="Normal 58 6 8 2 2" xfId="14431"/>
    <cellStyle name="Normal 58 6 8 2 3" xfId="24682"/>
    <cellStyle name="Normal 58 6 8 3" xfId="7048"/>
    <cellStyle name="Normal 58 6 8 3 2" xfId="22017"/>
    <cellStyle name="Normal 58 6 8 4" xfId="17010"/>
    <cellStyle name="Normal 58 6 9" xfId="4144"/>
    <cellStyle name="Normal 58 6 9 2" xfId="12984"/>
    <cellStyle name="Normal 58 6 9 2 2" xfId="23235"/>
    <cellStyle name="Normal 58 6 9 3" xfId="9405"/>
    <cellStyle name="Normal 58 6 9 4" xfId="18228"/>
    <cellStyle name="Normal 58 6_Degree data" xfId="4034"/>
    <cellStyle name="Normal 58 7" xfId="181"/>
    <cellStyle name="Normal 58 7 10" xfId="7133"/>
    <cellStyle name="Normal 58 7 10 2" xfId="19642"/>
    <cellStyle name="Normal 58 7 11" xfId="15879"/>
    <cellStyle name="Normal 58 7 2" xfId="509"/>
    <cellStyle name="Normal 58 7 2 2" xfId="933"/>
    <cellStyle name="Normal 58 7 2 2 2" xfId="3420"/>
    <cellStyle name="Normal 58 7 2 2 2 2" xfId="12564"/>
    <cellStyle name="Normal 58 7 2 2 2 2 2" xfId="22783"/>
    <cellStyle name="Normal 58 7 2 2 2 3" xfId="8986"/>
    <cellStyle name="Normal 58 7 2 2 2 4" xfId="17776"/>
    <cellStyle name="Normal 58 7 2 2 3" xfId="4749"/>
    <cellStyle name="Normal 58 7 2 2 3 2" xfId="13589"/>
    <cellStyle name="Normal 58 7 2 2 3 2 2" xfId="23840"/>
    <cellStyle name="Normal 58 7 2 2 3 3" xfId="10010"/>
    <cellStyle name="Normal 58 7 2 2 3 4" xfId="18833"/>
    <cellStyle name="Normal 58 7 2 2 4" xfId="2529"/>
    <cellStyle name="Normal 58 7 2 2 4 2" xfId="11896"/>
    <cellStyle name="Normal 58 7 2 2 4 3" xfId="21900"/>
    <cellStyle name="Normal 58 7 2 2 5" xfId="6207"/>
    <cellStyle name="Normal 58 7 2 2 5 2" xfId="15034"/>
    <cellStyle name="Normal 58 7 2 2 5 3" xfId="25285"/>
    <cellStyle name="Normal 58 7 2 2 6" xfId="7652"/>
    <cellStyle name="Normal 58 7 2 2 6 2" xfId="20382"/>
    <cellStyle name="Normal 58 7 2 2 7" xfId="16893"/>
    <cellStyle name="Normal 58 7 2 3" xfId="1281"/>
    <cellStyle name="Normal 58 7 2 3 2" xfId="3712"/>
    <cellStyle name="Normal 58 7 2 3 2 2" xfId="12850"/>
    <cellStyle name="Normal 58 7 2 3 2 2 2" xfId="23069"/>
    <cellStyle name="Normal 58 7 2 3 2 3" xfId="9271"/>
    <cellStyle name="Normal 58 7 2 3 2 4" xfId="18062"/>
    <cellStyle name="Normal 58 7 2 3 3" xfId="5098"/>
    <cellStyle name="Normal 58 7 2 3 3 2" xfId="13937"/>
    <cellStyle name="Normal 58 7 2 3 3 2 2" xfId="24188"/>
    <cellStyle name="Normal 58 7 2 3 3 3" xfId="10358"/>
    <cellStyle name="Normal 58 7 2 3 3 4" xfId="19181"/>
    <cellStyle name="Normal 58 7 2 3 4" xfId="2106"/>
    <cellStyle name="Normal 58 7 2 3 4 2" xfId="11473"/>
    <cellStyle name="Normal 58 7 2 3 4 3" xfId="21477"/>
    <cellStyle name="Normal 58 7 2 3 5" xfId="6555"/>
    <cellStyle name="Normal 58 7 2 3 5 2" xfId="15382"/>
    <cellStyle name="Normal 58 7 2 3 5 3" xfId="25633"/>
    <cellStyle name="Normal 58 7 2 3 6" xfId="8001"/>
    <cellStyle name="Normal 58 7 2 3 6 2" xfId="20668"/>
    <cellStyle name="Normal 58 7 2 3 7" xfId="16470"/>
    <cellStyle name="Normal 58 7 2 4" xfId="2997"/>
    <cellStyle name="Normal 58 7 2 4 2" xfId="5375"/>
    <cellStyle name="Normal 58 7 2 4 2 2" xfId="14214"/>
    <cellStyle name="Normal 58 7 2 4 2 2 2" xfId="24465"/>
    <cellStyle name="Normal 58 7 2 4 2 3" xfId="10635"/>
    <cellStyle name="Normal 58 7 2 4 2 4" xfId="19458"/>
    <cellStyle name="Normal 58 7 2 4 3" xfId="6832"/>
    <cellStyle name="Normal 58 7 2 4 3 2" xfId="15659"/>
    <cellStyle name="Normal 58 7 2 4 3 3" xfId="25910"/>
    <cellStyle name="Normal 58 7 2 4 4" xfId="8278"/>
    <cellStyle name="Normal 58 7 2 4 4 2" xfId="22360"/>
    <cellStyle name="Normal 58 7 2 4 5" xfId="17353"/>
    <cellStyle name="Normal 58 7 2 5" xfId="4331"/>
    <cellStyle name="Normal 58 7 2 5 2" xfId="13171"/>
    <cellStyle name="Normal 58 7 2 5 2 2" xfId="23422"/>
    <cellStyle name="Normal 58 7 2 5 3" xfId="9592"/>
    <cellStyle name="Normal 58 7 2 5 4" xfId="18415"/>
    <cellStyle name="Normal 58 7 2 6" xfId="1603"/>
    <cellStyle name="Normal 58 7 2 6 2" xfId="10982"/>
    <cellStyle name="Normal 58 7 2 6 3" xfId="20986"/>
    <cellStyle name="Normal 58 7 2 7" xfId="5789"/>
    <cellStyle name="Normal 58 7 2 7 2" xfId="14616"/>
    <cellStyle name="Normal 58 7 2 7 3" xfId="24867"/>
    <cellStyle name="Normal 58 7 2 8" xfId="7233"/>
    <cellStyle name="Normal 58 7 2 8 2" xfId="19959"/>
    <cellStyle name="Normal 58 7 2 9" xfId="15979"/>
    <cellStyle name="Normal 58 7 2_Degree data" xfId="4041"/>
    <cellStyle name="Normal 58 7 3" xfId="409"/>
    <cellStyle name="Normal 58 7 3 2" xfId="2897"/>
    <cellStyle name="Normal 58 7 3 2 2" xfId="12187"/>
    <cellStyle name="Normal 58 7 3 2 2 2" xfId="22260"/>
    <cellStyle name="Normal 58 7 3 2 3" xfId="8413"/>
    <cellStyle name="Normal 58 7 3 2 4" xfId="17253"/>
    <cellStyle name="Normal 58 7 3 3" xfId="4748"/>
    <cellStyle name="Normal 58 7 3 3 2" xfId="13588"/>
    <cellStyle name="Normal 58 7 3 3 2 2" xfId="23839"/>
    <cellStyle name="Normal 58 7 3 3 3" xfId="10009"/>
    <cellStyle name="Normal 58 7 3 3 4" xfId="18832"/>
    <cellStyle name="Normal 58 7 3 4" xfId="2006"/>
    <cellStyle name="Normal 58 7 3 4 2" xfId="11373"/>
    <cellStyle name="Normal 58 7 3 4 3" xfId="21377"/>
    <cellStyle name="Normal 58 7 3 5" xfId="6206"/>
    <cellStyle name="Normal 58 7 3 5 2" xfId="15033"/>
    <cellStyle name="Normal 58 7 3 5 3" xfId="25284"/>
    <cellStyle name="Normal 58 7 3 6" xfId="7651"/>
    <cellStyle name="Normal 58 7 3 6 2" xfId="19859"/>
    <cellStyle name="Normal 58 7 3 7" xfId="16370"/>
    <cellStyle name="Normal 58 7 4" xfId="932"/>
    <cellStyle name="Normal 58 7 4 2" xfId="3419"/>
    <cellStyle name="Normal 58 7 4 2 2" xfId="12563"/>
    <cellStyle name="Normal 58 7 4 2 2 2" xfId="22782"/>
    <cellStyle name="Normal 58 7 4 2 3" xfId="8985"/>
    <cellStyle name="Normal 58 7 4 2 4" xfId="17775"/>
    <cellStyle name="Normal 58 7 4 3" xfId="5097"/>
    <cellStyle name="Normal 58 7 4 3 2" xfId="13936"/>
    <cellStyle name="Normal 58 7 4 3 2 2" xfId="24187"/>
    <cellStyle name="Normal 58 7 4 3 3" xfId="10357"/>
    <cellStyle name="Normal 58 7 4 3 4" xfId="19180"/>
    <cellStyle name="Normal 58 7 4 4" xfId="2528"/>
    <cellStyle name="Normal 58 7 4 4 2" xfId="11895"/>
    <cellStyle name="Normal 58 7 4 4 3" xfId="21899"/>
    <cellStyle name="Normal 58 7 4 5" xfId="6554"/>
    <cellStyle name="Normal 58 7 4 5 2" xfId="15381"/>
    <cellStyle name="Normal 58 7 4 5 3" xfId="25632"/>
    <cellStyle name="Normal 58 7 4 6" xfId="8000"/>
    <cellStyle name="Normal 58 7 4 6 2" xfId="20381"/>
    <cellStyle name="Normal 58 7 4 7" xfId="16892"/>
    <cellStyle name="Normal 58 7 5" xfId="1181"/>
    <cellStyle name="Normal 58 7 5 2" xfId="3612"/>
    <cellStyle name="Normal 58 7 5 2 2" xfId="12750"/>
    <cellStyle name="Normal 58 7 5 2 2 2" xfId="22969"/>
    <cellStyle name="Normal 58 7 5 2 3" xfId="9171"/>
    <cellStyle name="Normal 58 7 5 2 4" xfId="17962"/>
    <cellStyle name="Normal 58 7 5 3" xfId="5275"/>
    <cellStyle name="Normal 58 7 5 3 2" xfId="14114"/>
    <cellStyle name="Normal 58 7 5 3 2 2" xfId="24365"/>
    <cellStyle name="Normal 58 7 5 3 3" xfId="10535"/>
    <cellStyle name="Normal 58 7 5 3 4" xfId="19358"/>
    <cellStyle name="Normal 58 7 5 4" xfId="1785"/>
    <cellStyle name="Normal 58 7 5 4 2" xfId="11156"/>
    <cellStyle name="Normal 58 7 5 4 3" xfId="21160"/>
    <cellStyle name="Normal 58 7 5 5" xfId="6732"/>
    <cellStyle name="Normal 58 7 5 5 2" xfId="15559"/>
    <cellStyle name="Normal 58 7 5 5 3" xfId="25810"/>
    <cellStyle name="Normal 58 7 5 6" xfId="8178"/>
    <cellStyle name="Normal 58 7 5 6 2" xfId="20568"/>
    <cellStyle name="Normal 58 7 5 7" xfId="16153"/>
    <cellStyle name="Normal 58 7 6" xfId="2680"/>
    <cellStyle name="Normal 58 7 6 2" xfId="11999"/>
    <cellStyle name="Normal 58 7 6 2 2" xfId="22043"/>
    <cellStyle name="Normal 58 7 6 3" xfId="8636"/>
    <cellStyle name="Normal 58 7 6 4" xfId="17036"/>
    <cellStyle name="Normal 58 7 7" xfId="4231"/>
    <cellStyle name="Normal 58 7 7 2" xfId="13071"/>
    <cellStyle name="Normal 58 7 7 2 2" xfId="23322"/>
    <cellStyle name="Normal 58 7 7 3" xfId="9492"/>
    <cellStyle name="Normal 58 7 7 4" xfId="18315"/>
    <cellStyle name="Normal 58 7 8" xfId="1503"/>
    <cellStyle name="Normal 58 7 8 2" xfId="10882"/>
    <cellStyle name="Normal 58 7 8 3" xfId="20886"/>
    <cellStyle name="Normal 58 7 9" xfId="5689"/>
    <cellStyle name="Normal 58 7 9 2" xfId="14516"/>
    <cellStyle name="Normal 58 7 9 3" xfId="24767"/>
    <cellStyle name="Normal 58 7_Degree data" xfId="4040"/>
    <cellStyle name="Normal 58 8" xfId="234"/>
    <cellStyle name="Normal 58 8 10" xfId="7076"/>
    <cellStyle name="Normal 58 8 10 2" xfId="19690"/>
    <cellStyle name="Normal 58 8 11" xfId="15822"/>
    <cellStyle name="Normal 58 8 2" xfId="557"/>
    <cellStyle name="Normal 58 8 2 2" xfId="935"/>
    <cellStyle name="Normal 58 8 2 2 2" xfId="3422"/>
    <cellStyle name="Normal 58 8 2 2 2 2" xfId="12566"/>
    <cellStyle name="Normal 58 8 2 2 2 2 2" xfId="22785"/>
    <cellStyle name="Normal 58 8 2 2 2 3" xfId="8988"/>
    <cellStyle name="Normal 58 8 2 2 2 4" xfId="17778"/>
    <cellStyle name="Normal 58 8 2 2 3" xfId="4751"/>
    <cellStyle name="Normal 58 8 2 2 3 2" xfId="13591"/>
    <cellStyle name="Normal 58 8 2 2 3 2 2" xfId="23842"/>
    <cellStyle name="Normal 58 8 2 2 3 3" xfId="10012"/>
    <cellStyle name="Normal 58 8 2 2 3 4" xfId="18835"/>
    <cellStyle name="Normal 58 8 2 2 4" xfId="2531"/>
    <cellStyle name="Normal 58 8 2 2 4 2" xfId="11898"/>
    <cellStyle name="Normal 58 8 2 2 4 3" xfId="21902"/>
    <cellStyle name="Normal 58 8 2 2 5" xfId="6209"/>
    <cellStyle name="Normal 58 8 2 2 5 2" xfId="15036"/>
    <cellStyle name="Normal 58 8 2 2 5 3" xfId="25287"/>
    <cellStyle name="Normal 58 8 2 2 6" xfId="7654"/>
    <cellStyle name="Normal 58 8 2 2 6 2" xfId="20384"/>
    <cellStyle name="Normal 58 8 2 2 7" xfId="16895"/>
    <cellStyle name="Normal 58 8 2 3" xfId="1329"/>
    <cellStyle name="Normal 58 8 2 3 2" xfId="3760"/>
    <cellStyle name="Normal 58 8 2 3 2 2" xfId="12898"/>
    <cellStyle name="Normal 58 8 2 3 2 2 2" xfId="23117"/>
    <cellStyle name="Normal 58 8 2 3 2 3" xfId="9319"/>
    <cellStyle name="Normal 58 8 2 3 2 4" xfId="18110"/>
    <cellStyle name="Normal 58 8 2 3 3" xfId="5100"/>
    <cellStyle name="Normal 58 8 2 3 3 2" xfId="13939"/>
    <cellStyle name="Normal 58 8 2 3 3 2 2" xfId="24190"/>
    <cellStyle name="Normal 58 8 2 3 3 3" xfId="10360"/>
    <cellStyle name="Normal 58 8 2 3 3 4" xfId="19183"/>
    <cellStyle name="Normal 58 8 2 3 4" xfId="2154"/>
    <cellStyle name="Normal 58 8 2 3 4 2" xfId="11521"/>
    <cellStyle name="Normal 58 8 2 3 4 3" xfId="21525"/>
    <cellStyle name="Normal 58 8 2 3 5" xfId="6557"/>
    <cellStyle name="Normal 58 8 2 3 5 2" xfId="15384"/>
    <cellStyle name="Normal 58 8 2 3 5 3" xfId="25635"/>
    <cellStyle name="Normal 58 8 2 3 6" xfId="8003"/>
    <cellStyle name="Normal 58 8 2 3 6 2" xfId="20716"/>
    <cellStyle name="Normal 58 8 2 3 7" xfId="16518"/>
    <cellStyle name="Normal 58 8 2 4" xfId="3045"/>
    <cellStyle name="Normal 58 8 2 4 2" xfId="5423"/>
    <cellStyle name="Normal 58 8 2 4 2 2" xfId="14262"/>
    <cellStyle name="Normal 58 8 2 4 2 2 2" xfId="24513"/>
    <cellStyle name="Normal 58 8 2 4 2 3" xfId="10683"/>
    <cellStyle name="Normal 58 8 2 4 2 4" xfId="19506"/>
    <cellStyle name="Normal 58 8 2 4 3" xfId="6880"/>
    <cellStyle name="Normal 58 8 2 4 3 2" xfId="15707"/>
    <cellStyle name="Normal 58 8 2 4 3 3" xfId="25958"/>
    <cellStyle name="Normal 58 8 2 4 4" xfId="8326"/>
    <cellStyle name="Normal 58 8 2 4 4 2" xfId="22408"/>
    <cellStyle name="Normal 58 8 2 4 5" xfId="17401"/>
    <cellStyle name="Normal 58 8 2 5" xfId="4379"/>
    <cellStyle name="Normal 58 8 2 5 2" xfId="13219"/>
    <cellStyle name="Normal 58 8 2 5 2 2" xfId="23470"/>
    <cellStyle name="Normal 58 8 2 5 3" xfId="9640"/>
    <cellStyle name="Normal 58 8 2 5 4" xfId="18463"/>
    <cellStyle name="Normal 58 8 2 6" xfId="1651"/>
    <cellStyle name="Normal 58 8 2 6 2" xfId="11030"/>
    <cellStyle name="Normal 58 8 2 6 3" xfId="21034"/>
    <cellStyle name="Normal 58 8 2 7" xfId="5837"/>
    <cellStyle name="Normal 58 8 2 7 2" xfId="14664"/>
    <cellStyle name="Normal 58 8 2 7 3" xfId="24915"/>
    <cellStyle name="Normal 58 8 2 8" xfId="7281"/>
    <cellStyle name="Normal 58 8 2 8 2" xfId="20007"/>
    <cellStyle name="Normal 58 8 2 9" xfId="16027"/>
    <cellStyle name="Normal 58 8 2_Degree data" xfId="4043"/>
    <cellStyle name="Normal 58 8 3" xfId="352"/>
    <cellStyle name="Normal 58 8 3 2" xfId="2840"/>
    <cellStyle name="Normal 58 8 3 2 2" xfId="12130"/>
    <cellStyle name="Normal 58 8 3 2 2 2" xfId="22203"/>
    <cellStyle name="Normal 58 8 3 2 3" xfId="8642"/>
    <cellStyle name="Normal 58 8 3 2 4" xfId="17196"/>
    <cellStyle name="Normal 58 8 3 3" xfId="4750"/>
    <cellStyle name="Normal 58 8 3 3 2" xfId="13590"/>
    <cellStyle name="Normal 58 8 3 3 2 2" xfId="23841"/>
    <cellStyle name="Normal 58 8 3 3 3" xfId="10011"/>
    <cellStyle name="Normal 58 8 3 3 4" xfId="18834"/>
    <cellStyle name="Normal 58 8 3 4" xfId="1949"/>
    <cellStyle name="Normal 58 8 3 4 2" xfId="11316"/>
    <cellStyle name="Normal 58 8 3 4 3" xfId="21320"/>
    <cellStyle name="Normal 58 8 3 5" xfId="6208"/>
    <cellStyle name="Normal 58 8 3 5 2" xfId="15035"/>
    <cellStyle name="Normal 58 8 3 5 3" xfId="25286"/>
    <cellStyle name="Normal 58 8 3 6" xfId="7653"/>
    <cellStyle name="Normal 58 8 3 6 2" xfId="19802"/>
    <cellStyle name="Normal 58 8 3 7" xfId="16313"/>
    <cellStyle name="Normal 58 8 4" xfId="934"/>
    <cellStyle name="Normal 58 8 4 2" xfId="3421"/>
    <cellStyle name="Normal 58 8 4 2 2" xfId="12565"/>
    <cellStyle name="Normal 58 8 4 2 2 2" xfId="22784"/>
    <cellStyle name="Normal 58 8 4 2 3" xfId="8987"/>
    <cellStyle name="Normal 58 8 4 2 4" xfId="17777"/>
    <cellStyle name="Normal 58 8 4 3" xfId="5099"/>
    <cellStyle name="Normal 58 8 4 3 2" xfId="13938"/>
    <cellStyle name="Normal 58 8 4 3 2 2" xfId="24189"/>
    <cellStyle name="Normal 58 8 4 3 3" xfId="10359"/>
    <cellStyle name="Normal 58 8 4 3 4" xfId="19182"/>
    <cellStyle name="Normal 58 8 4 4" xfId="2530"/>
    <cellStyle name="Normal 58 8 4 4 2" xfId="11897"/>
    <cellStyle name="Normal 58 8 4 4 3" xfId="21901"/>
    <cellStyle name="Normal 58 8 4 5" xfId="6556"/>
    <cellStyle name="Normal 58 8 4 5 2" xfId="15383"/>
    <cellStyle name="Normal 58 8 4 5 3" xfId="25634"/>
    <cellStyle name="Normal 58 8 4 6" xfId="8002"/>
    <cellStyle name="Normal 58 8 4 6 2" xfId="20383"/>
    <cellStyle name="Normal 58 8 4 7" xfId="16894"/>
    <cellStyle name="Normal 58 8 5" xfId="1124"/>
    <cellStyle name="Normal 58 8 5 2" xfId="3555"/>
    <cellStyle name="Normal 58 8 5 2 2" xfId="12693"/>
    <cellStyle name="Normal 58 8 5 2 2 2" xfId="22912"/>
    <cellStyle name="Normal 58 8 5 2 3" xfId="9114"/>
    <cellStyle name="Normal 58 8 5 2 4" xfId="17905"/>
    <cellStyle name="Normal 58 8 5 3" xfId="5218"/>
    <cellStyle name="Normal 58 8 5 3 2" xfId="14057"/>
    <cellStyle name="Normal 58 8 5 3 2 2" xfId="24308"/>
    <cellStyle name="Normal 58 8 5 3 3" xfId="10478"/>
    <cellStyle name="Normal 58 8 5 3 4" xfId="19301"/>
    <cellStyle name="Normal 58 8 5 4" xfId="1834"/>
    <cellStyle name="Normal 58 8 5 4 2" xfId="11204"/>
    <cellStyle name="Normal 58 8 5 4 3" xfId="21208"/>
    <cellStyle name="Normal 58 8 5 5" xfId="6675"/>
    <cellStyle name="Normal 58 8 5 5 2" xfId="15502"/>
    <cellStyle name="Normal 58 8 5 5 3" xfId="25753"/>
    <cellStyle name="Normal 58 8 5 6" xfId="8121"/>
    <cellStyle name="Normal 58 8 5 6 2" xfId="20511"/>
    <cellStyle name="Normal 58 8 5 7" xfId="16201"/>
    <cellStyle name="Normal 58 8 6" xfId="2728"/>
    <cellStyle name="Normal 58 8 6 2" xfId="12047"/>
    <cellStyle name="Normal 58 8 6 2 2" xfId="22091"/>
    <cellStyle name="Normal 58 8 6 3" xfId="8565"/>
    <cellStyle name="Normal 58 8 6 4" xfId="17084"/>
    <cellStyle name="Normal 58 8 7" xfId="4174"/>
    <cellStyle name="Normal 58 8 7 2" xfId="13014"/>
    <cellStyle name="Normal 58 8 7 2 2" xfId="23265"/>
    <cellStyle name="Normal 58 8 7 3" xfId="9435"/>
    <cellStyle name="Normal 58 8 7 4" xfId="18258"/>
    <cellStyle name="Normal 58 8 8" xfId="1446"/>
    <cellStyle name="Normal 58 8 8 2" xfId="10825"/>
    <cellStyle name="Normal 58 8 8 3" xfId="20829"/>
    <cellStyle name="Normal 58 8 9" xfId="5632"/>
    <cellStyle name="Normal 58 8 9 2" xfId="14459"/>
    <cellStyle name="Normal 58 8 9 3" xfId="24710"/>
    <cellStyle name="Normal 58 8_Degree data" xfId="4042"/>
    <cellStyle name="Normal 58 9" xfId="291"/>
    <cellStyle name="Normal 58 9 10" xfId="16083"/>
    <cellStyle name="Normal 58 9 2" xfId="613"/>
    <cellStyle name="Normal 58 9 2 2" xfId="3101"/>
    <cellStyle name="Normal 58 9 2 2 2" xfId="12246"/>
    <cellStyle name="Normal 58 9 2 2 2 2" xfId="22464"/>
    <cellStyle name="Normal 58 9 2 2 3" xfId="8668"/>
    <cellStyle name="Normal 58 9 2 2 4" xfId="17457"/>
    <cellStyle name="Normal 58 9 2 3" xfId="4752"/>
    <cellStyle name="Normal 58 9 2 3 2" xfId="13592"/>
    <cellStyle name="Normal 58 9 2 3 2 2" xfId="23843"/>
    <cellStyle name="Normal 58 9 2 3 3" xfId="10013"/>
    <cellStyle name="Normal 58 9 2 3 4" xfId="18836"/>
    <cellStyle name="Normal 58 9 2 4" xfId="2210"/>
    <cellStyle name="Normal 58 9 2 4 2" xfId="11577"/>
    <cellStyle name="Normal 58 9 2 4 3" xfId="21581"/>
    <cellStyle name="Normal 58 9 2 5" xfId="6210"/>
    <cellStyle name="Normal 58 9 2 5 2" xfId="15037"/>
    <cellStyle name="Normal 58 9 2 5 3" xfId="25288"/>
    <cellStyle name="Normal 58 9 2 6" xfId="7655"/>
    <cellStyle name="Normal 58 9 2 6 2" xfId="20063"/>
    <cellStyle name="Normal 58 9 2 7" xfId="16574"/>
    <cellStyle name="Normal 58 9 3" xfId="936"/>
    <cellStyle name="Normal 58 9 3 2" xfId="3423"/>
    <cellStyle name="Normal 58 9 3 2 2" xfId="12567"/>
    <cellStyle name="Normal 58 9 3 2 2 2" xfId="22786"/>
    <cellStyle name="Normal 58 9 3 2 3" xfId="8989"/>
    <cellStyle name="Normal 58 9 3 2 4" xfId="17779"/>
    <cellStyle name="Normal 58 9 3 3" xfId="5101"/>
    <cellStyle name="Normal 58 9 3 3 2" xfId="13940"/>
    <cellStyle name="Normal 58 9 3 3 2 2" xfId="24191"/>
    <cellStyle name="Normal 58 9 3 3 3" xfId="10361"/>
    <cellStyle name="Normal 58 9 3 3 4" xfId="19184"/>
    <cellStyle name="Normal 58 9 3 4" xfId="2532"/>
    <cellStyle name="Normal 58 9 3 4 2" xfId="11899"/>
    <cellStyle name="Normal 58 9 3 4 3" xfId="21903"/>
    <cellStyle name="Normal 58 9 3 5" xfId="6558"/>
    <cellStyle name="Normal 58 9 3 5 2" xfId="15385"/>
    <cellStyle name="Normal 58 9 3 5 3" xfId="25636"/>
    <cellStyle name="Normal 58 9 3 6" xfId="8004"/>
    <cellStyle name="Normal 58 9 3 6 2" xfId="20385"/>
    <cellStyle name="Normal 58 9 3 7" xfId="16896"/>
    <cellStyle name="Normal 58 9 4" xfId="1385"/>
    <cellStyle name="Normal 58 9 4 2" xfId="3816"/>
    <cellStyle name="Normal 58 9 4 2 2" xfId="12954"/>
    <cellStyle name="Normal 58 9 4 2 2 2" xfId="23173"/>
    <cellStyle name="Normal 58 9 4 2 3" xfId="9375"/>
    <cellStyle name="Normal 58 9 4 2 4" xfId="18166"/>
    <cellStyle name="Normal 58 9 4 3" xfId="5479"/>
    <cellStyle name="Normal 58 9 4 3 2" xfId="14318"/>
    <cellStyle name="Normal 58 9 4 3 2 2" xfId="24569"/>
    <cellStyle name="Normal 58 9 4 3 3" xfId="10739"/>
    <cellStyle name="Normal 58 9 4 3 4" xfId="19562"/>
    <cellStyle name="Normal 58 9 4 4" xfId="1890"/>
    <cellStyle name="Normal 58 9 4 4 2" xfId="11260"/>
    <cellStyle name="Normal 58 9 4 4 3" xfId="21264"/>
    <cellStyle name="Normal 58 9 4 5" xfId="6936"/>
    <cellStyle name="Normal 58 9 4 5 2" xfId="15763"/>
    <cellStyle name="Normal 58 9 4 5 3" xfId="26014"/>
    <cellStyle name="Normal 58 9 4 6" xfId="8382"/>
    <cellStyle name="Normal 58 9 4 6 2" xfId="20772"/>
    <cellStyle name="Normal 58 9 4 7" xfId="16257"/>
    <cellStyle name="Normal 58 9 5" xfId="2784"/>
    <cellStyle name="Normal 58 9 5 2" xfId="12103"/>
    <cellStyle name="Normal 58 9 5 2 2" xfId="22147"/>
    <cellStyle name="Normal 58 9 5 3" xfId="8407"/>
    <cellStyle name="Normal 58 9 5 4" xfId="17140"/>
    <cellStyle name="Normal 58 9 6" xfId="4435"/>
    <cellStyle name="Normal 58 9 6 2" xfId="13275"/>
    <cellStyle name="Normal 58 9 6 2 2" xfId="23526"/>
    <cellStyle name="Normal 58 9 6 3" xfId="9696"/>
    <cellStyle name="Normal 58 9 6 4" xfId="18519"/>
    <cellStyle name="Normal 58 9 7" xfId="1707"/>
    <cellStyle name="Normal 58 9 7 2" xfId="11086"/>
    <cellStyle name="Normal 58 9 7 3" xfId="21090"/>
    <cellStyle name="Normal 58 9 8" xfId="5893"/>
    <cellStyle name="Normal 58 9 8 2" xfId="14720"/>
    <cellStyle name="Normal 58 9 8 3" xfId="24971"/>
    <cellStyle name="Normal 58 9 9" xfId="7337"/>
    <cellStyle name="Normal 58 9 9 2" xfId="19746"/>
    <cellStyle name="Normal 58 9_Degree data" xfId="4044"/>
    <cellStyle name="Normal 58_Degree data" xfId="4002"/>
    <cellStyle name="Normal 59" xfId="56"/>
    <cellStyle name="Normal 6" xfId="38"/>
    <cellStyle name="Normal 6 2 2" xfId="55"/>
    <cellStyle name="Normal 6_sreb progression tab 2 redo" xfId="45"/>
    <cellStyle name="Normal 60" xfId="67"/>
    <cellStyle name="Normal 60 2" xfId="937"/>
    <cellStyle name="Normal 60 3" xfId="1724"/>
    <cellStyle name="Normal 60_Degree data" xfId="4045"/>
    <cellStyle name="Normal 61" xfId="68"/>
    <cellStyle name="Normal 61 2" xfId="938"/>
    <cellStyle name="Normal 61 3" xfId="1725"/>
    <cellStyle name="Normal 61_Degree data" xfId="4046"/>
    <cellStyle name="Normal 62" xfId="103"/>
    <cellStyle name="Normal 62 2" xfId="939"/>
    <cellStyle name="Normal 62 3" xfId="1726"/>
    <cellStyle name="Normal 62_Degree data" xfId="4047"/>
    <cellStyle name="Normal 63" xfId="133"/>
    <cellStyle name="Normal 63 10" xfId="1429"/>
    <cellStyle name="Normal 63 10 2" xfId="10808"/>
    <cellStyle name="Normal 63 10 3" xfId="20812"/>
    <cellStyle name="Normal 63 11" xfId="5615"/>
    <cellStyle name="Normal 63 11 2" xfId="14442"/>
    <cellStyle name="Normal 63 11 3" xfId="24693"/>
    <cellStyle name="Normal 63 12" xfId="7059"/>
    <cellStyle name="Normal 63 12 2" xfId="19604"/>
    <cellStyle name="Normal 63 13" xfId="15805"/>
    <cellStyle name="Normal 63 2" xfId="253"/>
    <cellStyle name="Normal 63 2 10" xfId="7095"/>
    <cellStyle name="Normal 63 2 10 2" xfId="19709"/>
    <cellStyle name="Normal 63 2 11" xfId="15841"/>
    <cellStyle name="Normal 63 2 2" xfId="576"/>
    <cellStyle name="Normal 63 2 2 2" xfId="942"/>
    <cellStyle name="Normal 63 2 2 2 2" xfId="3426"/>
    <cellStyle name="Normal 63 2 2 2 2 2" xfId="12570"/>
    <cellStyle name="Normal 63 2 2 2 2 2 2" xfId="22789"/>
    <cellStyle name="Normal 63 2 2 2 2 3" xfId="8992"/>
    <cellStyle name="Normal 63 2 2 2 2 4" xfId="17782"/>
    <cellStyle name="Normal 63 2 2 2 3" xfId="4755"/>
    <cellStyle name="Normal 63 2 2 2 3 2" xfId="13595"/>
    <cellStyle name="Normal 63 2 2 2 3 2 2" xfId="23846"/>
    <cellStyle name="Normal 63 2 2 2 3 3" xfId="10016"/>
    <cellStyle name="Normal 63 2 2 2 3 4" xfId="18839"/>
    <cellStyle name="Normal 63 2 2 2 4" xfId="2535"/>
    <cellStyle name="Normal 63 2 2 2 4 2" xfId="11902"/>
    <cellStyle name="Normal 63 2 2 2 4 3" xfId="21906"/>
    <cellStyle name="Normal 63 2 2 2 5" xfId="6213"/>
    <cellStyle name="Normal 63 2 2 2 5 2" xfId="15040"/>
    <cellStyle name="Normal 63 2 2 2 5 3" xfId="25291"/>
    <cellStyle name="Normal 63 2 2 2 6" xfId="7659"/>
    <cellStyle name="Normal 63 2 2 2 6 2" xfId="20388"/>
    <cellStyle name="Normal 63 2 2 2 7" xfId="16899"/>
    <cellStyle name="Normal 63 2 2 3" xfId="1348"/>
    <cellStyle name="Normal 63 2 2 3 2" xfId="3779"/>
    <cellStyle name="Normal 63 2 2 3 2 2" xfId="12917"/>
    <cellStyle name="Normal 63 2 2 3 2 2 2" xfId="23136"/>
    <cellStyle name="Normal 63 2 2 3 2 3" xfId="9338"/>
    <cellStyle name="Normal 63 2 2 3 2 4" xfId="18129"/>
    <cellStyle name="Normal 63 2 2 3 3" xfId="5104"/>
    <cellStyle name="Normal 63 2 2 3 3 2" xfId="13943"/>
    <cellStyle name="Normal 63 2 2 3 3 2 2" xfId="24194"/>
    <cellStyle name="Normal 63 2 2 3 3 3" xfId="10364"/>
    <cellStyle name="Normal 63 2 2 3 3 4" xfId="19187"/>
    <cellStyle name="Normal 63 2 2 3 4" xfId="2173"/>
    <cellStyle name="Normal 63 2 2 3 4 2" xfId="11540"/>
    <cellStyle name="Normal 63 2 2 3 4 3" xfId="21544"/>
    <cellStyle name="Normal 63 2 2 3 5" xfId="6561"/>
    <cellStyle name="Normal 63 2 2 3 5 2" xfId="15388"/>
    <cellStyle name="Normal 63 2 2 3 5 3" xfId="25639"/>
    <cellStyle name="Normal 63 2 2 3 6" xfId="8007"/>
    <cellStyle name="Normal 63 2 2 3 6 2" xfId="20735"/>
    <cellStyle name="Normal 63 2 2 3 7" xfId="16537"/>
    <cellStyle name="Normal 63 2 2 4" xfId="3064"/>
    <cellStyle name="Normal 63 2 2 4 2" xfId="5442"/>
    <cellStyle name="Normal 63 2 2 4 2 2" xfId="14281"/>
    <cellStyle name="Normal 63 2 2 4 2 2 2" xfId="24532"/>
    <cellStyle name="Normal 63 2 2 4 2 3" xfId="10702"/>
    <cellStyle name="Normal 63 2 2 4 2 4" xfId="19525"/>
    <cellStyle name="Normal 63 2 2 4 3" xfId="6899"/>
    <cellStyle name="Normal 63 2 2 4 3 2" xfId="15726"/>
    <cellStyle name="Normal 63 2 2 4 3 3" xfId="25977"/>
    <cellStyle name="Normal 63 2 2 4 4" xfId="8345"/>
    <cellStyle name="Normal 63 2 2 4 4 2" xfId="22427"/>
    <cellStyle name="Normal 63 2 2 4 5" xfId="17420"/>
    <cellStyle name="Normal 63 2 2 5" xfId="4398"/>
    <cellStyle name="Normal 63 2 2 5 2" xfId="13238"/>
    <cellStyle name="Normal 63 2 2 5 2 2" xfId="23489"/>
    <cellStyle name="Normal 63 2 2 5 3" xfId="9659"/>
    <cellStyle name="Normal 63 2 2 5 4" xfId="18482"/>
    <cellStyle name="Normal 63 2 2 6" xfId="1670"/>
    <cellStyle name="Normal 63 2 2 6 2" xfId="11049"/>
    <cellStyle name="Normal 63 2 2 6 3" xfId="21053"/>
    <cellStyle name="Normal 63 2 2 7" xfId="5856"/>
    <cellStyle name="Normal 63 2 2 7 2" xfId="14683"/>
    <cellStyle name="Normal 63 2 2 7 3" xfId="24934"/>
    <cellStyle name="Normal 63 2 2 8" xfId="7300"/>
    <cellStyle name="Normal 63 2 2 8 2" xfId="20026"/>
    <cellStyle name="Normal 63 2 2 9" xfId="16046"/>
    <cellStyle name="Normal 63 2 2_Degree data" xfId="4050"/>
    <cellStyle name="Normal 63 2 3" xfId="371"/>
    <cellStyle name="Normal 63 2 3 2" xfId="2859"/>
    <cellStyle name="Normal 63 2 3 2 2" xfId="12149"/>
    <cellStyle name="Normal 63 2 3 2 2 2" xfId="22222"/>
    <cellStyle name="Normal 63 2 3 2 3" xfId="8592"/>
    <cellStyle name="Normal 63 2 3 2 4" xfId="17215"/>
    <cellStyle name="Normal 63 2 3 3" xfId="4754"/>
    <cellStyle name="Normal 63 2 3 3 2" xfId="13594"/>
    <cellStyle name="Normal 63 2 3 3 2 2" xfId="23845"/>
    <cellStyle name="Normal 63 2 3 3 3" xfId="10015"/>
    <cellStyle name="Normal 63 2 3 3 4" xfId="18838"/>
    <cellStyle name="Normal 63 2 3 4" xfId="1968"/>
    <cellStyle name="Normal 63 2 3 4 2" xfId="11335"/>
    <cellStyle name="Normal 63 2 3 4 3" xfId="21339"/>
    <cellStyle name="Normal 63 2 3 5" xfId="6212"/>
    <cellStyle name="Normal 63 2 3 5 2" xfId="15039"/>
    <cellStyle name="Normal 63 2 3 5 3" xfId="25290"/>
    <cellStyle name="Normal 63 2 3 6" xfId="7658"/>
    <cellStyle name="Normal 63 2 3 6 2" xfId="19821"/>
    <cellStyle name="Normal 63 2 3 7" xfId="16332"/>
    <cellStyle name="Normal 63 2 4" xfId="941"/>
    <cellStyle name="Normal 63 2 4 2" xfId="3425"/>
    <cellStyle name="Normal 63 2 4 2 2" xfId="12569"/>
    <cellStyle name="Normal 63 2 4 2 2 2" xfId="22788"/>
    <cellStyle name="Normal 63 2 4 2 3" xfId="8991"/>
    <cellStyle name="Normal 63 2 4 2 4" xfId="17781"/>
    <cellStyle name="Normal 63 2 4 3" xfId="5103"/>
    <cellStyle name="Normal 63 2 4 3 2" xfId="13942"/>
    <cellStyle name="Normal 63 2 4 3 2 2" xfId="24193"/>
    <cellStyle name="Normal 63 2 4 3 3" xfId="10363"/>
    <cellStyle name="Normal 63 2 4 3 4" xfId="19186"/>
    <cellStyle name="Normal 63 2 4 4" xfId="2534"/>
    <cellStyle name="Normal 63 2 4 4 2" xfId="11901"/>
    <cellStyle name="Normal 63 2 4 4 3" xfId="21905"/>
    <cellStyle name="Normal 63 2 4 5" xfId="6560"/>
    <cellStyle name="Normal 63 2 4 5 2" xfId="15387"/>
    <cellStyle name="Normal 63 2 4 5 3" xfId="25638"/>
    <cellStyle name="Normal 63 2 4 6" xfId="8006"/>
    <cellStyle name="Normal 63 2 4 6 2" xfId="20387"/>
    <cellStyle name="Normal 63 2 4 7" xfId="16898"/>
    <cellStyle name="Normal 63 2 5" xfId="1143"/>
    <cellStyle name="Normal 63 2 5 2" xfId="3574"/>
    <cellStyle name="Normal 63 2 5 2 2" xfId="12712"/>
    <cellStyle name="Normal 63 2 5 2 2 2" xfId="22931"/>
    <cellStyle name="Normal 63 2 5 2 3" xfId="9133"/>
    <cellStyle name="Normal 63 2 5 2 4" xfId="17924"/>
    <cellStyle name="Normal 63 2 5 3" xfId="5237"/>
    <cellStyle name="Normal 63 2 5 3 2" xfId="14076"/>
    <cellStyle name="Normal 63 2 5 3 2 2" xfId="24327"/>
    <cellStyle name="Normal 63 2 5 3 3" xfId="10497"/>
    <cellStyle name="Normal 63 2 5 3 4" xfId="19320"/>
    <cellStyle name="Normal 63 2 5 4" xfId="1853"/>
    <cellStyle name="Normal 63 2 5 4 2" xfId="11223"/>
    <cellStyle name="Normal 63 2 5 4 3" xfId="21227"/>
    <cellStyle name="Normal 63 2 5 5" xfId="6694"/>
    <cellStyle name="Normal 63 2 5 5 2" xfId="15521"/>
    <cellStyle name="Normal 63 2 5 5 3" xfId="25772"/>
    <cellStyle name="Normal 63 2 5 6" xfId="8140"/>
    <cellStyle name="Normal 63 2 5 6 2" xfId="20530"/>
    <cellStyle name="Normal 63 2 5 7" xfId="16220"/>
    <cellStyle name="Normal 63 2 6" xfId="2747"/>
    <cellStyle name="Normal 63 2 6 2" xfId="12066"/>
    <cellStyle name="Normal 63 2 6 2 2" xfId="22110"/>
    <cellStyle name="Normal 63 2 6 3" xfId="8597"/>
    <cellStyle name="Normal 63 2 6 4" xfId="17103"/>
    <cellStyle name="Normal 63 2 7" xfId="4193"/>
    <cellStyle name="Normal 63 2 7 2" xfId="13033"/>
    <cellStyle name="Normal 63 2 7 2 2" xfId="23284"/>
    <cellStyle name="Normal 63 2 7 3" xfId="9454"/>
    <cellStyle name="Normal 63 2 7 4" xfId="18277"/>
    <cellStyle name="Normal 63 2 8" xfId="1465"/>
    <cellStyle name="Normal 63 2 8 2" xfId="10844"/>
    <cellStyle name="Normal 63 2 8 3" xfId="20848"/>
    <cellStyle name="Normal 63 2 9" xfId="5651"/>
    <cellStyle name="Normal 63 2 9 2" xfId="14478"/>
    <cellStyle name="Normal 63 2 9 3" xfId="24729"/>
    <cellStyle name="Normal 63 2_Degree data" xfId="4049"/>
    <cellStyle name="Normal 63 3" xfId="228"/>
    <cellStyle name="Normal 63 3 10" xfId="16023"/>
    <cellStyle name="Normal 63 3 2" xfId="553"/>
    <cellStyle name="Normal 63 3 2 2" xfId="3041"/>
    <cellStyle name="Normal 63 3 2 2 2" xfId="12231"/>
    <cellStyle name="Normal 63 3 2 2 2 2" xfId="22404"/>
    <cellStyle name="Normal 63 3 2 2 3" xfId="8589"/>
    <cellStyle name="Normal 63 3 2 2 4" xfId="17397"/>
    <cellStyle name="Normal 63 3 2 3" xfId="4756"/>
    <cellStyle name="Normal 63 3 2 3 2" xfId="13596"/>
    <cellStyle name="Normal 63 3 2 3 2 2" xfId="23847"/>
    <cellStyle name="Normal 63 3 2 3 3" xfId="10017"/>
    <cellStyle name="Normal 63 3 2 3 4" xfId="18840"/>
    <cellStyle name="Normal 63 3 2 4" xfId="2150"/>
    <cellStyle name="Normal 63 3 2 4 2" xfId="11517"/>
    <cellStyle name="Normal 63 3 2 4 3" xfId="21521"/>
    <cellStyle name="Normal 63 3 2 5" xfId="6214"/>
    <cellStyle name="Normal 63 3 2 5 2" xfId="15041"/>
    <cellStyle name="Normal 63 3 2 5 3" xfId="25292"/>
    <cellStyle name="Normal 63 3 2 6" xfId="7660"/>
    <cellStyle name="Normal 63 3 2 6 2" xfId="20003"/>
    <cellStyle name="Normal 63 3 2 7" xfId="16514"/>
    <cellStyle name="Normal 63 3 3" xfId="943"/>
    <cellStyle name="Normal 63 3 3 2" xfId="3427"/>
    <cellStyle name="Normal 63 3 3 2 2" xfId="12571"/>
    <cellStyle name="Normal 63 3 3 2 2 2" xfId="22790"/>
    <cellStyle name="Normal 63 3 3 2 3" xfId="8993"/>
    <cellStyle name="Normal 63 3 3 2 4" xfId="17783"/>
    <cellStyle name="Normal 63 3 3 3" xfId="5105"/>
    <cellStyle name="Normal 63 3 3 3 2" xfId="13944"/>
    <cellStyle name="Normal 63 3 3 3 2 2" xfId="24195"/>
    <cellStyle name="Normal 63 3 3 3 3" xfId="10365"/>
    <cellStyle name="Normal 63 3 3 3 4" xfId="19188"/>
    <cellStyle name="Normal 63 3 3 4" xfId="2536"/>
    <cellStyle name="Normal 63 3 3 4 2" xfId="11903"/>
    <cellStyle name="Normal 63 3 3 4 3" xfId="21907"/>
    <cellStyle name="Normal 63 3 3 5" xfId="6562"/>
    <cellStyle name="Normal 63 3 3 5 2" xfId="15389"/>
    <cellStyle name="Normal 63 3 3 5 3" xfId="25640"/>
    <cellStyle name="Normal 63 3 3 6" xfId="8008"/>
    <cellStyle name="Normal 63 3 3 6 2" xfId="20389"/>
    <cellStyle name="Normal 63 3 3 7" xfId="16900"/>
    <cellStyle name="Normal 63 3 4" xfId="1325"/>
    <cellStyle name="Normal 63 3 4 2" xfId="3756"/>
    <cellStyle name="Normal 63 3 4 2 2" xfId="12894"/>
    <cellStyle name="Normal 63 3 4 2 2 2" xfId="23113"/>
    <cellStyle name="Normal 63 3 4 2 3" xfId="9315"/>
    <cellStyle name="Normal 63 3 4 2 4" xfId="18106"/>
    <cellStyle name="Normal 63 3 4 3" xfId="5419"/>
    <cellStyle name="Normal 63 3 4 3 2" xfId="14258"/>
    <cellStyle name="Normal 63 3 4 3 2 2" xfId="24509"/>
    <cellStyle name="Normal 63 3 4 3 3" xfId="10679"/>
    <cellStyle name="Normal 63 3 4 3 4" xfId="19502"/>
    <cellStyle name="Normal 63 3 4 4" xfId="1830"/>
    <cellStyle name="Normal 63 3 4 4 2" xfId="11200"/>
    <cellStyle name="Normal 63 3 4 4 3" xfId="21204"/>
    <cellStyle name="Normal 63 3 4 5" xfId="6876"/>
    <cellStyle name="Normal 63 3 4 5 2" xfId="15703"/>
    <cellStyle name="Normal 63 3 4 5 3" xfId="25954"/>
    <cellStyle name="Normal 63 3 4 6" xfId="8322"/>
    <cellStyle name="Normal 63 3 4 6 2" xfId="20712"/>
    <cellStyle name="Normal 63 3 4 7" xfId="16197"/>
    <cellStyle name="Normal 63 3 5" xfId="2724"/>
    <cellStyle name="Normal 63 3 5 2" xfId="12043"/>
    <cellStyle name="Normal 63 3 5 2 2" xfId="22087"/>
    <cellStyle name="Normal 63 3 5 3" xfId="8566"/>
    <cellStyle name="Normal 63 3 5 4" xfId="17080"/>
    <cellStyle name="Normal 63 3 6" xfId="4375"/>
    <cellStyle name="Normal 63 3 6 2" xfId="13215"/>
    <cellStyle name="Normal 63 3 6 2 2" xfId="23466"/>
    <cellStyle name="Normal 63 3 6 3" xfId="9636"/>
    <cellStyle name="Normal 63 3 6 4" xfId="18459"/>
    <cellStyle name="Normal 63 3 7" xfId="1647"/>
    <cellStyle name="Normal 63 3 7 2" xfId="11026"/>
    <cellStyle name="Normal 63 3 7 3" xfId="21030"/>
    <cellStyle name="Normal 63 3 8" xfId="5833"/>
    <cellStyle name="Normal 63 3 8 2" xfId="14660"/>
    <cellStyle name="Normal 63 3 8 3" xfId="24911"/>
    <cellStyle name="Normal 63 3 9" xfId="7277"/>
    <cellStyle name="Normal 63 3 9 2" xfId="19686"/>
    <cellStyle name="Normal 63 3_Degree data" xfId="4051"/>
    <cellStyle name="Normal 63 4" xfId="471"/>
    <cellStyle name="Normal 63 4 2" xfId="944"/>
    <cellStyle name="Normal 63 4 2 2" xfId="3428"/>
    <cellStyle name="Normal 63 4 2 2 2" xfId="12572"/>
    <cellStyle name="Normal 63 4 2 2 2 2" xfId="22791"/>
    <cellStyle name="Normal 63 4 2 2 3" xfId="8994"/>
    <cellStyle name="Normal 63 4 2 2 4" xfId="17784"/>
    <cellStyle name="Normal 63 4 2 3" xfId="4757"/>
    <cellStyle name="Normal 63 4 2 3 2" xfId="13597"/>
    <cellStyle name="Normal 63 4 2 3 2 2" xfId="23848"/>
    <cellStyle name="Normal 63 4 2 3 3" xfId="10018"/>
    <cellStyle name="Normal 63 4 2 3 4" xfId="18841"/>
    <cellStyle name="Normal 63 4 2 4" xfId="2537"/>
    <cellStyle name="Normal 63 4 2 4 2" xfId="11904"/>
    <cellStyle name="Normal 63 4 2 4 3" xfId="21908"/>
    <cellStyle name="Normal 63 4 2 5" xfId="6215"/>
    <cellStyle name="Normal 63 4 2 5 2" xfId="15042"/>
    <cellStyle name="Normal 63 4 2 5 3" xfId="25293"/>
    <cellStyle name="Normal 63 4 2 6" xfId="7661"/>
    <cellStyle name="Normal 63 4 2 6 2" xfId="20390"/>
    <cellStyle name="Normal 63 4 2 7" xfId="16901"/>
    <cellStyle name="Normal 63 4 3" xfId="1243"/>
    <cellStyle name="Normal 63 4 3 2" xfId="3674"/>
    <cellStyle name="Normal 63 4 3 2 2" xfId="12812"/>
    <cellStyle name="Normal 63 4 3 2 2 2" xfId="23031"/>
    <cellStyle name="Normal 63 4 3 2 3" xfId="9233"/>
    <cellStyle name="Normal 63 4 3 2 4" xfId="18024"/>
    <cellStyle name="Normal 63 4 3 3" xfId="5106"/>
    <cellStyle name="Normal 63 4 3 3 2" xfId="13945"/>
    <cellStyle name="Normal 63 4 3 3 2 2" xfId="24196"/>
    <cellStyle name="Normal 63 4 3 3 3" xfId="10366"/>
    <cellStyle name="Normal 63 4 3 3 4" xfId="19189"/>
    <cellStyle name="Normal 63 4 3 4" xfId="2068"/>
    <cellStyle name="Normal 63 4 3 4 2" xfId="11435"/>
    <cellStyle name="Normal 63 4 3 4 3" xfId="21439"/>
    <cellStyle name="Normal 63 4 3 5" xfId="6563"/>
    <cellStyle name="Normal 63 4 3 5 2" xfId="15390"/>
    <cellStyle name="Normal 63 4 3 5 3" xfId="25641"/>
    <cellStyle name="Normal 63 4 3 6" xfId="8009"/>
    <cellStyle name="Normal 63 4 3 6 2" xfId="20630"/>
    <cellStyle name="Normal 63 4 3 7" xfId="16432"/>
    <cellStyle name="Normal 63 4 4" xfId="2959"/>
    <cellStyle name="Normal 63 4 4 2" xfId="5337"/>
    <cellStyle name="Normal 63 4 4 2 2" xfId="14176"/>
    <cellStyle name="Normal 63 4 4 2 2 2" xfId="24427"/>
    <cellStyle name="Normal 63 4 4 2 3" xfId="10597"/>
    <cellStyle name="Normal 63 4 4 2 4" xfId="19420"/>
    <cellStyle name="Normal 63 4 4 3" xfId="6794"/>
    <cellStyle name="Normal 63 4 4 3 2" xfId="15621"/>
    <cellStyle name="Normal 63 4 4 3 3" xfId="25872"/>
    <cellStyle name="Normal 63 4 4 4" xfId="8240"/>
    <cellStyle name="Normal 63 4 4 4 2" xfId="22322"/>
    <cellStyle name="Normal 63 4 4 5" xfId="17315"/>
    <cellStyle name="Normal 63 4 5" xfId="4293"/>
    <cellStyle name="Normal 63 4 5 2" xfId="13133"/>
    <cellStyle name="Normal 63 4 5 2 2" xfId="23384"/>
    <cellStyle name="Normal 63 4 5 3" xfId="9554"/>
    <cellStyle name="Normal 63 4 5 4" xfId="18377"/>
    <cellStyle name="Normal 63 4 6" xfId="1565"/>
    <cellStyle name="Normal 63 4 6 2" xfId="10944"/>
    <cellStyle name="Normal 63 4 6 3" xfId="20948"/>
    <cellStyle name="Normal 63 4 7" xfId="5751"/>
    <cellStyle name="Normal 63 4 7 2" xfId="14578"/>
    <cellStyle name="Normal 63 4 7 3" xfId="24829"/>
    <cellStyle name="Normal 63 4 8" xfId="7195"/>
    <cellStyle name="Normal 63 4 8 2" xfId="19921"/>
    <cellStyle name="Normal 63 4 9" xfId="15941"/>
    <cellStyle name="Normal 63 4_Degree data" xfId="4052"/>
    <cellStyle name="Normal 63 5" xfId="335"/>
    <cellStyle name="Normal 63 5 2" xfId="2823"/>
    <cellStyle name="Normal 63 5 2 2" xfId="12125"/>
    <cellStyle name="Normal 63 5 2 2 2" xfId="22186"/>
    <cellStyle name="Normal 63 5 2 3" xfId="8485"/>
    <cellStyle name="Normal 63 5 2 4" xfId="17179"/>
    <cellStyle name="Normal 63 5 3" xfId="4753"/>
    <cellStyle name="Normal 63 5 3 2" xfId="13593"/>
    <cellStyle name="Normal 63 5 3 2 2" xfId="23844"/>
    <cellStyle name="Normal 63 5 3 3" xfId="10014"/>
    <cellStyle name="Normal 63 5 3 4" xfId="18837"/>
    <cellStyle name="Normal 63 5 4" xfId="1932"/>
    <cellStyle name="Normal 63 5 4 2" xfId="11299"/>
    <cellStyle name="Normal 63 5 4 3" xfId="21303"/>
    <cellStyle name="Normal 63 5 5" xfId="6211"/>
    <cellStyle name="Normal 63 5 5 2" xfId="15038"/>
    <cellStyle name="Normal 63 5 5 3" xfId="25289"/>
    <cellStyle name="Normal 63 5 6" xfId="7657"/>
    <cellStyle name="Normal 63 5 6 2" xfId="19785"/>
    <cellStyle name="Normal 63 5 7" xfId="16296"/>
    <cellStyle name="Normal 63 6" xfId="940"/>
    <cellStyle name="Normal 63 6 2" xfId="3424"/>
    <cellStyle name="Normal 63 6 2 2" xfId="12568"/>
    <cellStyle name="Normal 63 6 2 2 2" xfId="22787"/>
    <cellStyle name="Normal 63 6 2 3" xfId="8990"/>
    <cellStyle name="Normal 63 6 2 4" xfId="17780"/>
    <cellStyle name="Normal 63 6 3" xfId="5102"/>
    <cellStyle name="Normal 63 6 3 2" xfId="13941"/>
    <cellStyle name="Normal 63 6 3 2 2" xfId="24192"/>
    <cellStyle name="Normal 63 6 3 3" xfId="10362"/>
    <cellStyle name="Normal 63 6 3 4" xfId="19185"/>
    <cellStyle name="Normal 63 6 4" xfId="2533"/>
    <cellStyle name="Normal 63 6 4 2" xfId="11900"/>
    <cellStyle name="Normal 63 6 4 3" xfId="21904"/>
    <cellStyle name="Normal 63 6 5" xfId="6559"/>
    <cellStyle name="Normal 63 6 5 2" xfId="15386"/>
    <cellStyle name="Normal 63 6 5 3" xfId="25637"/>
    <cellStyle name="Normal 63 6 6" xfId="8005"/>
    <cellStyle name="Normal 63 6 6 2" xfId="20386"/>
    <cellStyle name="Normal 63 6 7" xfId="16897"/>
    <cellStyle name="Normal 63 7" xfId="1107"/>
    <cellStyle name="Normal 63 7 2" xfId="3538"/>
    <cellStyle name="Normal 63 7 2 2" xfId="12676"/>
    <cellStyle name="Normal 63 7 2 2 2" xfId="22895"/>
    <cellStyle name="Normal 63 7 2 3" xfId="9097"/>
    <cellStyle name="Normal 63 7 2 4" xfId="17888"/>
    <cellStyle name="Normal 63 7 3" xfId="5201"/>
    <cellStyle name="Normal 63 7 3 2" xfId="14040"/>
    <cellStyle name="Normal 63 7 3 2 2" xfId="24291"/>
    <cellStyle name="Normal 63 7 3 3" xfId="10461"/>
    <cellStyle name="Normal 63 7 3 4" xfId="19284"/>
    <cellStyle name="Normal 63 7 4" xfId="1741"/>
    <cellStyle name="Normal 63 7 4 2" xfId="11117"/>
    <cellStyle name="Normal 63 7 4 3" xfId="21121"/>
    <cellStyle name="Normal 63 7 5" xfId="6658"/>
    <cellStyle name="Normal 63 7 5 2" xfId="15485"/>
    <cellStyle name="Normal 63 7 5 3" xfId="25736"/>
    <cellStyle name="Normal 63 7 6" xfId="8104"/>
    <cellStyle name="Normal 63 7 6 2" xfId="20494"/>
    <cellStyle name="Normal 63 7 7" xfId="16114"/>
    <cellStyle name="Normal 63 8" xfId="2641"/>
    <cellStyle name="Normal 63 8 2" xfId="11982"/>
    <cellStyle name="Normal 63 8 2 2" xfId="22005"/>
    <cellStyle name="Normal 63 8 3" xfId="8577"/>
    <cellStyle name="Normal 63 8 4" xfId="16998"/>
    <cellStyle name="Normal 63 9" xfId="4155"/>
    <cellStyle name="Normal 63 9 2" xfId="12995"/>
    <cellStyle name="Normal 63 9 2 2" xfId="23246"/>
    <cellStyle name="Normal 63 9 3" xfId="9416"/>
    <cellStyle name="Normal 63 9 4" xfId="18239"/>
    <cellStyle name="Normal 63_Degree data" xfId="4048"/>
    <cellStyle name="Normal 64" xfId="140"/>
    <cellStyle name="Normal 64 2" xfId="945"/>
    <cellStyle name="Normal 64 3" xfId="1748"/>
    <cellStyle name="Normal 64_Degree data" xfId="4053"/>
    <cellStyle name="Normal 65" xfId="142"/>
    <cellStyle name="Normal 65 2" xfId="946"/>
    <cellStyle name="Normal 65 3" xfId="1750"/>
    <cellStyle name="Normal 65_Degree data" xfId="4054"/>
    <cellStyle name="Normal 66" xfId="141"/>
    <cellStyle name="Normal 66 2" xfId="947"/>
    <cellStyle name="Normal 66 3" xfId="1749"/>
    <cellStyle name="Normal 66_Degree data" xfId="4055"/>
    <cellStyle name="Normal 67" xfId="178"/>
    <cellStyle name="Normal 67 2" xfId="948"/>
    <cellStyle name="Normal 67 3" xfId="1782"/>
    <cellStyle name="Normal 67_Degree data" xfId="4056"/>
    <cellStyle name="Normal 68" xfId="179"/>
    <cellStyle name="Normal 68 2" xfId="949"/>
    <cellStyle name="Normal 68 3" xfId="1783"/>
    <cellStyle name="Normal 68_Degree data" xfId="4057"/>
    <cellStyle name="Normal 69" xfId="209"/>
    <cellStyle name="Normal 69 2" xfId="950"/>
    <cellStyle name="Normal 69 3" xfId="1812"/>
    <cellStyle name="Normal 69_Degree data" xfId="4058"/>
    <cellStyle name="Normal 7" xfId="53"/>
    <cellStyle name="Normal 7 10" xfId="951"/>
    <cellStyle name="Normal 7 10 2" xfId="3429"/>
    <cellStyle name="Normal 7 10 2 2" xfId="12573"/>
    <cellStyle name="Normal 7 10 2 2 2" xfId="22792"/>
    <cellStyle name="Normal 7 10 2 3" xfId="8995"/>
    <cellStyle name="Normal 7 10 2 4" xfId="17785"/>
    <cellStyle name="Normal 7 10 3" xfId="4759"/>
    <cellStyle name="Normal 7 10 3 2" xfId="13598"/>
    <cellStyle name="Normal 7 10 3 2 2" xfId="23849"/>
    <cellStyle name="Normal 7 10 3 3" xfId="10019"/>
    <cellStyle name="Normal 7 10 3 4" xfId="18842"/>
    <cellStyle name="Normal 7 10 4" xfId="2538"/>
    <cellStyle name="Normal 7 10 4 2" xfId="11905"/>
    <cellStyle name="Normal 7 10 4 3" xfId="21909"/>
    <cellStyle name="Normal 7 10 5" xfId="6216"/>
    <cellStyle name="Normal 7 10 5 2" xfId="15043"/>
    <cellStyle name="Normal 7 10 5 3" xfId="25294"/>
    <cellStyle name="Normal 7 10 6" xfId="7662"/>
    <cellStyle name="Normal 7 10 6 2" xfId="20391"/>
    <cellStyle name="Normal 7 10 7" xfId="16902"/>
    <cellStyle name="Normal 7 11" xfId="1056"/>
    <cellStyle name="Normal 7 11 2" xfId="3487"/>
    <cellStyle name="Normal 7 11 2 2" xfId="12625"/>
    <cellStyle name="Normal 7 11 2 2 2" xfId="22844"/>
    <cellStyle name="Normal 7 11 2 3" xfId="9047"/>
    <cellStyle name="Normal 7 11 2 4" xfId="17837"/>
    <cellStyle name="Normal 7 11 3" xfId="5107"/>
    <cellStyle name="Normal 7 11 3 2" xfId="13946"/>
    <cellStyle name="Normal 7 11 3 2 2" xfId="24197"/>
    <cellStyle name="Normal 7 11 3 3" xfId="10367"/>
    <cellStyle name="Normal 7 11 3 4" xfId="19190"/>
    <cellStyle name="Normal 7 11 4" xfId="1722"/>
    <cellStyle name="Normal 7 11 4 2" xfId="11101"/>
    <cellStyle name="Normal 7 11 4 3" xfId="21105"/>
    <cellStyle name="Normal 7 11 5" xfId="6564"/>
    <cellStyle name="Normal 7 11 5 2" xfId="15391"/>
    <cellStyle name="Normal 7 11 5 3" xfId="25642"/>
    <cellStyle name="Normal 7 11 6" xfId="8010"/>
    <cellStyle name="Normal 7 11 6 2" xfId="20443"/>
    <cellStyle name="Normal 7 11 7" xfId="16098"/>
    <cellStyle name="Normal 7 12" xfId="2622"/>
    <cellStyle name="Normal 7 12 2" xfId="5150"/>
    <cellStyle name="Normal 7 12 2 2" xfId="13989"/>
    <cellStyle name="Normal 7 12 2 2 2" xfId="24240"/>
    <cellStyle name="Normal 7 12 2 3" xfId="10410"/>
    <cellStyle name="Normal 7 12 2 4" xfId="19233"/>
    <cellStyle name="Normal 7 12 3" xfId="6607"/>
    <cellStyle name="Normal 7 12 3 2" xfId="15434"/>
    <cellStyle name="Normal 7 12 3 3" xfId="25685"/>
    <cellStyle name="Normal 7 12 4" xfId="8053"/>
    <cellStyle name="Normal 7 12 4 2" xfId="21988"/>
    <cellStyle name="Normal 7 12 5" xfId="16981"/>
    <cellStyle name="Normal 7 13" xfId="4104"/>
    <cellStyle name="Normal 7 13 2" xfId="5564"/>
    <cellStyle name="Normal 7 13 2 2" xfId="14391"/>
    <cellStyle name="Normal 7 13 2 3" xfId="24642"/>
    <cellStyle name="Normal 7 13 3" xfId="7008"/>
    <cellStyle name="Normal 7 13 3 2" xfId="23195"/>
    <cellStyle name="Normal 7 13 4" xfId="18188"/>
    <cellStyle name="Normal 7 14" xfId="1410"/>
    <cellStyle name="Normal 7 14 2" xfId="10789"/>
    <cellStyle name="Normal 7 14 3" xfId="20793"/>
    <cellStyle name="Normal 7 15" xfId="5522"/>
    <cellStyle name="Normal 7 15 2" xfId="14351"/>
    <cellStyle name="Normal 7 15 3" xfId="24602"/>
    <cellStyle name="Normal 7 16" xfId="6963"/>
    <cellStyle name="Normal 7 16 2" xfId="19588"/>
    <cellStyle name="Normal 7 17" xfId="15786"/>
    <cellStyle name="Normal 7 2" xfId="124"/>
    <cellStyle name="Normal 7 2 10" xfId="4116"/>
    <cellStyle name="Normal 7 2 10 2" xfId="5576"/>
    <cellStyle name="Normal 7 2 10 2 2" xfId="14403"/>
    <cellStyle name="Normal 7 2 10 2 3" xfId="24654"/>
    <cellStyle name="Normal 7 2 10 3" xfId="7020"/>
    <cellStyle name="Normal 7 2 10 3 2" xfId="23207"/>
    <cellStyle name="Normal 7 2 10 4" xfId="18200"/>
    <cellStyle name="Normal 7 2 11" xfId="1435"/>
    <cellStyle name="Normal 7 2 11 2" xfId="10814"/>
    <cellStyle name="Normal 7 2 11 3" xfId="20818"/>
    <cellStyle name="Normal 7 2 12" xfId="5544"/>
    <cellStyle name="Normal 7 2 12 2" xfId="14373"/>
    <cellStyle name="Normal 7 2 12 3" xfId="24624"/>
    <cellStyle name="Normal 7 2 13" xfId="6990"/>
    <cellStyle name="Normal 7 2 13 2" xfId="19601"/>
    <cellStyle name="Normal 7 2 14" xfId="15811"/>
    <cellStyle name="Normal 7 2 2" xfId="168"/>
    <cellStyle name="Normal 7 2 2 10" xfId="5678"/>
    <cellStyle name="Normal 7 2 2 10 2" xfId="14505"/>
    <cellStyle name="Normal 7 2 2 10 3" xfId="24756"/>
    <cellStyle name="Normal 7 2 2 11" xfId="7122"/>
    <cellStyle name="Normal 7 2 2 11 2" xfId="19631"/>
    <cellStyle name="Normal 7 2 2 12" xfId="15868"/>
    <cellStyle name="Normal 7 2 2 2" xfId="280"/>
    <cellStyle name="Normal 7 2 2 2 10" xfId="16072"/>
    <cellStyle name="Normal 7 2 2 2 2" xfId="602"/>
    <cellStyle name="Normal 7 2 2 2 2 2" xfId="3090"/>
    <cellStyle name="Normal 7 2 2 2 2 2 2" xfId="12239"/>
    <cellStyle name="Normal 7 2 2 2 2 2 2 2" xfId="22453"/>
    <cellStyle name="Normal 7 2 2 2 2 2 3" xfId="8661"/>
    <cellStyle name="Normal 7 2 2 2 2 2 4" xfId="17446"/>
    <cellStyle name="Normal 7 2 2 2 2 3" xfId="4762"/>
    <cellStyle name="Normal 7 2 2 2 2 3 2" xfId="13601"/>
    <cellStyle name="Normal 7 2 2 2 2 3 2 2" xfId="23852"/>
    <cellStyle name="Normal 7 2 2 2 2 3 3" xfId="10022"/>
    <cellStyle name="Normal 7 2 2 2 2 3 4" xfId="18845"/>
    <cellStyle name="Normal 7 2 2 2 2 4" xfId="2199"/>
    <cellStyle name="Normal 7 2 2 2 2 4 2" xfId="11566"/>
    <cellStyle name="Normal 7 2 2 2 2 4 3" xfId="21570"/>
    <cellStyle name="Normal 7 2 2 2 2 5" xfId="6219"/>
    <cellStyle name="Normal 7 2 2 2 2 5 2" xfId="15046"/>
    <cellStyle name="Normal 7 2 2 2 2 5 3" xfId="25297"/>
    <cellStyle name="Normal 7 2 2 2 2 6" xfId="7665"/>
    <cellStyle name="Normal 7 2 2 2 2 6 2" xfId="20052"/>
    <cellStyle name="Normal 7 2 2 2 2 7" xfId="16563"/>
    <cellStyle name="Normal 7 2 2 2 3" xfId="954"/>
    <cellStyle name="Normal 7 2 2 2 3 2" xfId="3432"/>
    <cellStyle name="Normal 7 2 2 2 3 2 2" xfId="12576"/>
    <cellStyle name="Normal 7 2 2 2 3 2 2 2" xfId="22795"/>
    <cellStyle name="Normal 7 2 2 2 3 2 3" xfId="8998"/>
    <cellStyle name="Normal 7 2 2 2 3 2 4" xfId="17788"/>
    <cellStyle name="Normal 7 2 2 2 3 3" xfId="5110"/>
    <cellStyle name="Normal 7 2 2 2 3 3 2" xfId="13949"/>
    <cellStyle name="Normal 7 2 2 2 3 3 2 2" xfId="24200"/>
    <cellStyle name="Normal 7 2 2 2 3 3 3" xfId="10370"/>
    <cellStyle name="Normal 7 2 2 2 3 3 4" xfId="19193"/>
    <cellStyle name="Normal 7 2 2 2 3 4" xfId="2541"/>
    <cellStyle name="Normal 7 2 2 2 3 4 2" xfId="11908"/>
    <cellStyle name="Normal 7 2 2 2 3 4 3" xfId="21912"/>
    <cellStyle name="Normal 7 2 2 2 3 5" xfId="6567"/>
    <cellStyle name="Normal 7 2 2 2 3 5 2" xfId="15394"/>
    <cellStyle name="Normal 7 2 2 2 3 5 3" xfId="25645"/>
    <cellStyle name="Normal 7 2 2 2 3 6" xfId="8013"/>
    <cellStyle name="Normal 7 2 2 2 3 6 2" xfId="20394"/>
    <cellStyle name="Normal 7 2 2 2 3 7" xfId="16905"/>
    <cellStyle name="Normal 7 2 2 2 4" xfId="1374"/>
    <cellStyle name="Normal 7 2 2 2 4 2" xfId="3805"/>
    <cellStyle name="Normal 7 2 2 2 4 2 2" xfId="12943"/>
    <cellStyle name="Normal 7 2 2 2 4 2 2 2" xfId="23162"/>
    <cellStyle name="Normal 7 2 2 2 4 2 3" xfId="9364"/>
    <cellStyle name="Normal 7 2 2 2 4 2 4" xfId="18155"/>
    <cellStyle name="Normal 7 2 2 2 4 3" xfId="5468"/>
    <cellStyle name="Normal 7 2 2 2 4 3 2" xfId="14307"/>
    <cellStyle name="Normal 7 2 2 2 4 3 2 2" xfId="24558"/>
    <cellStyle name="Normal 7 2 2 2 4 3 3" xfId="10728"/>
    <cellStyle name="Normal 7 2 2 2 4 3 4" xfId="19551"/>
    <cellStyle name="Normal 7 2 2 2 4 4" xfId="1879"/>
    <cellStyle name="Normal 7 2 2 2 4 4 2" xfId="11249"/>
    <cellStyle name="Normal 7 2 2 2 4 4 3" xfId="21253"/>
    <cellStyle name="Normal 7 2 2 2 4 5" xfId="6925"/>
    <cellStyle name="Normal 7 2 2 2 4 5 2" xfId="15752"/>
    <cellStyle name="Normal 7 2 2 2 4 5 3" xfId="26003"/>
    <cellStyle name="Normal 7 2 2 2 4 6" xfId="8371"/>
    <cellStyle name="Normal 7 2 2 2 4 6 2" xfId="20761"/>
    <cellStyle name="Normal 7 2 2 2 4 7" xfId="16246"/>
    <cellStyle name="Normal 7 2 2 2 5" xfId="2773"/>
    <cellStyle name="Normal 7 2 2 2 5 2" xfId="12092"/>
    <cellStyle name="Normal 7 2 2 2 5 2 2" xfId="22136"/>
    <cellStyle name="Normal 7 2 2 2 5 3" xfId="8654"/>
    <cellStyle name="Normal 7 2 2 2 5 4" xfId="17129"/>
    <cellStyle name="Normal 7 2 2 2 6" xfId="4424"/>
    <cellStyle name="Normal 7 2 2 2 6 2" xfId="13264"/>
    <cellStyle name="Normal 7 2 2 2 6 2 2" xfId="23515"/>
    <cellStyle name="Normal 7 2 2 2 6 3" xfId="9685"/>
    <cellStyle name="Normal 7 2 2 2 6 4" xfId="18508"/>
    <cellStyle name="Normal 7 2 2 2 7" xfId="1696"/>
    <cellStyle name="Normal 7 2 2 2 7 2" xfId="11075"/>
    <cellStyle name="Normal 7 2 2 2 7 3" xfId="21079"/>
    <cellStyle name="Normal 7 2 2 2 8" xfId="5882"/>
    <cellStyle name="Normal 7 2 2 2 8 2" xfId="14709"/>
    <cellStyle name="Normal 7 2 2 2 8 3" xfId="24960"/>
    <cellStyle name="Normal 7 2 2 2 9" xfId="7326"/>
    <cellStyle name="Normal 7 2 2 2 9 2" xfId="19735"/>
    <cellStyle name="Normal 7 2 2 2_Degree data" xfId="4062"/>
    <cellStyle name="Normal 7 2 2 3" xfId="498"/>
    <cellStyle name="Normal 7 2 2 3 2" xfId="955"/>
    <cellStyle name="Normal 7 2 2 3 2 2" xfId="3433"/>
    <cellStyle name="Normal 7 2 2 3 2 2 2" xfId="12577"/>
    <cellStyle name="Normal 7 2 2 3 2 2 2 2" xfId="22796"/>
    <cellStyle name="Normal 7 2 2 3 2 2 3" xfId="8999"/>
    <cellStyle name="Normal 7 2 2 3 2 2 4" xfId="17789"/>
    <cellStyle name="Normal 7 2 2 3 2 3" xfId="4763"/>
    <cellStyle name="Normal 7 2 2 3 2 3 2" xfId="13602"/>
    <cellStyle name="Normal 7 2 2 3 2 3 2 2" xfId="23853"/>
    <cellStyle name="Normal 7 2 2 3 2 3 3" xfId="10023"/>
    <cellStyle name="Normal 7 2 2 3 2 3 4" xfId="18846"/>
    <cellStyle name="Normal 7 2 2 3 2 4" xfId="2542"/>
    <cellStyle name="Normal 7 2 2 3 2 4 2" xfId="11909"/>
    <cellStyle name="Normal 7 2 2 3 2 4 3" xfId="21913"/>
    <cellStyle name="Normal 7 2 2 3 2 5" xfId="6220"/>
    <cellStyle name="Normal 7 2 2 3 2 5 2" xfId="15047"/>
    <cellStyle name="Normal 7 2 2 3 2 5 3" xfId="25298"/>
    <cellStyle name="Normal 7 2 2 3 2 6" xfId="7666"/>
    <cellStyle name="Normal 7 2 2 3 2 6 2" xfId="20395"/>
    <cellStyle name="Normal 7 2 2 3 2 7" xfId="16906"/>
    <cellStyle name="Normal 7 2 2 3 3" xfId="1270"/>
    <cellStyle name="Normal 7 2 2 3 3 2" xfId="3701"/>
    <cellStyle name="Normal 7 2 2 3 3 2 2" xfId="12839"/>
    <cellStyle name="Normal 7 2 2 3 3 2 2 2" xfId="23058"/>
    <cellStyle name="Normal 7 2 2 3 3 2 3" xfId="9260"/>
    <cellStyle name="Normal 7 2 2 3 3 2 4" xfId="18051"/>
    <cellStyle name="Normal 7 2 2 3 3 3" xfId="5111"/>
    <cellStyle name="Normal 7 2 2 3 3 3 2" xfId="13950"/>
    <cellStyle name="Normal 7 2 2 3 3 3 2 2" xfId="24201"/>
    <cellStyle name="Normal 7 2 2 3 3 3 3" xfId="10371"/>
    <cellStyle name="Normal 7 2 2 3 3 3 4" xfId="19194"/>
    <cellStyle name="Normal 7 2 2 3 3 4" xfId="2095"/>
    <cellStyle name="Normal 7 2 2 3 3 4 2" xfId="11462"/>
    <cellStyle name="Normal 7 2 2 3 3 4 3" xfId="21466"/>
    <cellStyle name="Normal 7 2 2 3 3 5" xfId="6568"/>
    <cellStyle name="Normal 7 2 2 3 3 5 2" xfId="15395"/>
    <cellStyle name="Normal 7 2 2 3 3 5 3" xfId="25646"/>
    <cellStyle name="Normal 7 2 2 3 3 6" xfId="8014"/>
    <cellStyle name="Normal 7 2 2 3 3 6 2" xfId="20657"/>
    <cellStyle name="Normal 7 2 2 3 3 7" xfId="16459"/>
    <cellStyle name="Normal 7 2 2 3 4" xfId="2986"/>
    <cellStyle name="Normal 7 2 2 3 4 2" xfId="5364"/>
    <cellStyle name="Normal 7 2 2 3 4 2 2" xfId="14203"/>
    <cellStyle name="Normal 7 2 2 3 4 2 2 2" xfId="24454"/>
    <cellStyle name="Normal 7 2 2 3 4 2 3" xfId="10624"/>
    <cellStyle name="Normal 7 2 2 3 4 2 4" xfId="19447"/>
    <cellStyle name="Normal 7 2 2 3 4 3" xfId="6821"/>
    <cellStyle name="Normal 7 2 2 3 4 3 2" xfId="15648"/>
    <cellStyle name="Normal 7 2 2 3 4 3 3" xfId="25899"/>
    <cellStyle name="Normal 7 2 2 3 4 4" xfId="8267"/>
    <cellStyle name="Normal 7 2 2 3 4 4 2" xfId="22349"/>
    <cellStyle name="Normal 7 2 2 3 4 5" xfId="17342"/>
    <cellStyle name="Normal 7 2 2 3 5" xfId="4320"/>
    <cellStyle name="Normal 7 2 2 3 5 2" xfId="13160"/>
    <cellStyle name="Normal 7 2 2 3 5 2 2" xfId="23411"/>
    <cellStyle name="Normal 7 2 2 3 5 3" xfId="9581"/>
    <cellStyle name="Normal 7 2 2 3 5 4" xfId="18404"/>
    <cellStyle name="Normal 7 2 2 3 6" xfId="1592"/>
    <cellStyle name="Normal 7 2 2 3 6 2" xfId="10971"/>
    <cellStyle name="Normal 7 2 2 3 6 3" xfId="20975"/>
    <cellStyle name="Normal 7 2 2 3 7" xfId="5778"/>
    <cellStyle name="Normal 7 2 2 3 7 2" xfId="14605"/>
    <cellStyle name="Normal 7 2 2 3 7 3" xfId="24856"/>
    <cellStyle name="Normal 7 2 2 3 8" xfId="7222"/>
    <cellStyle name="Normal 7 2 2 3 8 2" xfId="19948"/>
    <cellStyle name="Normal 7 2 2 3 9" xfId="15968"/>
    <cellStyle name="Normal 7 2 2 3_Degree data" xfId="4063"/>
    <cellStyle name="Normal 7 2 2 4" xfId="398"/>
    <cellStyle name="Normal 7 2 2 4 2" xfId="2886"/>
    <cellStyle name="Normal 7 2 2 4 2 2" xfId="12176"/>
    <cellStyle name="Normal 7 2 2 4 2 2 2" xfId="22249"/>
    <cellStyle name="Normal 7 2 2 4 2 3" xfId="8613"/>
    <cellStyle name="Normal 7 2 2 4 2 4" xfId="17242"/>
    <cellStyle name="Normal 7 2 2 4 3" xfId="4761"/>
    <cellStyle name="Normal 7 2 2 4 3 2" xfId="13600"/>
    <cellStyle name="Normal 7 2 2 4 3 2 2" xfId="23851"/>
    <cellStyle name="Normal 7 2 2 4 3 3" xfId="10021"/>
    <cellStyle name="Normal 7 2 2 4 3 4" xfId="18844"/>
    <cellStyle name="Normal 7 2 2 4 4" xfId="1995"/>
    <cellStyle name="Normal 7 2 2 4 4 2" xfId="11362"/>
    <cellStyle name="Normal 7 2 2 4 4 3" xfId="21366"/>
    <cellStyle name="Normal 7 2 2 4 5" xfId="6218"/>
    <cellStyle name="Normal 7 2 2 4 5 2" xfId="15045"/>
    <cellStyle name="Normal 7 2 2 4 5 3" xfId="25296"/>
    <cellStyle name="Normal 7 2 2 4 6" xfId="7664"/>
    <cellStyle name="Normal 7 2 2 4 6 2" xfId="19848"/>
    <cellStyle name="Normal 7 2 2 4 7" xfId="16359"/>
    <cellStyle name="Normal 7 2 2 5" xfId="953"/>
    <cellStyle name="Normal 7 2 2 5 2" xfId="3431"/>
    <cellStyle name="Normal 7 2 2 5 2 2" xfId="12575"/>
    <cellStyle name="Normal 7 2 2 5 2 2 2" xfId="22794"/>
    <cellStyle name="Normal 7 2 2 5 2 3" xfId="8997"/>
    <cellStyle name="Normal 7 2 2 5 2 4" xfId="17787"/>
    <cellStyle name="Normal 7 2 2 5 3" xfId="5109"/>
    <cellStyle name="Normal 7 2 2 5 3 2" xfId="13948"/>
    <cellStyle name="Normal 7 2 2 5 3 2 2" xfId="24199"/>
    <cellStyle name="Normal 7 2 2 5 3 3" xfId="10369"/>
    <cellStyle name="Normal 7 2 2 5 3 4" xfId="19192"/>
    <cellStyle name="Normal 7 2 2 5 4" xfId="2540"/>
    <cellStyle name="Normal 7 2 2 5 4 2" xfId="11907"/>
    <cellStyle name="Normal 7 2 2 5 4 3" xfId="21911"/>
    <cellStyle name="Normal 7 2 2 5 5" xfId="6566"/>
    <cellStyle name="Normal 7 2 2 5 5 2" xfId="15393"/>
    <cellStyle name="Normal 7 2 2 5 5 3" xfId="25644"/>
    <cellStyle name="Normal 7 2 2 5 6" xfId="8012"/>
    <cellStyle name="Normal 7 2 2 5 6 2" xfId="20393"/>
    <cellStyle name="Normal 7 2 2 5 7" xfId="16904"/>
    <cellStyle name="Normal 7 2 2 6" xfId="1170"/>
    <cellStyle name="Normal 7 2 2 6 2" xfId="3601"/>
    <cellStyle name="Normal 7 2 2 6 2 2" xfId="12739"/>
    <cellStyle name="Normal 7 2 2 6 2 2 2" xfId="22958"/>
    <cellStyle name="Normal 7 2 2 6 2 3" xfId="9160"/>
    <cellStyle name="Normal 7 2 2 6 2 4" xfId="17951"/>
    <cellStyle name="Normal 7 2 2 6 3" xfId="5264"/>
    <cellStyle name="Normal 7 2 2 6 3 2" xfId="14103"/>
    <cellStyle name="Normal 7 2 2 6 3 2 2" xfId="24354"/>
    <cellStyle name="Normal 7 2 2 6 3 3" xfId="10524"/>
    <cellStyle name="Normal 7 2 2 6 3 4" xfId="19347"/>
    <cellStyle name="Normal 7 2 2 6 4" xfId="1772"/>
    <cellStyle name="Normal 7 2 2 6 4 2" xfId="11145"/>
    <cellStyle name="Normal 7 2 2 6 4 3" xfId="21149"/>
    <cellStyle name="Normal 7 2 2 6 5" xfId="6721"/>
    <cellStyle name="Normal 7 2 2 6 5 2" xfId="15548"/>
    <cellStyle name="Normal 7 2 2 6 5 3" xfId="25799"/>
    <cellStyle name="Normal 7 2 2 6 6" xfId="8167"/>
    <cellStyle name="Normal 7 2 2 6 6 2" xfId="20557"/>
    <cellStyle name="Normal 7 2 2 6 7" xfId="16142"/>
    <cellStyle name="Normal 7 2 2 7" xfId="2669"/>
    <cellStyle name="Normal 7 2 2 7 2" xfId="11991"/>
    <cellStyle name="Normal 7 2 2 7 2 2" xfId="22032"/>
    <cellStyle name="Normal 7 2 2 7 3" xfId="8584"/>
    <cellStyle name="Normal 7 2 2 7 4" xfId="17025"/>
    <cellStyle name="Normal 7 2 2 8" xfId="4220"/>
    <cellStyle name="Normal 7 2 2 8 2" xfId="13060"/>
    <cellStyle name="Normal 7 2 2 8 2 2" xfId="23311"/>
    <cellStyle name="Normal 7 2 2 8 3" xfId="9481"/>
    <cellStyle name="Normal 7 2 2 8 4" xfId="18304"/>
    <cellStyle name="Normal 7 2 2 9" xfId="1492"/>
    <cellStyle name="Normal 7 2 2 9 2" xfId="10871"/>
    <cellStyle name="Normal 7 2 2 9 3" xfId="20875"/>
    <cellStyle name="Normal 7 2 2_Degree data" xfId="4061"/>
    <cellStyle name="Normal 7 2 3" xfId="215"/>
    <cellStyle name="Normal 7 2 3 10" xfId="7165"/>
    <cellStyle name="Normal 7 2 3 10 2" xfId="19674"/>
    <cellStyle name="Normal 7 2 3 11" xfId="15911"/>
    <cellStyle name="Normal 7 2 3 2" xfId="541"/>
    <cellStyle name="Normal 7 2 3 2 2" xfId="957"/>
    <cellStyle name="Normal 7 2 3 2 2 2" xfId="3435"/>
    <cellStyle name="Normal 7 2 3 2 2 2 2" xfId="12579"/>
    <cellStyle name="Normal 7 2 3 2 2 2 2 2" xfId="22798"/>
    <cellStyle name="Normal 7 2 3 2 2 2 3" xfId="9001"/>
    <cellStyle name="Normal 7 2 3 2 2 2 4" xfId="17791"/>
    <cellStyle name="Normal 7 2 3 2 2 3" xfId="4765"/>
    <cellStyle name="Normal 7 2 3 2 2 3 2" xfId="13604"/>
    <cellStyle name="Normal 7 2 3 2 2 3 2 2" xfId="23855"/>
    <cellStyle name="Normal 7 2 3 2 2 3 3" xfId="10025"/>
    <cellStyle name="Normal 7 2 3 2 2 3 4" xfId="18848"/>
    <cellStyle name="Normal 7 2 3 2 2 4" xfId="2544"/>
    <cellStyle name="Normal 7 2 3 2 2 4 2" xfId="11911"/>
    <cellStyle name="Normal 7 2 3 2 2 4 3" xfId="21915"/>
    <cellStyle name="Normal 7 2 3 2 2 5" xfId="6222"/>
    <cellStyle name="Normal 7 2 3 2 2 5 2" xfId="15049"/>
    <cellStyle name="Normal 7 2 3 2 2 5 3" xfId="25300"/>
    <cellStyle name="Normal 7 2 3 2 2 6" xfId="7668"/>
    <cellStyle name="Normal 7 2 3 2 2 6 2" xfId="20397"/>
    <cellStyle name="Normal 7 2 3 2 2 7" xfId="16908"/>
    <cellStyle name="Normal 7 2 3 2 3" xfId="1313"/>
    <cellStyle name="Normal 7 2 3 2 3 2" xfId="3744"/>
    <cellStyle name="Normal 7 2 3 2 3 2 2" xfId="12882"/>
    <cellStyle name="Normal 7 2 3 2 3 2 2 2" xfId="23101"/>
    <cellStyle name="Normal 7 2 3 2 3 2 3" xfId="9303"/>
    <cellStyle name="Normal 7 2 3 2 3 2 4" xfId="18094"/>
    <cellStyle name="Normal 7 2 3 2 3 3" xfId="5113"/>
    <cellStyle name="Normal 7 2 3 2 3 3 2" xfId="13952"/>
    <cellStyle name="Normal 7 2 3 2 3 3 2 2" xfId="24203"/>
    <cellStyle name="Normal 7 2 3 2 3 3 3" xfId="10373"/>
    <cellStyle name="Normal 7 2 3 2 3 3 4" xfId="19196"/>
    <cellStyle name="Normal 7 2 3 2 3 4" xfId="2138"/>
    <cellStyle name="Normal 7 2 3 2 3 4 2" xfId="11505"/>
    <cellStyle name="Normal 7 2 3 2 3 4 3" xfId="21509"/>
    <cellStyle name="Normal 7 2 3 2 3 5" xfId="6570"/>
    <cellStyle name="Normal 7 2 3 2 3 5 2" xfId="15397"/>
    <cellStyle name="Normal 7 2 3 2 3 5 3" xfId="25648"/>
    <cellStyle name="Normal 7 2 3 2 3 6" xfId="8016"/>
    <cellStyle name="Normal 7 2 3 2 3 6 2" xfId="20700"/>
    <cellStyle name="Normal 7 2 3 2 3 7" xfId="16502"/>
    <cellStyle name="Normal 7 2 3 2 4" xfId="3029"/>
    <cellStyle name="Normal 7 2 3 2 4 2" xfId="5407"/>
    <cellStyle name="Normal 7 2 3 2 4 2 2" xfId="14246"/>
    <cellStyle name="Normal 7 2 3 2 4 2 2 2" xfId="24497"/>
    <cellStyle name="Normal 7 2 3 2 4 2 3" xfId="10667"/>
    <cellStyle name="Normal 7 2 3 2 4 2 4" xfId="19490"/>
    <cellStyle name="Normal 7 2 3 2 4 3" xfId="6864"/>
    <cellStyle name="Normal 7 2 3 2 4 3 2" xfId="15691"/>
    <cellStyle name="Normal 7 2 3 2 4 3 3" xfId="25942"/>
    <cellStyle name="Normal 7 2 3 2 4 4" xfId="8310"/>
    <cellStyle name="Normal 7 2 3 2 4 4 2" xfId="22392"/>
    <cellStyle name="Normal 7 2 3 2 4 5" xfId="17385"/>
    <cellStyle name="Normal 7 2 3 2 5" xfId="4363"/>
    <cellStyle name="Normal 7 2 3 2 5 2" xfId="13203"/>
    <cellStyle name="Normal 7 2 3 2 5 2 2" xfId="23454"/>
    <cellStyle name="Normal 7 2 3 2 5 3" xfId="9624"/>
    <cellStyle name="Normal 7 2 3 2 5 4" xfId="18447"/>
    <cellStyle name="Normal 7 2 3 2 6" xfId="1635"/>
    <cellStyle name="Normal 7 2 3 2 6 2" xfId="11014"/>
    <cellStyle name="Normal 7 2 3 2 6 3" xfId="21018"/>
    <cellStyle name="Normal 7 2 3 2 7" xfId="5821"/>
    <cellStyle name="Normal 7 2 3 2 7 2" xfId="14648"/>
    <cellStyle name="Normal 7 2 3 2 7 3" xfId="24899"/>
    <cellStyle name="Normal 7 2 3 2 8" xfId="7265"/>
    <cellStyle name="Normal 7 2 3 2 8 2" xfId="19991"/>
    <cellStyle name="Normal 7 2 3 2 9" xfId="16011"/>
    <cellStyle name="Normal 7 2 3 2_Degree data" xfId="4065"/>
    <cellStyle name="Normal 7 2 3 3" xfId="441"/>
    <cellStyle name="Normal 7 2 3 3 2" xfId="2929"/>
    <cellStyle name="Normal 7 2 3 3 2 2" xfId="12219"/>
    <cellStyle name="Normal 7 2 3 3 2 2 2" xfId="22292"/>
    <cellStyle name="Normal 7 2 3 3 2 3" xfId="8596"/>
    <cellStyle name="Normal 7 2 3 3 2 4" xfId="17285"/>
    <cellStyle name="Normal 7 2 3 3 3" xfId="4764"/>
    <cellStyle name="Normal 7 2 3 3 3 2" xfId="13603"/>
    <cellStyle name="Normal 7 2 3 3 3 2 2" xfId="23854"/>
    <cellStyle name="Normal 7 2 3 3 3 3" xfId="10024"/>
    <cellStyle name="Normal 7 2 3 3 3 4" xfId="18847"/>
    <cellStyle name="Normal 7 2 3 3 4" xfId="2038"/>
    <cellStyle name="Normal 7 2 3 3 4 2" xfId="11405"/>
    <cellStyle name="Normal 7 2 3 3 4 3" xfId="21409"/>
    <cellStyle name="Normal 7 2 3 3 5" xfId="6221"/>
    <cellStyle name="Normal 7 2 3 3 5 2" xfId="15048"/>
    <cellStyle name="Normal 7 2 3 3 5 3" xfId="25299"/>
    <cellStyle name="Normal 7 2 3 3 6" xfId="7667"/>
    <cellStyle name="Normal 7 2 3 3 6 2" xfId="19891"/>
    <cellStyle name="Normal 7 2 3 3 7" xfId="16402"/>
    <cellStyle name="Normal 7 2 3 4" xfId="956"/>
    <cellStyle name="Normal 7 2 3 4 2" xfId="3434"/>
    <cellStyle name="Normal 7 2 3 4 2 2" xfId="12578"/>
    <cellStyle name="Normal 7 2 3 4 2 2 2" xfId="22797"/>
    <cellStyle name="Normal 7 2 3 4 2 3" xfId="9000"/>
    <cellStyle name="Normal 7 2 3 4 2 4" xfId="17790"/>
    <cellStyle name="Normal 7 2 3 4 3" xfId="5112"/>
    <cellStyle name="Normal 7 2 3 4 3 2" xfId="13951"/>
    <cellStyle name="Normal 7 2 3 4 3 2 2" xfId="24202"/>
    <cellStyle name="Normal 7 2 3 4 3 3" xfId="10372"/>
    <cellStyle name="Normal 7 2 3 4 3 4" xfId="19195"/>
    <cellStyle name="Normal 7 2 3 4 4" xfId="2543"/>
    <cellStyle name="Normal 7 2 3 4 4 2" xfId="11910"/>
    <cellStyle name="Normal 7 2 3 4 4 3" xfId="21914"/>
    <cellStyle name="Normal 7 2 3 4 5" xfId="6569"/>
    <cellStyle name="Normal 7 2 3 4 5 2" xfId="15396"/>
    <cellStyle name="Normal 7 2 3 4 5 3" xfId="25647"/>
    <cellStyle name="Normal 7 2 3 4 6" xfId="8015"/>
    <cellStyle name="Normal 7 2 3 4 6 2" xfId="20396"/>
    <cellStyle name="Normal 7 2 3 4 7" xfId="16907"/>
    <cellStyle name="Normal 7 2 3 5" xfId="1213"/>
    <cellStyle name="Normal 7 2 3 5 2" xfId="3644"/>
    <cellStyle name="Normal 7 2 3 5 2 2" xfId="12782"/>
    <cellStyle name="Normal 7 2 3 5 2 2 2" xfId="23001"/>
    <cellStyle name="Normal 7 2 3 5 2 3" xfId="9203"/>
    <cellStyle name="Normal 7 2 3 5 2 4" xfId="17994"/>
    <cellStyle name="Normal 7 2 3 5 3" xfId="5307"/>
    <cellStyle name="Normal 7 2 3 5 3 2" xfId="14146"/>
    <cellStyle name="Normal 7 2 3 5 3 2 2" xfId="24397"/>
    <cellStyle name="Normal 7 2 3 5 3 3" xfId="10567"/>
    <cellStyle name="Normal 7 2 3 5 3 4" xfId="19390"/>
    <cellStyle name="Normal 7 2 3 5 4" xfId="1818"/>
    <cellStyle name="Normal 7 2 3 5 4 2" xfId="11188"/>
    <cellStyle name="Normal 7 2 3 5 4 3" xfId="21192"/>
    <cellStyle name="Normal 7 2 3 5 5" xfId="6764"/>
    <cellStyle name="Normal 7 2 3 5 5 2" xfId="15591"/>
    <cellStyle name="Normal 7 2 3 5 5 3" xfId="25842"/>
    <cellStyle name="Normal 7 2 3 5 6" xfId="8210"/>
    <cellStyle name="Normal 7 2 3 5 6 2" xfId="20600"/>
    <cellStyle name="Normal 7 2 3 5 7" xfId="16185"/>
    <cellStyle name="Normal 7 2 3 6" xfId="2712"/>
    <cellStyle name="Normal 7 2 3 6 2" xfId="12031"/>
    <cellStyle name="Normal 7 2 3 6 2 2" xfId="22075"/>
    <cellStyle name="Normal 7 2 3 6 3" xfId="8508"/>
    <cellStyle name="Normal 7 2 3 6 4" xfId="17068"/>
    <cellStyle name="Normal 7 2 3 7" xfId="4263"/>
    <cellStyle name="Normal 7 2 3 7 2" xfId="13103"/>
    <cellStyle name="Normal 7 2 3 7 2 2" xfId="23354"/>
    <cellStyle name="Normal 7 2 3 7 3" xfId="9524"/>
    <cellStyle name="Normal 7 2 3 7 4" xfId="18347"/>
    <cellStyle name="Normal 7 2 3 8" xfId="1535"/>
    <cellStyle name="Normal 7 2 3 8 2" xfId="10914"/>
    <cellStyle name="Normal 7 2 3 8 3" xfId="20918"/>
    <cellStyle name="Normal 7 2 3 9" xfId="5721"/>
    <cellStyle name="Normal 7 2 3 9 2" xfId="14548"/>
    <cellStyle name="Normal 7 2 3 9 3" xfId="24799"/>
    <cellStyle name="Normal 7 2 3_Degree data" xfId="4064"/>
    <cellStyle name="Normal 7 2 4" xfId="250"/>
    <cellStyle name="Normal 7 2 4 10" xfId="7092"/>
    <cellStyle name="Normal 7 2 4 10 2" xfId="19706"/>
    <cellStyle name="Normal 7 2 4 11" xfId="15838"/>
    <cellStyle name="Normal 7 2 4 2" xfId="573"/>
    <cellStyle name="Normal 7 2 4 2 2" xfId="959"/>
    <cellStyle name="Normal 7 2 4 2 2 2" xfId="3437"/>
    <cellStyle name="Normal 7 2 4 2 2 2 2" xfId="12581"/>
    <cellStyle name="Normal 7 2 4 2 2 2 2 2" xfId="22800"/>
    <cellStyle name="Normal 7 2 4 2 2 2 3" xfId="9003"/>
    <cellStyle name="Normal 7 2 4 2 2 2 4" xfId="17793"/>
    <cellStyle name="Normal 7 2 4 2 2 3" xfId="4767"/>
    <cellStyle name="Normal 7 2 4 2 2 3 2" xfId="13606"/>
    <cellStyle name="Normal 7 2 4 2 2 3 2 2" xfId="23857"/>
    <cellStyle name="Normal 7 2 4 2 2 3 3" xfId="10027"/>
    <cellStyle name="Normal 7 2 4 2 2 3 4" xfId="18850"/>
    <cellStyle name="Normal 7 2 4 2 2 4" xfId="2546"/>
    <cellStyle name="Normal 7 2 4 2 2 4 2" xfId="11913"/>
    <cellStyle name="Normal 7 2 4 2 2 4 3" xfId="21917"/>
    <cellStyle name="Normal 7 2 4 2 2 5" xfId="6224"/>
    <cellStyle name="Normal 7 2 4 2 2 5 2" xfId="15051"/>
    <cellStyle name="Normal 7 2 4 2 2 5 3" xfId="25302"/>
    <cellStyle name="Normal 7 2 4 2 2 6" xfId="7670"/>
    <cellStyle name="Normal 7 2 4 2 2 6 2" xfId="20399"/>
    <cellStyle name="Normal 7 2 4 2 2 7" xfId="16910"/>
    <cellStyle name="Normal 7 2 4 2 3" xfId="1345"/>
    <cellStyle name="Normal 7 2 4 2 3 2" xfId="3776"/>
    <cellStyle name="Normal 7 2 4 2 3 2 2" xfId="12914"/>
    <cellStyle name="Normal 7 2 4 2 3 2 2 2" xfId="23133"/>
    <cellStyle name="Normal 7 2 4 2 3 2 3" xfId="9335"/>
    <cellStyle name="Normal 7 2 4 2 3 2 4" xfId="18126"/>
    <cellStyle name="Normal 7 2 4 2 3 3" xfId="5115"/>
    <cellStyle name="Normal 7 2 4 2 3 3 2" xfId="13954"/>
    <cellStyle name="Normal 7 2 4 2 3 3 2 2" xfId="24205"/>
    <cellStyle name="Normal 7 2 4 2 3 3 3" xfId="10375"/>
    <cellStyle name="Normal 7 2 4 2 3 3 4" xfId="19198"/>
    <cellStyle name="Normal 7 2 4 2 3 4" xfId="2170"/>
    <cellStyle name="Normal 7 2 4 2 3 4 2" xfId="11537"/>
    <cellStyle name="Normal 7 2 4 2 3 4 3" xfId="21541"/>
    <cellStyle name="Normal 7 2 4 2 3 5" xfId="6572"/>
    <cellStyle name="Normal 7 2 4 2 3 5 2" xfId="15399"/>
    <cellStyle name="Normal 7 2 4 2 3 5 3" xfId="25650"/>
    <cellStyle name="Normal 7 2 4 2 3 6" xfId="8018"/>
    <cellStyle name="Normal 7 2 4 2 3 6 2" xfId="20732"/>
    <cellStyle name="Normal 7 2 4 2 3 7" xfId="16534"/>
    <cellStyle name="Normal 7 2 4 2 4" xfId="3061"/>
    <cellStyle name="Normal 7 2 4 2 4 2" xfId="5439"/>
    <cellStyle name="Normal 7 2 4 2 4 2 2" xfId="14278"/>
    <cellStyle name="Normal 7 2 4 2 4 2 2 2" xfId="24529"/>
    <cellStyle name="Normal 7 2 4 2 4 2 3" xfId="10699"/>
    <cellStyle name="Normal 7 2 4 2 4 2 4" xfId="19522"/>
    <cellStyle name="Normal 7 2 4 2 4 3" xfId="6896"/>
    <cellStyle name="Normal 7 2 4 2 4 3 2" xfId="15723"/>
    <cellStyle name="Normal 7 2 4 2 4 3 3" xfId="25974"/>
    <cellStyle name="Normal 7 2 4 2 4 4" xfId="8342"/>
    <cellStyle name="Normal 7 2 4 2 4 4 2" xfId="22424"/>
    <cellStyle name="Normal 7 2 4 2 4 5" xfId="17417"/>
    <cellStyle name="Normal 7 2 4 2 5" xfId="4395"/>
    <cellStyle name="Normal 7 2 4 2 5 2" xfId="13235"/>
    <cellStyle name="Normal 7 2 4 2 5 2 2" xfId="23486"/>
    <cellStyle name="Normal 7 2 4 2 5 3" xfId="9656"/>
    <cellStyle name="Normal 7 2 4 2 5 4" xfId="18479"/>
    <cellStyle name="Normal 7 2 4 2 6" xfId="1667"/>
    <cellStyle name="Normal 7 2 4 2 6 2" xfId="11046"/>
    <cellStyle name="Normal 7 2 4 2 6 3" xfId="21050"/>
    <cellStyle name="Normal 7 2 4 2 7" xfId="5853"/>
    <cellStyle name="Normal 7 2 4 2 7 2" xfId="14680"/>
    <cellStyle name="Normal 7 2 4 2 7 3" xfId="24931"/>
    <cellStyle name="Normal 7 2 4 2 8" xfId="7297"/>
    <cellStyle name="Normal 7 2 4 2 8 2" xfId="20023"/>
    <cellStyle name="Normal 7 2 4 2 9" xfId="16043"/>
    <cellStyle name="Normal 7 2 4 2_Degree data" xfId="4067"/>
    <cellStyle name="Normal 7 2 4 3" xfId="368"/>
    <cellStyle name="Normal 7 2 4 3 2" xfId="2856"/>
    <cellStyle name="Normal 7 2 4 3 2 2" xfId="12146"/>
    <cellStyle name="Normal 7 2 4 3 2 2 2" xfId="22219"/>
    <cellStyle name="Normal 7 2 4 3 2 3" xfId="8416"/>
    <cellStyle name="Normal 7 2 4 3 2 4" xfId="17212"/>
    <cellStyle name="Normal 7 2 4 3 3" xfId="4766"/>
    <cellStyle name="Normal 7 2 4 3 3 2" xfId="13605"/>
    <cellStyle name="Normal 7 2 4 3 3 2 2" xfId="23856"/>
    <cellStyle name="Normal 7 2 4 3 3 3" xfId="10026"/>
    <cellStyle name="Normal 7 2 4 3 3 4" xfId="18849"/>
    <cellStyle name="Normal 7 2 4 3 4" xfId="1965"/>
    <cellStyle name="Normal 7 2 4 3 4 2" xfId="11332"/>
    <cellStyle name="Normal 7 2 4 3 4 3" xfId="21336"/>
    <cellStyle name="Normal 7 2 4 3 5" xfId="6223"/>
    <cellStyle name="Normal 7 2 4 3 5 2" xfId="15050"/>
    <cellStyle name="Normal 7 2 4 3 5 3" xfId="25301"/>
    <cellStyle name="Normal 7 2 4 3 6" xfId="7669"/>
    <cellStyle name="Normal 7 2 4 3 6 2" xfId="19818"/>
    <cellStyle name="Normal 7 2 4 3 7" xfId="16329"/>
    <cellStyle name="Normal 7 2 4 4" xfId="958"/>
    <cellStyle name="Normal 7 2 4 4 2" xfId="3436"/>
    <cellStyle name="Normal 7 2 4 4 2 2" xfId="12580"/>
    <cellStyle name="Normal 7 2 4 4 2 2 2" xfId="22799"/>
    <cellStyle name="Normal 7 2 4 4 2 3" xfId="9002"/>
    <cellStyle name="Normal 7 2 4 4 2 4" xfId="17792"/>
    <cellStyle name="Normal 7 2 4 4 3" xfId="5114"/>
    <cellStyle name="Normal 7 2 4 4 3 2" xfId="13953"/>
    <cellStyle name="Normal 7 2 4 4 3 2 2" xfId="24204"/>
    <cellStyle name="Normal 7 2 4 4 3 3" xfId="10374"/>
    <cellStyle name="Normal 7 2 4 4 3 4" xfId="19197"/>
    <cellStyle name="Normal 7 2 4 4 4" xfId="2545"/>
    <cellStyle name="Normal 7 2 4 4 4 2" xfId="11912"/>
    <cellStyle name="Normal 7 2 4 4 4 3" xfId="21916"/>
    <cellStyle name="Normal 7 2 4 4 5" xfId="6571"/>
    <cellStyle name="Normal 7 2 4 4 5 2" xfId="15398"/>
    <cellStyle name="Normal 7 2 4 4 5 3" xfId="25649"/>
    <cellStyle name="Normal 7 2 4 4 6" xfId="8017"/>
    <cellStyle name="Normal 7 2 4 4 6 2" xfId="20398"/>
    <cellStyle name="Normal 7 2 4 4 7" xfId="16909"/>
    <cellStyle name="Normal 7 2 4 5" xfId="1140"/>
    <cellStyle name="Normal 7 2 4 5 2" xfId="3571"/>
    <cellStyle name="Normal 7 2 4 5 2 2" xfId="12709"/>
    <cellStyle name="Normal 7 2 4 5 2 2 2" xfId="22928"/>
    <cellStyle name="Normal 7 2 4 5 2 3" xfId="9130"/>
    <cellStyle name="Normal 7 2 4 5 2 4" xfId="17921"/>
    <cellStyle name="Normal 7 2 4 5 3" xfId="5234"/>
    <cellStyle name="Normal 7 2 4 5 3 2" xfId="14073"/>
    <cellStyle name="Normal 7 2 4 5 3 2 2" xfId="24324"/>
    <cellStyle name="Normal 7 2 4 5 3 3" xfId="10494"/>
    <cellStyle name="Normal 7 2 4 5 3 4" xfId="19317"/>
    <cellStyle name="Normal 7 2 4 5 4" xfId="1850"/>
    <cellStyle name="Normal 7 2 4 5 4 2" xfId="11220"/>
    <cellStyle name="Normal 7 2 4 5 4 3" xfId="21224"/>
    <cellStyle name="Normal 7 2 4 5 5" xfId="6691"/>
    <cellStyle name="Normal 7 2 4 5 5 2" xfId="15518"/>
    <cellStyle name="Normal 7 2 4 5 5 3" xfId="25769"/>
    <cellStyle name="Normal 7 2 4 5 6" xfId="8137"/>
    <cellStyle name="Normal 7 2 4 5 6 2" xfId="20527"/>
    <cellStyle name="Normal 7 2 4 5 7" xfId="16217"/>
    <cellStyle name="Normal 7 2 4 6" xfId="2744"/>
    <cellStyle name="Normal 7 2 4 6 2" xfId="12063"/>
    <cellStyle name="Normal 7 2 4 6 2 2" xfId="22107"/>
    <cellStyle name="Normal 7 2 4 6 3" xfId="8501"/>
    <cellStyle name="Normal 7 2 4 6 4" xfId="17100"/>
    <cellStyle name="Normal 7 2 4 7" xfId="4190"/>
    <cellStyle name="Normal 7 2 4 7 2" xfId="13030"/>
    <cellStyle name="Normal 7 2 4 7 2 2" xfId="23281"/>
    <cellStyle name="Normal 7 2 4 7 3" xfId="9451"/>
    <cellStyle name="Normal 7 2 4 7 4" xfId="18274"/>
    <cellStyle name="Normal 7 2 4 8" xfId="1462"/>
    <cellStyle name="Normal 7 2 4 8 2" xfId="10841"/>
    <cellStyle name="Normal 7 2 4 8 3" xfId="20845"/>
    <cellStyle name="Normal 7 2 4 9" xfId="5648"/>
    <cellStyle name="Normal 7 2 4 9 2" xfId="14475"/>
    <cellStyle name="Normal 7 2 4 9 3" xfId="24726"/>
    <cellStyle name="Normal 7 2 4_Degree data" xfId="4066"/>
    <cellStyle name="Normal 7 2 5" xfId="468"/>
    <cellStyle name="Normal 7 2 5 2" xfId="960"/>
    <cellStyle name="Normal 7 2 5 2 2" xfId="3438"/>
    <cellStyle name="Normal 7 2 5 2 2 2" xfId="12582"/>
    <cellStyle name="Normal 7 2 5 2 2 2 2" xfId="22801"/>
    <cellStyle name="Normal 7 2 5 2 2 3" xfId="9004"/>
    <cellStyle name="Normal 7 2 5 2 2 4" xfId="17794"/>
    <cellStyle name="Normal 7 2 5 2 3" xfId="4768"/>
    <cellStyle name="Normal 7 2 5 2 3 2" xfId="13607"/>
    <cellStyle name="Normal 7 2 5 2 3 2 2" xfId="23858"/>
    <cellStyle name="Normal 7 2 5 2 3 3" xfId="10028"/>
    <cellStyle name="Normal 7 2 5 2 3 4" xfId="18851"/>
    <cellStyle name="Normal 7 2 5 2 4" xfId="2547"/>
    <cellStyle name="Normal 7 2 5 2 4 2" xfId="11914"/>
    <cellStyle name="Normal 7 2 5 2 4 3" xfId="21918"/>
    <cellStyle name="Normal 7 2 5 2 5" xfId="6225"/>
    <cellStyle name="Normal 7 2 5 2 5 2" xfId="15052"/>
    <cellStyle name="Normal 7 2 5 2 5 3" xfId="25303"/>
    <cellStyle name="Normal 7 2 5 2 6" xfId="7671"/>
    <cellStyle name="Normal 7 2 5 2 6 2" xfId="20400"/>
    <cellStyle name="Normal 7 2 5 2 7" xfId="16911"/>
    <cellStyle name="Normal 7 2 5 3" xfId="1240"/>
    <cellStyle name="Normal 7 2 5 3 2" xfId="3671"/>
    <cellStyle name="Normal 7 2 5 3 2 2" xfId="12809"/>
    <cellStyle name="Normal 7 2 5 3 2 2 2" xfId="23028"/>
    <cellStyle name="Normal 7 2 5 3 2 3" xfId="9230"/>
    <cellStyle name="Normal 7 2 5 3 2 4" xfId="18021"/>
    <cellStyle name="Normal 7 2 5 3 3" xfId="5116"/>
    <cellStyle name="Normal 7 2 5 3 3 2" xfId="13955"/>
    <cellStyle name="Normal 7 2 5 3 3 2 2" xfId="24206"/>
    <cellStyle name="Normal 7 2 5 3 3 3" xfId="10376"/>
    <cellStyle name="Normal 7 2 5 3 3 4" xfId="19199"/>
    <cellStyle name="Normal 7 2 5 3 4" xfId="2065"/>
    <cellStyle name="Normal 7 2 5 3 4 2" xfId="11432"/>
    <cellStyle name="Normal 7 2 5 3 4 3" xfId="21436"/>
    <cellStyle name="Normal 7 2 5 3 5" xfId="6573"/>
    <cellStyle name="Normal 7 2 5 3 5 2" xfId="15400"/>
    <cellStyle name="Normal 7 2 5 3 5 3" xfId="25651"/>
    <cellStyle name="Normal 7 2 5 3 6" xfId="8019"/>
    <cellStyle name="Normal 7 2 5 3 6 2" xfId="20627"/>
    <cellStyle name="Normal 7 2 5 3 7" xfId="16429"/>
    <cellStyle name="Normal 7 2 5 4" xfId="2956"/>
    <cellStyle name="Normal 7 2 5 4 2" xfId="5334"/>
    <cellStyle name="Normal 7 2 5 4 2 2" xfId="14173"/>
    <cellStyle name="Normal 7 2 5 4 2 2 2" xfId="24424"/>
    <cellStyle name="Normal 7 2 5 4 2 3" xfId="10594"/>
    <cellStyle name="Normal 7 2 5 4 2 4" xfId="19417"/>
    <cellStyle name="Normal 7 2 5 4 3" xfId="6791"/>
    <cellStyle name="Normal 7 2 5 4 3 2" xfId="15618"/>
    <cellStyle name="Normal 7 2 5 4 3 3" xfId="25869"/>
    <cellStyle name="Normal 7 2 5 4 4" xfId="8237"/>
    <cellStyle name="Normal 7 2 5 4 4 2" xfId="22319"/>
    <cellStyle name="Normal 7 2 5 4 5" xfId="17312"/>
    <cellStyle name="Normal 7 2 5 5" xfId="4290"/>
    <cellStyle name="Normal 7 2 5 5 2" xfId="13130"/>
    <cellStyle name="Normal 7 2 5 5 2 2" xfId="23381"/>
    <cellStyle name="Normal 7 2 5 5 3" xfId="9551"/>
    <cellStyle name="Normal 7 2 5 5 4" xfId="18374"/>
    <cellStyle name="Normal 7 2 5 6" xfId="1562"/>
    <cellStyle name="Normal 7 2 5 6 2" xfId="10941"/>
    <cellStyle name="Normal 7 2 5 6 3" xfId="20945"/>
    <cellStyle name="Normal 7 2 5 7" xfId="5748"/>
    <cellStyle name="Normal 7 2 5 7 2" xfId="14575"/>
    <cellStyle name="Normal 7 2 5 7 3" xfId="24826"/>
    <cellStyle name="Normal 7 2 5 8" xfId="7192"/>
    <cellStyle name="Normal 7 2 5 8 2" xfId="19918"/>
    <cellStyle name="Normal 7 2 5 9" xfId="15938"/>
    <cellStyle name="Normal 7 2 5_Degree data" xfId="4068"/>
    <cellStyle name="Normal 7 2 6" xfId="341"/>
    <cellStyle name="Normal 7 2 6 2" xfId="961"/>
    <cellStyle name="Normal 7 2 6 2 2" xfId="3439"/>
    <cellStyle name="Normal 7 2 6 2 2 2" xfId="12583"/>
    <cellStyle name="Normal 7 2 6 2 2 2 2" xfId="22802"/>
    <cellStyle name="Normal 7 2 6 2 2 3" xfId="9005"/>
    <cellStyle name="Normal 7 2 6 2 2 4" xfId="17795"/>
    <cellStyle name="Normal 7 2 6 2 3" xfId="4769"/>
    <cellStyle name="Normal 7 2 6 2 3 2" xfId="13608"/>
    <cellStyle name="Normal 7 2 6 2 3 2 2" xfId="23859"/>
    <cellStyle name="Normal 7 2 6 2 3 3" xfId="10029"/>
    <cellStyle name="Normal 7 2 6 2 3 4" xfId="18852"/>
    <cellStyle name="Normal 7 2 6 2 4" xfId="2548"/>
    <cellStyle name="Normal 7 2 6 2 4 2" xfId="11915"/>
    <cellStyle name="Normal 7 2 6 2 4 3" xfId="21919"/>
    <cellStyle name="Normal 7 2 6 2 5" xfId="6226"/>
    <cellStyle name="Normal 7 2 6 2 5 2" xfId="15053"/>
    <cellStyle name="Normal 7 2 6 2 5 3" xfId="25304"/>
    <cellStyle name="Normal 7 2 6 2 6" xfId="7672"/>
    <cellStyle name="Normal 7 2 6 2 6 2" xfId="20401"/>
    <cellStyle name="Normal 7 2 6 2 7" xfId="16912"/>
    <cellStyle name="Normal 7 2 6 3" xfId="1113"/>
    <cellStyle name="Normal 7 2 6 3 2" xfId="3544"/>
    <cellStyle name="Normal 7 2 6 3 2 2" xfId="12682"/>
    <cellStyle name="Normal 7 2 6 3 2 2 2" xfId="22901"/>
    <cellStyle name="Normal 7 2 6 3 2 3" xfId="9103"/>
    <cellStyle name="Normal 7 2 6 3 2 4" xfId="17894"/>
    <cellStyle name="Normal 7 2 6 3 3" xfId="5117"/>
    <cellStyle name="Normal 7 2 6 3 3 2" xfId="13956"/>
    <cellStyle name="Normal 7 2 6 3 3 2 2" xfId="24207"/>
    <cellStyle name="Normal 7 2 6 3 3 3" xfId="10377"/>
    <cellStyle name="Normal 7 2 6 3 3 4" xfId="19200"/>
    <cellStyle name="Normal 7 2 6 3 4" xfId="2611"/>
    <cellStyle name="Normal 7 2 6 3 4 2" xfId="11977"/>
    <cellStyle name="Normal 7 2 6 3 4 3" xfId="21981"/>
    <cellStyle name="Normal 7 2 6 3 5" xfId="6574"/>
    <cellStyle name="Normal 7 2 6 3 5 2" xfId="15401"/>
    <cellStyle name="Normal 7 2 6 3 5 3" xfId="25652"/>
    <cellStyle name="Normal 7 2 6 3 6" xfId="8020"/>
    <cellStyle name="Normal 7 2 6 3 6 2" xfId="20500"/>
    <cellStyle name="Normal 7 2 6 3 7" xfId="16974"/>
    <cellStyle name="Normal 7 2 6 4" xfId="2829"/>
    <cellStyle name="Normal 7 2 6 4 2" xfId="5207"/>
    <cellStyle name="Normal 7 2 6 4 2 2" xfId="14046"/>
    <cellStyle name="Normal 7 2 6 4 2 2 2" xfId="24297"/>
    <cellStyle name="Normal 7 2 6 4 2 3" xfId="10467"/>
    <cellStyle name="Normal 7 2 6 4 2 4" xfId="19290"/>
    <cellStyle name="Normal 7 2 6 4 3" xfId="6664"/>
    <cellStyle name="Normal 7 2 6 4 3 2" xfId="15491"/>
    <cellStyle name="Normal 7 2 6 4 3 3" xfId="25742"/>
    <cellStyle name="Normal 7 2 6 4 4" xfId="8110"/>
    <cellStyle name="Normal 7 2 6 4 4 2" xfId="22192"/>
    <cellStyle name="Normal 7 2 6 4 5" xfId="17185"/>
    <cellStyle name="Normal 7 2 6 5" xfId="4161"/>
    <cellStyle name="Normal 7 2 6 5 2" xfId="13001"/>
    <cellStyle name="Normal 7 2 6 5 2 2" xfId="23252"/>
    <cellStyle name="Normal 7 2 6 5 3" xfId="9422"/>
    <cellStyle name="Normal 7 2 6 5 4" xfId="18245"/>
    <cellStyle name="Normal 7 2 6 6" xfId="1938"/>
    <cellStyle name="Normal 7 2 6 6 2" xfId="11305"/>
    <cellStyle name="Normal 7 2 6 6 3" xfId="21309"/>
    <cellStyle name="Normal 7 2 6 7" xfId="5621"/>
    <cellStyle name="Normal 7 2 6 7 2" xfId="14448"/>
    <cellStyle name="Normal 7 2 6 7 3" xfId="24699"/>
    <cellStyle name="Normal 7 2 6 8" xfId="7065"/>
    <cellStyle name="Normal 7 2 6 8 2" xfId="19791"/>
    <cellStyle name="Normal 7 2 6 9" xfId="16302"/>
    <cellStyle name="Normal 7 2 6_Degree data" xfId="4069"/>
    <cellStyle name="Normal 7 2 7" xfId="952"/>
    <cellStyle name="Normal 7 2 7 2" xfId="3430"/>
    <cellStyle name="Normal 7 2 7 2 2" xfId="12574"/>
    <cellStyle name="Normal 7 2 7 2 2 2" xfId="22793"/>
    <cellStyle name="Normal 7 2 7 2 3" xfId="8996"/>
    <cellStyle name="Normal 7 2 7 2 4" xfId="17786"/>
    <cellStyle name="Normal 7 2 7 3" xfId="4760"/>
    <cellStyle name="Normal 7 2 7 3 2" xfId="13599"/>
    <cellStyle name="Normal 7 2 7 3 2 2" xfId="23850"/>
    <cellStyle name="Normal 7 2 7 3 3" xfId="10020"/>
    <cellStyle name="Normal 7 2 7 3 4" xfId="18843"/>
    <cellStyle name="Normal 7 2 7 4" xfId="2539"/>
    <cellStyle name="Normal 7 2 7 4 2" xfId="11906"/>
    <cellStyle name="Normal 7 2 7 4 3" xfId="21910"/>
    <cellStyle name="Normal 7 2 7 5" xfId="6217"/>
    <cellStyle name="Normal 7 2 7 5 2" xfId="15044"/>
    <cellStyle name="Normal 7 2 7 5 3" xfId="25295"/>
    <cellStyle name="Normal 7 2 7 6" xfId="7663"/>
    <cellStyle name="Normal 7 2 7 6 2" xfId="20392"/>
    <cellStyle name="Normal 7 2 7 7" xfId="16903"/>
    <cellStyle name="Normal 7 2 8" xfId="1068"/>
    <cellStyle name="Normal 7 2 8 2" xfId="3499"/>
    <cellStyle name="Normal 7 2 8 2 2" xfId="12637"/>
    <cellStyle name="Normal 7 2 8 2 2 2" xfId="22856"/>
    <cellStyle name="Normal 7 2 8 2 3" xfId="9059"/>
    <cellStyle name="Normal 7 2 8 2 4" xfId="17849"/>
    <cellStyle name="Normal 7 2 8 3" xfId="5108"/>
    <cellStyle name="Normal 7 2 8 3 2" xfId="13947"/>
    <cellStyle name="Normal 7 2 8 3 2 2" xfId="24198"/>
    <cellStyle name="Normal 7 2 8 3 3" xfId="10368"/>
    <cellStyle name="Normal 7 2 8 3 4" xfId="19191"/>
    <cellStyle name="Normal 7 2 8 4" xfId="1738"/>
    <cellStyle name="Normal 7 2 8 4 2" xfId="11114"/>
    <cellStyle name="Normal 7 2 8 4 3" xfId="21118"/>
    <cellStyle name="Normal 7 2 8 5" xfId="6565"/>
    <cellStyle name="Normal 7 2 8 5 2" xfId="15392"/>
    <cellStyle name="Normal 7 2 8 5 3" xfId="25643"/>
    <cellStyle name="Normal 7 2 8 6" xfId="8011"/>
    <cellStyle name="Normal 7 2 8 6 2" xfId="20455"/>
    <cellStyle name="Normal 7 2 8 7" xfId="16111"/>
    <cellStyle name="Normal 7 2 9" xfId="2636"/>
    <cellStyle name="Normal 7 2 9 2" xfId="5162"/>
    <cellStyle name="Normal 7 2 9 2 2" xfId="14001"/>
    <cellStyle name="Normal 7 2 9 2 2 2" xfId="24252"/>
    <cellStyle name="Normal 7 2 9 2 3" xfId="10422"/>
    <cellStyle name="Normal 7 2 9 2 4" xfId="19245"/>
    <cellStyle name="Normal 7 2 9 3" xfId="6619"/>
    <cellStyle name="Normal 7 2 9 3 2" xfId="15446"/>
    <cellStyle name="Normal 7 2 9 3 3" xfId="25697"/>
    <cellStyle name="Normal 7 2 9 4" xfId="8065"/>
    <cellStyle name="Normal 7 2 9 4 2" xfId="22001"/>
    <cellStyle name="Normal 7 2 9 5" xfId="16994"/>
    <cellStyle name="Normal 7 2_Degree data" xfId="4060"/>
    <cellStyle name="Normal 7 3" xfId="139"/>
    <cellStyle name="Normal 7 3 10" xfId="4124"/>
    <cellStyle name="Normal 7 3 10 2" xfId="5584"/>
    <cellStyle name="Normal 7 3 10 2 2" xfId="14411"/>
    <cellStyle name="Normal 7 3 10 2 3" xfId="24662"/>
    <cellStyle name="Normal 7 3 10 3" xfId="7028"/>
    <cellStyle name="Normal 7 3 10 3 2" xfId="23215"/>
    <cellStyle name="Normal 7 3 10 4" xfId="18208"/>
    <cellStyle name="Normal 7 3 11" xfId="1443"/>
    <cellStyle name="Normal 7 3 11 2" xfId="10822"/>
    <cellStyle name="Normal 7 3 11 3" xfId="20826"/>
    <cellStyle name="Normal 7 3 12" xfId="5552"/>
    <cellStyle name="Normal 7 3 12 2" xfId="14381"/>
    <cellStyle name="Normal 7 3 12 3" xfId="24632"/>
    <cellStyle name="Normal 7 3 13" xfId="6998"/>
    <cellStyle name="Normal 7 3 13 2" xfId="19610"/>
    <cellStyle name="Normal 7 3 14" xfId="15819"/>
    <cellStyle name="Normal 7 3 2" xfId="176"/>
    <cellStyle name="Normal 7 3 2 10" xfId="5686"/>
    <cellStyle name="Normal 7 3 2 10 2" xfId="14513"/>
    <cellStyle name="Normal 7 3 2 10 3" xfId="24764"/>
    <cellStyle name="Normal 7 3 2 11" xfId="7130"/>
    <cellStyle name="Normal 7 3 2 11 2" xfId="19639"/>
    <cellStyle name="Normal 7 3 2 12" xfId="15876"/>
    <cellStyle name="Normal 7 3 2 2" xfId="288"/>
    <cellStyle name="Normal 7 3 2 2 10" xfId="16080"/>
    <cellStyle name="Normal 7 3 2 2 2" xfId="610"/>
    <cellStyle name="Normal 7 3 2 2 2 2" xfId="3098"/>
    <cellStyle name="Normal 7 3 2 2 2 2 2" xfId="12243"/>
    <cellStyle name="Normal 7 3 2 2 2 2 2 2" xfId="22461"/>
    <cellStyle name="Normal 7 3 2 2 2 2 3" xfId="8665"/>
    <cellStyle name="Normal 7 3 2 2 2 2 4" xfId="17454"/>
    <cellStyle name="Normal 7 3 2 2 2 3" xfId="4772"/>
    <cellStyle name="Normal 7 3 2 2 2 3 2" xfId="13611"/>
    <cellStyle name="Normal 7 3 2 2 2 3 2 2" xfId="23862"/>
    <cellStyle name="Normal 7 3 2 2 2 3 3" xfId="10032"/>
    <cellStyle name="Normal 7 3 2 2 2 3 4" xfId="18855"/>
    <cellStyle name="Normal 7 3 2 2 2 4" xfId="2207"/>
    <cellStyle name="Normal 7 3 2 2 2 4 2" xfId="11574"/>
    <cellStyle name="Normal 7 3 2 2 2 4 3" xfId="21578"/>
    <cellStyle name="Normal 7 3 2 2 2 5" xfId="6229"/>
    <cellStyle name="Normal 7 3 2 2 2 5 2" xfId="15056"/>
    <cellStyle name="Normal 7 3 2 2 2 5 3" xfId="25307"/>
    <cellStyle name="Normal 7 3 2 2 2 6" xfId="7675"/>
    <cellStyle name="Normal 7 3 2 2 2 6 2" xfId="20060"/>
    <cellStyle name="Normal 7 3 2 2 2 7" xfId="16571"/>
    <cellStyle name="Normal 7 3 2 2 3" xfId="964"/>
    <cellStyle name="Normal 7 3 2 2 3 2" xfId="3442"/>
    <cellStyle name="Normal 7 3 2 2 3 2 2" xfId="12586"/>
    <cellStyle name="Normal 7 3 2 2 3 2 2 2" xfId="22805"/>
    <cellStyle name="Normal 7 3 2 2 3 2 3" xfId="9008"/>
    <cellStyle name="Normal 7 3 2 2 3 2 4" xfId="17798"/>
    <cellStyle name="Normal 7 3 2 2 3 3" xfId="5120"/>
    <cellStyle name="Normal 7 3 2 2 3 3 2" xfId="13959"/>
    <cellStyle name="Normal 7 3 2 2 3 3 2 2" xfId="24210"/>
    <cellStyle name="Normal 7 3 2 2 3 3 3" xfId="10380"/>
    <cellStyle name="Normal 7 3 2 2 3 3 4" xfId="19203"/>
    <cellStyle name="Normal 7 3 2 2 3 4" xfId="2551"/>
    <cellStyle name="Normal 7 3 2 2 3 4 2" xfId="11918"/>
    <cellStyle name="Normal 7 3 2 2 3 4 3" xfId="21922"/>
    <cellStyle name="Normal 7 3 2 2 3 5" xfId="6577"/>
    <cellStyle name="Normal 7 3 2 2 3 5 2" xfId="15404"/>
    <cellStyle name="Normal 7 3 2 2 3 5 3" xfId="25655"/>
    <cellStyle name="Normal 7 3 2 2 3 6" xfId="8023"/>
    <cellStyle name="Normal 7 3 2 2 3 6 2" xfId="20404"/>
    <cellStyle name="Normal 7 3 2 2 3 7" xfId="16915"/>
    <cellStyle name="Normal 7 3 2 2 4" xfId="1382"/>
    <cellStyle name="Normal 7 3 2 2 4 2" xfId="3813"/>
    <cellStyle name="Normal 7 3 2 2 4 2 2" xfId="12951"/>
    <cellStyle name="Normal 7 3 2 2 4 2 2 2" xfId="23170"/>
    <cellStyle name="Normal 7 3 2 2 4 2 3" xfId="9372"/>
    <cellStyle name="Normal 7 3 2 2 4 2 4" xfId="18163"/>
    <cellStyle name="Normal 7 3 2 2 4 3" xfId="5476"/>
    <cellStyle name="Normal 7 3 2 2 4 3 2" xfId="14315"/>
    <cellStyle name="Normal 7 3 2 2 4 3 2 2" xfId="24566"/>
    <cellStyle name="Normal 7 3 2 2 4 3 3" xfId="10736"/>
    <cellStyle name="Normal 7 3 2 2 4 3 4" xfId="19559"/>
    <cellStyle name="Normal 7 3 2 2 4 4" xfId="1887"/>
    <cellStyle name="Normal 7 3 2 2 4 4 2" xfId="11257"/>
    <cellStyle name="Normal 7 3 2 2 4 4 3" xfId="21261"/>
    <cellStyle name="Normal 7 3 2 2 4 5" xfId="6933"/>
    <cellStyle name="Normal 7 3 2 2 4 5 2" xfId="15760"/>
    <cellStyle name="Normal 7 3 2 2 4 5 3" xfId="26011"/>
    <cellStyle name="Normal 7 3 2 2 4 6" xfId="8379"/>
    <cellStyle name="Normal 7 3 2 2 4 6 2" xfId="20769"/>
    <cellStyle name="Normal 7 3 2 2 4 7" xfId="16254"/>
    <cellStyle name="Normal 7 3 2 2 5" xfId="2781"/>
    <cellStyle name="Normal 7 3 2 2 5 2" xfId="12100"/>
    <cellStyle name="Normal 7 3 2 2 5 2 2" xfId="22144"/>
    <cellStyle name="Normal 7 3 2 2 5 3" xfId="8552"/>
    <cellStyle name="Normal 7 3 2 2 5 4" xfId="17137"/>
    <cellStyle name="Normal 7 3 2 2 6" xfId="4432"/>
    <cellStyle name="Normal 7 3 2 2 6 2" xfId="13272"/>
    <cellStyle name="Normal 7 3 2 2 6 2 2" xfId="23523"/>
    <cellStyle name="Normal 7 3 2 2 6 3" xfId="9693"/>
    <cellStyle name="Normal 7 3 2 2 6 4" xfId="18516"/>
    <cellStyle name="Normal 7 3 2 2 7" xfId="1704"/>
    <cellStyle name="Normal 7 3 2 2 7 2" xfId="11083"/>
    <cellStyle name="Normal 7 3 2 2 7 3" xfId="21087"/>
    <cellStyle name="Normal 7 3 2 2 8" xfId="5890"/>
    <cellStyle name="Normal 7 3 2 2 8 2" xfId="14717"/>
    <cellStyle name="Normal 7 3 2 2 8 3" xfId="24968"/>
    <cellStyle name="Normal 7 3 2 2 9" xfId="7334"/>
    <cellStyle name="Normal 7 3 2 2 9 2" xfId="19743"/>
    <cellStyle name="Normal 7 3 2 2_Degree data" xfId="4072"/>
    <cellStyle name="Normal 7 3 2 3" xfId="506"/>
    <cellStyle name="Normal 7 3 2 3 2" xfId="965"/>
    <cellStyle name="Normal 7 3 2 3 2 2" xfId="3443"/>
    <cellStyle name="Normal 7 3 2 3 2 2 2" xfId="12587"/>
    <cellStyle name="Normal 7 3 2 3 2 2 2 2" xfId="22806"/>
    <cellStyle name="Normal 7 3 2 3 2 2 3" xfId="9009"/>
    <cellStyle name="Normal 7 3 2 3 2 2 4" xfId="17799"/>
    <cellStyle name="Normal 7 3 2 3 2 3" xfId="4773"/>
    <cellStyle name="Normal 7 3 2 3 2 3 2" xfId="13612"/>
    <cellStyle name="Normal 7 3 2 3 2 3 2 2" xfId="23863"/>
    <cellStyle name="Normal 7 3 2 3 2 3 3" xfId="10033"/>
    <cellStyle name="Normal 7 3 2 3 2 3 4" xfId="18856"/>
    <cellStyle name="Normal 7 3 2 3 2 4" xfId="2552"/>
    <cellStyle name="Normal 7 3 2 3 2 4 2" xfId="11919"/>
    <cellStyle name="Normal 7 3 2 3 2 4 3" xfId="21923"/>
    <cellStyle name="Normal 7 3 2 3 2 5" xfId="6230"/>
    <cellStyle name="Normal 7 3 2 3 2 5 2" xfId="15057"/>
    <cellStyle name="Normal 7 3 2 3 2 5 3" xfId="25308"/>
    <cellStyle name="Normal 7 3 2 3 2 6" xfId="7676"/>
    <cellStyle name="Normal 7 3 2 3 2 6 2" xfId="20405"/>
    <cellStyle name="Normal 7 3 2 3 2 7" xfId="16916"/>
    <cellStyle name="Normal 7 3 2 3 3" xfId="1278"/>
    <cellStyle name="Normal 7 3 2 3 3 2" xfId="3709"/>
    <cellStyle name="Normal 7 3 2 3 3 2 2" xfId="12847"/>
    <cellStyle name="Normal 7 3 2 3 3 2 2 2" xfId="23066"/>
    <cellStyle name="Normal 7 3 2 3 3 2 3" xfId="9268"/>
    <cellStyle name="Normal 7 3 2 3 3 2 4" xfId="18059"/>
    <cellStyle name="Normal 7 3 2 3 3 3" xfId="5121"/>
    <cellStyle name="Normal 7 3 2 3 3 3 2" xfId="13960"/>
    <cellStyle name="Normal 7 3 2 3 3 3 2 2" xfId="24211"/>
    <cellStyle name="Normal 7 3 2 3 3 3 3" xfId="10381"/>
    <cellStyle name="Normal 7 3 2 3 3 3 4" xfId="19204"/>
    <cellStyle name="Normal 7 3 2 3 3 4" xfId="2103"/>
    <cellStyle name="Normal 7 3 2 3 3 4 2" xfId="11470"/>
    <cellStyle name="Normal 7 3 2 3 3 4 3" xfId="21474"/>
    <cellStyle name="Normal 7 3 2 3 3 5" xfId="6578"/>
    <cellStyle name="Normal 7 3 2 3 3 5 2" xfId="15405"/>
    <cellStyle name="Normal 7 3 2 3 3 5 3" xfId="25656"/>
    <cellStyle name="Normal 7 3 2 3 3 6" xfId="8024"/>
    <cellStyle name="Normal 7 3 2 3 3 6 2" xfId="20665"/>
    <cellStyle name="Normal 7 3 2 3 3 7" xfId="16467"/>
    <cellStyle name="Normal 7 3 2 3 4" xfId="2994"/>
    <cellStyle name="Normal 7 3 2 3 4 2" xfId="5372"/>
    <cellStyle name="Normal 7 3 2 3 4 2 2" xfId="14211"/>
    <cellStyle name="Normal 7 3 2 3 4 2 2 2" xfId="24462"/>
    <cellStyle name="Normal 7 3 2 3 4 2 3" xfId="10632"/>
    <cellStyle name="Normal 7 3 2 3 4 2 4" xfId="19455"/>
    <cellStyle name="Normal 7 3 2 3 4 3" xfId="6829"/>
    <cellStyle name="Normal 7 3 2 3 4 3 2" xfId="15656"/>
    <cellStyle name="Normal 7 3 2 3 4 3 3" xfId="25907"/>
    <cellStyle name="Normal 7 3 2 3 4 4" xfId="8275"/>
    <cellStyle name="Normal 7 3 2 3 4 4 2" xfId="22357"/>
    <cellStyle name="Normal 7 3 2 3 4 5" xfId="17350"/>
    <cellStyle name="Normal 7 3 2 3 5" xfId="4328"/>
    <cellStyle name="Normal 7 3 2 3 5 2" xfId="13168"/>
    <cellStyle name="Normal 7 3 2 3 5 2 2" xfId="23419"/>
    <cellStyle name="Normal 7 3 2 3 5 3" xfId="9589"/>
    <cellStyle name="Normal 7 3 2 3 5 4" xfId="18412"/>
    <cellStyle name="Normal 7 3 2 3 6" xfId="1600"/>
    <cellStyle name="Normal 7 3 2 3 6 2" xfId="10979"/>
    <cellStyle name="Normal 7 3 2 3 6 3" xfId="20983"/>
    <cellStyle name="Normal 7 3 2 3 7" xfId="5786"/>
    <cellStyle name="Normal 7 3 2 3 7 2" xfId="14613"/>
    <cellStyle name="Normal 7 3 2 3 7 3" xfId="24864"/>
    <cellStyle name="Normal 7 3 2 3 8" xfId="7230"/>
    <cellStyle name="Normal 7 3 2 3 8 2" xfId="19956"/>
    <cellStyle name="Normal 7 3 2 3 9" xfId="15976"/>
    <cellStyle name="Normal 7 3 2 3_Degree data" xfId="4073"/>
    <cellStyle name="Normal 7 3 2 4" xfId="406"/>
    <cellStyle name="Normal 7 3 2 4 2" xfId="2894"/>
    <cellStyle name="Normal 7 3 2 4 2 2" xfId="12184"/>
    <cellStyle name="Normal 7 3 2 4 2 2 2" xfId="22257"/>
    <cellStyle name="Normal 7 3 2 4 2 3" xfId="8533"/>
    <cellStyle name="Normal 7 3 2 4 2 4" xfId="17250"/>
    <cellStyle name="Normal 7 3 2 4 3" xfId="4771"/>
    <cellStyle name="Normal 7 3 2 4 3 2" xfId="13610"/>
    <cellStyle name="Normal 7 3 2 4 3 2 2" xfId="23861"/>
    <cellStyle name="Normal 7 3 2 4 3 3" xfId="10031"/>
    <cellStyle name="Normal 7 3 2 4 3 4" xfId="18854"/>
    <cellStyle name="Normal 7 3 2 4 4" xfId="2003"/>
    <cellStyle name="Normal 7 3 2 4 4 2" xfId="11370"/>
    <cellStyle name="Normal 7 3 2 4 4 3" xfId="21374"/>
    <cellStyle name="Normal 7 3 2 4 5" xfId="6228"/>
    <cellStyle name="Normal 7 3 2 4 5 2" xfId="15055"/>
    <cellStyle name="Normal 7 3 2 4 5 3" xfId="25306"/>
    <cellStyle name="Normal 7 3 2 4 6" xfId="7674"/>
    <cellStyle name="Normal 7 3 2 4 6 2" xfId="19856"/>
    <cellStyle name="Normal 7 3 2 4 7" xfId="16367"/>
    <cellStyle name="Normal 7 3 2 5" xfId="963"/>
    <cellStyle name="Normal 7 3 2 5 2" xfId="3441"/>
    <cellStyle name="Normal 7 3 2 5 2 2" xfId="12585"/>
    <cellStyle name="Normal 7 3 2 5 2 2 2" xfId="22804"/>
    <cellStyle name="Normal 7 3 2 5 2 3" xfId="9007"/>
    <cellStyle name="Normal 7 3 2 5 2 4" xfId="17797"/>
    <cellStyle name="Normal 7 3 2 5 3" xfId="5119"/>
    <cellStyle name="Normal 7 3 2 5 3 2" xfId="13958"/>
    <cellStyle name="Normal 7 3 2 5 3 2 2" xfId="24209"/>
    <cellStyle name="Normal 7 3 2 5 3 3" xfId="10379"/>
    <cellStyle name="Normal 7 3 2 5 3 4" xfId="19202"/>
    <cellStyle name="Normal 7 3 2 5 4" xfId="2550"/>
    <cellStyle name="Normal 7 3 2 5 4 2" xfId="11917"/>
    <cellStyle name="Normal 7 3 2 5 4 3" xfId="21921"/>
    <cellStyle name="Normal 7 3 2 5 5" xfId="6576"/>
    <cellStyle name="Normal 7 3 2 5 5 2" xfId="15403"/>
    <cellStyle name="Normal 7 3 2 5 5 3" xfId="25654"/>
    <cellStyle name="Normal 7 3 2 5 6" xfId="8022"/>
    <cellStyle name="Normal 7 3 2 5 6 2" xfId="20403"/>
    <cellStyle name="Normal 7 3 2 5 7" xfId="16914"/>
    <cellStyle name="Normal 7 3 2 6" xfId="1178"/>
    <cellStyle name="Normal 7 3 2 6 2" xfId="3609"/>
    <cellStyle name="Normal 7 3 2 6 2 2" xfId="12747"/>
    <cellStyle name="Normal 7 3 2 6 2 2 2" xfId="22966"/>
    <cellStyle name="Normal 7 3 2 6 2 3" xfId="9168"/>
    <cellStyle name="Normal 7 3 2 6 2 4" xfId="17959"/>
    <cellStyle name="Normal 7 3 2 6 3" xfId="5272"/>
    <cellStyle name="Normal 7 3 2 6 3 2" xfId="14111"/>
    <cellStyle name="Normal 7 3 2 6 3 2 2" xfId="24362"/>
    <cellStyle name="Normal 7 3 2 6 3 3" xfId="10532"/>
    <cellStyle name="Normal 7 3 2 6 3 4" xfId="19355"/>
    <cellStyle name="Normal 7 3 2 6 4" xfId="1780"/>
    <cellStyle name="Normal 7 3 2 6 4 2" xfId="11153"/>
    <cellStyle name="Normal 7 3 2 6 4 3" xfId="21157"/>
    <cellStyle name="Normal 7 3 2 6 5" xfId="6729"/>
    <cellStyle name="Normal 7 3 2 6 5 2" xfId="15556"/>
    <cellStyle name="Normal 7 3 2 6 5 3" xfId="25807"/>
    <cellStyle name="Normal 7 3 2 6 6" xfId="8175"/>
    <cellStyle name="Normal 7 3 2 6 6 2" xfId="20565"/>
    <cellStyle name="Normal 7 3 2 6 7" xfId="16150"/>
    <cellStyle name="Normal 7 3 2 7" xfId="2677"/>
    <cellStyle name="Normal 7 3 2 7 2" xfId="11996"/>
    <cellStyle name="Normal 7 3 2 7 2 2" xfId="22040"/>
    <cellStyle name="Normal 7 3 2 7 3" xfId="8573"/>
    <cellStyle name="Normal 7 3 2 7 4" xfId="17033"/>
    <cellStyle name="Normal 7 3 2 8" xfId="4228"/>
    <cellStyle name="Normal 7 3 2 8 2" xfId="13068"/>
    <cellStyle name="Normal 7 3 2 8 2 2" xfId="23319"/>
    <cellStyle name="Normal 7 3 2 8 3" xfId="9489"/>
    <cellStyle name="Normal 7 3 2 8 4" xfId="18312"/>
    <cellStyle name="Normal 7 3 2 9" xfId="1500"/>
    <cellStyle name="Normal 7 3 2 9 2" xfId="10879"/>
    <cellStyle name="Normal 7 3 2 9 3" xfId="20883"/>
    <cellStyle name="Normal 7 3 2_Degree data" xfId="4071"/>
    <cellStyle name="Normal 7 3 3" xfId="223"/>
    <cellStyle name="Normal 7 3 3 10" xfId="7173"/>
    <cellStyle name="Normal 7 3 3 10 2" xfId="19682"/>
    <cellStyle name="Normal 7 3 3 11" xfId="15919"/>
    <cellStyle name="Normal 7 3 3 2" xfId="549"/>
    <cellStyle name="Normal 7 3 3 2 2" xfId="967"/>
    <cellStyle name="Normal 7 3 3 2 2 2" xfId="3445"/>
    <cellStyle name="Normal 7 3 3 2 2 2 2" xfId="12589"/>
    <cellStyle name="Normal 7 3 3 2 2 2 2 2" xfId="22808"/>
    <cellStyle name="Normal 7 3 3 2 2 2 3" xfId="9011"/>
    <cellStyle name="Normal 7 3 3 2 2 2 4" xfId="17801"/>
    <cellStyle name="Normal 7 3 3 2 2 3" xfId="4775"/>
    <cellStyle name="Normal 7 3 3 2 2 3 2" xfId="13614"/>
    <cellStyle name="Normal 7 3 3 2 2 3 2 2" xfId="23865"/>
    <cellStyle name="Normal 7 3 3 2 2 3 3" xfId="10035"/>
    <cellStyle name="Normal 7 3 3 2 2 3 4" xfId="18858"/>
    <cellStyle name="Normal 7 3 3 2 2 4" xfId="2554"/>
    <cellStyle name="Normal 7 3 3 2 2 4 2" xfId="11921"/>
    <cellStyle name="Normal 7 3 3 2 2 4 3" xfId="21925"/>
    <cellStyle name="Normal 7 3 3 2 2 5" xfId="6232"/>
    <cellStyle name="Normal 7 3 3 2 2 5 2" xfId="15059"/>
    <cellStyle name="Normal 7 3 3 2 2 5 3" xfId="25310"/>
    <cellStyle name="Normal 7 3 3 2 2 6" xfId="7678"/>
    <cellStyle name="Normal 7 3 3 2 2 6 2" xfId="20407"/>
    <cellStyle name="Normal 7 3 3 2 2 7" xfId="16918"/>
    <cellStyle name="Normal 7 3 3 2 3" xfId="1321"/>
    <cellStyle name="Normal 7 3 3 2 3 2" xfId="3752"/>
    <cellStyle name="Normal 7 3 3 2 3 2 2" xfId="12890"/>
    <cellStyle name="Normal 7 3 3 2 3 2 2 2" xfId="23109"/>
    <cellStyle name="Normal 7 3 3 2 3 2 3" xfId="9311"/>
    <cellStyle name="Normal 7 3 3 2 3 2 4" xfId="18102"/>
    <cellStyle name="Normal 7 3 3 2 3 3" xfId="5123"/>
    <cellStyle name="Normal 7 3 3 2 3 3 2" xfId="13962"/>
    <cellStyle name="Normal 7 3 3 2 3 3 2 2" xfId="24213"/>
    <cellStyle name="Normal 7 3 3 2 3 3 3" xfId="10383"/>
    <cellStyle name="Normal 7 3 3 2 3 3 4" xfId="19206"/>
    <cellStyle name="Normal 7 3 3 2 3 4" xfId="2146"/>
    <cellStyle name="Normal 7 3 3 2 3 4 2" xfId="11513"/>
    <cellStyle name="Normal 7 3 3 2 3 4 3" xfId="21517"/>
    <cellStyle name="Normal 7 3 3 2 3 5" xfId="6580"/>
    <cellStyle name="Normal 7 3 3 2 3 5 2" xfId="15407"/>
    <cellStyle name="Normal 7 3 3 2 3 5 3" xfId="25658"/>
    <cellStyle name="Normal 7 3 3 2 3 6" xfId="8026"/>
    <cellStyle name="Normal 7 3 3 2 3 6 2" xfId="20708"/>
    <cellStyle name="Normal 7 3 3 2 3 7" xfId="16510"/>
    <cellStyle name="Normal 7 3 3 2 4" xfId="3037"/>
    <cellStyle name="Normal 7 3 3 2 4 2" xfId="5415"/>
    <cellStyle name="Normal 7 3 3 2 4 2 2" xfId="14254"/>
    <cellStyle name="Normal 7 3 3 2 4 2 2 2" xfId="24505"/>
    <cellStyle name="Normal 7 3 3 2 4 2 3" xfId="10675"/>
    <cellStyle name="Normal 7 3 3 2 4 2 4" xfId="19498"/>
    <cellStyle name="Normal 7 3 3 2 4 3" xfId="6872"/>
    <cellStyle name="Normal 7 3 3 2 4 3 2" xfId="15699"/>
    <cellStyle name="Normal 7 3 3 2 4 3 3" xfId="25950"/>
    <cellStyle name="Normal 7 3 3 2 4 4" xfId="8318"/>
    <cellStyle name="Normal 7 3 3 2 4 4 2" xfId="22400"/>
    <cellStyle name="Normal 7 3 3 2 4 5" xfId="17393"/>
    <cellStyle name="Normal 7 3 3 2 5" xfId="4371"/>
    <cellStyle name="Normal 7 3 3 2 5 2" xfId="13211"/>
    <cellStyle name="Normal 7 3 3 2 5 2 2" xfId="23462"/>
    <cellStyle name="Normal 7 3 3 2 5 3" xfId="9632"/>
    <cellStyle name="Normal 7 3 3 2 5 4" xfId="18455"/>
    <cellStyle name="Normal 7 3 3 2 6" xfId="1643"/>
    <cellStyle name="Normal 7 3 3 2 6 2" xfId="11022"/>
    <cellStyle name="Normal 7 3 3 2 6 3" xfId="21026"/>
    <cellStyle name="Normal 7 3 3 2 7" xfId="5829"/>
    <cellStyle name="Normal 7 3 3 2 7 2" xfId="14656"/>
    <cellStyle name="Normal 7 3 3 2 7 3" xfId="24907"/>
    <cellStyle name="Normal 7 3 3 2 8" xfId="7273"/>
    <cellStyle name="Normal 7 3 3 2 8 2" xfId="19999"/>
    <cellStyle name="Normal 7 3 3 2 9" xfId="16019"/>
    <cellStyle name="Normal 7 3 3 2_Degree data" xfId="4075"/>
    <cellStyle name="Normal 7 3 3 3" xfId="449"/>
    <cellStyle name="Normal 7 3 3 3 2" xfId="2937"/>
    <cellStyle name="Normal 7 3 3 3 2 2" xfId="12227"/>
    <cellStyle name="Normal 7 3 3 3 2 2 2" xfId="22300"/>
    <cellStyle name="Normal 7 3 3 3 2 3" xfId="8522"/>
    <cellStyle name="Normal 7 3 3 3 2 4" xfId="17293"/>
    <cellStyle name="Normal 7 3 3 3 3" xfId="4774"/>
    <cellStyle name="Normal 7 3 3 3 3 2" xfId="13613"/>
    <cellStyle name="Normal 7 3 3 3 3 2 2" xfId="23864"/>
    <cellStyle name="Normal 7 3 3 3 3 3" xfId="10034"/>
    <cellStyle name="Normal 7 3 3 3 3 4" xfId="18857"/>
    <cellStyle name="Normal 7 3 3 3 4" xfId="2046"/>
    <cellStyle name="Normal 7 3 3 3 4 2" xfId="11413"/>
    <cellStyle name="Normal 7 3 3 3 4 3" xfId="21417"/>
    <cellStyle name="Normal 7 3 3 3 5" xfId="6231"/>
    <cellStyle name="Normal 7 3 3 3 5 2" xfId="15058"/>
    <cellStyle name="Normal 7 3 3 3 5 3" xfId="25309"/>
    <cellStyle name="Normal 7 3 3 3 6" xfId="7677"/>
    <cellStyle name="Normal 7 3 3 3 6 2" xfId="19899"/>
    <cellStyle name="Normal 7 3 3 3 7" xfId="16410"/>
    <cellStyle name="Normal 7 3 3 4" xfId="966"/>
    <cellStyle name="Normal 7 3 3 4 2" xfId="3444"/>
    <cellStyle name="Normal 7 3 3 4 2 2" xfId="12588"/>
    <cellStyle name="Normal 7 3 3 4 2 2 2" xfId="22807"/>
    <cellStyle name="Normal 7 3 3 4 2 3" xfId="9010"/>
    <cellStyle name="Normal 7 3 3 4 2 4" xfId="17800"/>
    <cellStyle name="Normal 7 3 3 4 3" xfId="5122"/>
    <cellStyle name="Normal 7 3 3 4 3 2" xfId="13961"/>
    <cellStyle name="Normal 7 3 3 4 3 2 2" xfId="24212"/>
    <cellStyle name="Normal 7 3 3 4 3 3" xfId="10382"/>
    <cellStyle name="Normal 7 3 3 4 3 4" xfId="19205"/>
    <cellStyle name="Normal 7 3 3 4 4" xfId="2553"/>
    <cellStyle name="Normal 7 3 3 4 4 2" xfId="11920"/>
    <cellStyle name="Normal 7 3 3 4 4 3" xfId="21924"/>
    <cellStyle name="Normal 7 3 3 4 5" xfId="6579"/>
    <cellStyle name="Normal 7 3 3 4 5 2" xfId="15406"/>
    <cellStyle name="Normal 7 3 3 4 5 3" xfId="25657"/>
    <cellStyle name="Normal 7 3 3 4 6" xfId="8025"/>
    <cellStyle name="Normal 7 3 3 4 6 2" xfId="20406"/>
    <cellStyle name="Normal 7 3 3 4 7" xfId="16917"/>
    <cellStyle name="Normal 7 3 3 5" xfId="1221"/>
    <cellStyle name="Normal 7 3 3 5 2" xfId="3652"/>
    <cellStyle name="Normal 7 3 3 5 2 2" xfId="12790"/>
    <cellStyle name="Normal 7 3 3 5 2 2 2" xfId="23009"/>
    <cellStyle name="Normal 7 3 3 5 2 3" xfId="9211"/>
    <cellStyle name="Normal 7 3 3 5 2 4" xfId="18002"/>
    <cellStyle name="Normal 7 3 3 5 3" xfId="5315"/>
    <cellStyle name="Normal 7 3 3 5 3 2" xfId="14154"/>
    <cellStyle name="Normal 7 3 3 5 3 2 2" xfId="24405"/>
    <cellStyle name="Normal 7 3 3 5 3 3" xfId="10575"/>
    <cellStyle name="Normal 7 3 3 5 3 4" xfId="19398"/>
    <cellStyle name="Normal 7 3 3 5 4" xfId="1826"/>
    <cellStyle name="Normal 7 3 3 5 4 2" xfId="11196"/>
    <cellStyle name="Normal 7 3 3 5 4 3" xfId="21200"/>
    <cellStyle name="Normal 7 3 3 5 5" xfId="6772"/>
    <cellStyle name="Normal 7 3 3 5 5 2" xfId="15599"/>
    <cellStyle name="Normal 7 3 3 5 5 3" xfId="25850"/>
    <cellStyle name="Normal 7 3 3 5 6" xfId="8218"/>
    <cellStyle name="Normal 7 3 3 5 6 2" xfId="20608"/>
    <cellStyle name="Normal 7 3 3 5 7" xfId="16193"/>
    <cellStyle name="Normal 7 3 3 6" xfId="2720"/>
    <cellStyle name="Normal 7 3 3 6 2" xfId="12039"/>
    <cellStyle name="Normal 7 3 3 6 2 2" xfId="22083"/>
    <cellStyle name="Normal 7 3 3 6 3" xfId="8590"/>
    <cellStyle name="Normal 7 3 3 6 4" xfId="17076"/>
    <cellStyle name="Normal 7 3 3 7" xfId="4271"/>
    <cellStyle name="Normal 7 3 3 7 2" xfId="13111"/>
    <cellStyle name="Normal 7 3 3 7 2 2" xfId="23362"/>
    <cellStyle name="Normal 7 3 3 7 3" xfId="9532"/>
    <cellStyle name="Normal 7 3 3 7 4" xfId="18355"/>
    <cellStyle name="Normal 7 3 3 8" xfId="1543"/>
    <cellStyle name="Normal 7 3 3 8 2" xfId="10922"/>
    <cellStyle name="Normal 7 3 3 8 3" xfId="20926"/>
    <cellStyle name="Normal 7 3 3 9" xfId="5729"/>
    <cellStyle name="Normal 7 3 3 9 2" xfId="14556"/>
    <cellStyle name="Normal 7 3 3 9 3" xfId="24807"/>
    <cellStyle name="Normal 7 3 3_Degree data" xfId="4074"/>
    <cellStyle name="Normal 7 3 4" xfId="259"/>
    <cellStyle name="Normal 7 3 4 10" xfId="7101"/>
    <cellStyle name="Normal 7 3 4 10 2" xfId="19715"/>
    <cellStyle name="Normal 7 3 4 11" xfId="15847"/>
    <cellStyle name="Normal 7 3 4 2" xfId="582"/>
    <cellStyle name="Normal 7 3 4 2 2" xfId="969"/>
    <cellStyle name="Normal 7 3 4 2 2 2" xfId="3447"/>
    <cellStyle name="Normal 7 3 4 2 2 2 2" xfId="12591"/>
    <cellStyle name="Normal 7 3 4 2 2 2 2 2" xfId="22810"/>
    <cellStyle name="Normal 7 3 4 2 2 2 3" xfId="9013"/>
    <cellStyle name="Normal 7 3 4 2 2 2 4" xfId="17803"/>
    <cellStyle name="Normal 7 3 4 2 2 3" xfId="4777"/>
    <cellStyle name="Normal 7 3 4 2 2 3 2" xfId="13616"/>
    <cellStyle name="Normal 7 3 4 2 2 3 2 2" xfId="23867"/>
    <cellStyle name="Normal 7 3 4 2 2 3 3" xfId="10037"/>
    <cellStyle name="Normal 7 3 4 2 2 3 4" xfId="18860"/>
    <cellStyle name="Normal 7 3 4 2 2 4" xfId="2556"/>
    <cellStyle name="Normal 7 3 4 2 2 4 2" xfId="11923"/>
    <cellStyle name="Normal 7 3 4 2 2 4 3" xfId="21927"/>
    <cellStyle name="Normal 7 3 4 2 2 5" xfId="6234"/>
    <cellStyle name="Normal 7 3 4 2 2 5 2" xfId="15061"/>
    <cellStyle name="Normal 7 3 4 2 2 5 3" xfId="25312"/>
    <cellStyle name="Normal 7 3 4 2 2 6" xfId="7680"/>
    <cellStyle name="Normal 7 3 4 2 2 6 2" xfId="20409"/>
    <cellStyle name="Normal 7 3 4 2 2 7" xfId="16920"/>
    <cellStyle name="Normal 7 3 4 2 3" xfId="1354"/>
    <cellStyle name="Normal 7 3 4 2 3 2" xfId="3785"/>
    <cellStyle name="Normal 7 3 4 2 3 2 2" xfId="12923"/>
    <cellStyle name="Normal 7 3 4 2 3 2 2 2" xfId="23142"/>
    <cellStyle name="Normal 7 3 4 2 3 2 3" xfId="9344"/>
    <cellStyle name="Normal 7 3 4 2 3 2 4" xfId="18135"/>
    <cellStyle name="Normal 7 3 4 2 3 3" xfId="5125"/>
    <cellStyle name="Normal 7 3 4 2 3 3 2" xfId="13964"/>
    <cellStyle name="Normal 7 3 4 2 3 3 2 2" xfId="24215"/>
    <cellStyle name="Normal 7 3 4 2 3 3 3" xfId="10385"/>
    <cellStyle name="Normal 7 3 4 2 3 3 4" xfId="19208"/>
    <cellStyle name="Normal 7 3 4 2 3 4" xfId="2179"/>
    <cellStyle name="Normal 7 3 4 2 3 4 2" xfId="11546"/>
    <cellStyle name="Normal 7 3 4 2 3 4 3" xfId="21550"/>
    <cellStyle name="Normal 7 3 4 2 3 5" xfId="6582"/>
    <cellStyle name="Normal 7 3 4 2 3 5 2" xfId="15409"/>
    <cellStyle name="Normal 7 3 4 2 3 5 3" xfId="25660"/>
    <cellStyle name="Normal 7 3 4 2 3 6" xfId="8028"/>
    <cellStyle name="Normal 7 3 4 2 3 6 2" xfId="20741"/>
    <cellStyle name="Normal 7 3 4 2 3 7" xfId="16543"/>
    <cellStyle name="Normal 7 3 4 2 4" xfId="3070"/>
    <cellStyle name="Normal 7 3 4 2 4 2" xfId="5448"/>
    <cellStyle name="Normal 7 3 4 2 4 2 2" xfId="14287"/>
    <cellStyle name="Normal 7 3 4 2 4 2 2 2" xfId="24538"/>
    <cellStyle name="Normal 7 3 4 2 4 2 3" xfId="10708"/>
    <cellStyle name="Normal 7 3 4 2 4 2 4" xfId="19531"/>
    <cellStyle name="Normal 7 3 4 2 4 3" xfId="6905"/>
    <cellStyle name="Normal 7 3 4 2 4 3 2" xfId="15732"/>
    <cellStyle name="Normal 7 3 4 2 4 3 3" xfId="25983"/>
    <cellStyle name="Normal 7 3 4 2 4 4" xfId="8351"/>
    <cellStyle name="Normal 7 3 4 2 4 4 2" xfId="22433"/>
    <cellStyle name="Normal 7 3 4 2 4 5" xfId="17426"/>
    <cellStyle name="Normal 7 3 4 2 5" xfId="4404"/>
    <cellStyle name="Normal 7 3 4 2 5 2" xfId="13244"/>
    <cellStyle name="Normal 7 3 4 2 5 2 2" xfId="23495"/>
    <cellStyle name="Normal 7 3 4 2 5 3" xfId="9665"/>
    <cellStyle name="Normal 7 3 4 2 5 4" xfId="18488"/>
    <cellStyle name="Normal 7 3 4 2 6" xfId="1676"/>
    <cellStyle name="Normal 7 3 4 2 6 2" xfId="11055"/>
    <cellStyle name="Normal 7 3 4 2 6 3" xfId="21059"/>
    <cellStyle name="Normal 7 3 4 2 7" xfId="5862"/>
    <cellStyle name="Normal 7 3 4 2 7 2" xfId="14689"/>
    <cellStyle name="Normal 7 3 4 2 7 3" xfId="24940"/>
    <cellStyle name="Normal 7 3 4 2 8" xfId="7306"/>
    <cellStyle name="Normal 7 3 4 2 8 2" xfId="20032"/>
    <cellStyle name="Normal 7 3 4 2 9" xfId="16052"/>
    <cellStyle name="Normal 7 3 4 2_Degree data" xfId="4077"/>
    <cellStyle name="Normal 7 3 4 3" xfId="377"/>
    <cellStyle name="Normal 7 3 4 3 2" xfId="2865"/>
    <cellStyle name="Normal 7 3 4 3 2 2" xfId="12155"/>
    <cellStyle name="Normal 7 3 4 3 2 2 2" xfId="22228"/>
    <cellStyle name="Normal 7 3 4 3 2 3" xfId="8404"/>
    <cellStyle name="Normal 7 3 4 3 2 4" xfId="17221"/>
    <cellStyle name="Normal 7 3 4 3 3" xfId="4776"/>
    <cellStyle name="Normal 7 3 4 3 3 2" xfId="13615"/>
    <cellStyle name="Normal 7 3 4 3 3 2 2" xfId="23866"/>
    <cellStyle name="Normal 7 3 4 3 3 3" xfId="10036"/>
    <cellStyle name="Normal 7 3 4 3 3 4" xfId="18859"/>
    <cellStyle name="Normal 7 3 4 3 4" xfId="1974"/>
    <cellStyle name="Normal 7 3 4 3 4 2" xfId="11341"/>
    <cellStyle name="Normal 7 3 4 3 4 3" xfId="21345"/>
    <cellStyle name="Normal 7 3 4 3 5" xfId="6233"/>
    <cellStyle name="Normal 7 3 4 3 5 2" xfId="15060"/>
    <cellStyle name="Normal 7 3 4 3 5 3" xfId="25311"/>
    <cellStyle name="Normal 7 3 4 3 6" xfId="7679"/>
    <cellStyle name="Normal 7 3 4 3 6 2" xfId="19827"/>
    <cellStyle name="Normal 7 3 4 3 7" xfId="16338"/>
    <cellStyle name="Normal 7 3 4 4" xfId="968"/>
    <cellStyle name="Normal 7 3 4 4 2" xfId="3446"/>
    <cellStyle name="Normal 7 3 4 4 2 2" xfId="12590"/>
    <cellStyle name="Normal 7 3 4 4 2 2 2" xfId="22809"/>
    <cellStyle name="Normal 7 3 4 4 2 3" xfId="9012"/>
    <cellStyle name="Normal 7 3 4 4 2 4" xfId="17802"/>
    <cellStyle name="Normal 7 3 4 4 3" xfId="5124"/>
    <cellStyle name="Normal 7 3 4 4 3 2" xfId="13963"/>
    <cellStyle name="Normal 7 3 4 4 3 2 2" xfId="24214"/>
    <cellStyle name="Normal 7 3 4 4 3 3" xfId="10384"/>
    <cellStyle name="Normal 7 3 4 4 3 4" xfId="19207"/>
    <cellStyle name="Normal 7 3 4 4 4" xfId="2555"/>
    <cellStyle name="Normal 7 3 4 4 4 2" xfId="11922"/>
    <cellStyle name="Normal 7 3 4 4 4 3" xfId="21926"/>
    <cellStyle name="Normal 7 3 4 4 5" xfId="6581"/>
    <cellStyle name="Normal 7 3 4 4 5 2" xfId="15408"/>
    <cellStyle name="Normal 7 3 4 4 5 3" xfId="25659"/>
    <cellStyle name="Normal 7 3 4 4 6" xfId="8027"/>
    <cellStyle name="Normal 7 3 4 4 6 2" xfId="20408"/>
    <cellStyle name="Normal 7 3 4 4 7" xfId="16919"/>
    <cellStyle name="Normal 7 3 4 5" xfId="1149"/>
    <cellStyle name="Normal 7 3 4 5 2" xfId="3580"/>
    <cellStyle name="Normal 7 3 4 5 2 2" xfId="12718"/>
    <cellStyle name="Normal 7 3 4 5 2 2 2" xfId="22937"/>
    <cellStyle name="Normal 7 3 4 5 2 3" xfId="9139"/>
    <cellStyle name="Normal 7 3 4 5 2 4" xfId="17930"/>
    <cellStyle name="Normal 7 3 4 5 3" xfId="5243"/>
    <cellStyle name="Normal 7 3 4 5 3 2" xfId="14082"/>
    <cellStyle name="Normal 7 3 4 5 3 2 2" xfId="24333"/>
    <cellStyle name="Normal 7 3 4 5 3 3" xfId="10503"/>
    <cellStyle name="Normal 7 3 4 5 3 4" xfId="19326"/>
    <cellStyle name="Normal 7 3 4 5 4" xfId="1859"/>
    <cellStyle name="Normal 7 3 4 5 4 2" xfId="11229"/>
    <cellStyle name="Normal 7 3 4 5 4 3" xfId="21233"/>
    <cellStyle name="Normal 7 3 4 5 5" xfId="6700"/>
    <cellStyle name="Normal 7 3 4 5 5 2" xfId="15527"/>
    <cellStyle name="Normal 7 3 4 5 5 3" xfId="25778"/>
    <cellStyle name="Normal 7 3 4 5 6" xfId="8146"/>
    <cellStyle name="Normal 7 3 4 5 6 2" xfId="20536"/>
    <cellStyle name="Normal 7 3 4 5 7" xfId="16226"/>
    <cellStyle name="Normal 7 3 4 6" xfId="2753"/>
    <cellStyle name="Normal 7 3 4 6 2" xfId="12072"/>
    <cellStyle name="Normal 7 3 4 6 2 2" xfId="22116"/>
    <cellStyle name="Normal 7 3 4 6 3" xfId="8431"/>
    <cellStyle name="Normal 7 3 4 6 4" xfId="17109"/>
    <cellStyle name="Normal 7 3 4 7" xfId="4199"/>
    <cellStyle name="Normal 7 3 4 7 2" xfId="13039"/>
    <cellStyle name="Normal 7 3 4 7 2 2" xfId="23290"/>
    <cellStyle name="Normal 7 3 4 7 3" xfId="9460"/>
    <cellStyle name="Normal 7 3 4 7 4" xfId="18283"/>
    <cellStyle name="Normal 7 3 4 8" xfId="1471"/>
    <cellStyle name="Normal 7 3 4 8 2" xfId="10850"/>
    <cellStyle name="Normal 7 3 4 8 3" xfId="20854"/>
    <cellStyle name="Normal 7 3 4 9" xfId="5657"/>
    <cellStyle name="Normal 7 3 4 9 2" xfId="14484"/>
    <cellStyle name="Normal 7 3 4 9 3" xfId="24735"/>
    <cellStyle name="Normal 7 3 4_Degree data" xfId="4076"/>
    <cellStyle name="Normal 7 3 5" xfId="477"/>
    <cellStyle name="Normal 7 3 5 2" xfId="970"/>
    <cellStyle name="Normal 7 3 5 2 2" xfId="3448"/>
    <cellStyle name="Normal 7 3 5 2 2 2" xfId="12592"/>
    <cellStyle name="Normal 7 3 5 2 2 2 2" xfId="22811"/>
    <cellStyle name="Normal 7 3 5 2 2 3" xfId="9014"/>
    <cellStyle name="Normal 7 3 5 2 2 4" xfId="17804"/>
    <cellStyle name="Normal 7 3 5 2 3" xfId="4778"/>
    <cellStyle name="Normal 7 3 5 2 3 2" xfId="13617"/>
    <cellStyle name="Normal 7 3 5 2 3 2 2" xfId="23868"/>
    <cellStyle name="Normal 7 3 5 2 3 3" xfId="10038"/>
    <cellStyle name="Normal 7 3 5 2 3 4" xfId="18861"/>
    <cellStyle name="Normal 7 3 5 2 4" xfId="2557"/>
    <cellStyle name="Normal 7 3 5 2 4 2" xfId="11924"/>
    <cellStyle name="Normal 7 3 5 2 4 3" xfId="21928"/>
    <cellStyle name="Normal 7 3 5 2 5" xfId="6235"/>
    <cellStyle name="Normal 7 3 5 2 5 2" xfId="15062"/>
    <cellStyle name="Normal 7 3 5 2 5 3" xfId="25313"/>
    <cellStyle name="Normal 7 3 5 2 6" xfId="7681"/>
    <cellStyle name="Normal 7 3 5 2 6 2" xfId="20410"/>
    <cellStyle name="Normal 7 3 5 2 7" xfId="16921"/>
    <cellStyle name="Normal 7 3 5 3" xfId="1249"/>
    <cellStyle name="Normal 7 3 5 3 2" xfId="3680"/>
    <cellStyle name="Normal 7 3 5 3 2 2" xfId="12818"/>
    <cellStyle name="Normal 7 3 5 3 2 2 2" xfId="23037"/>
    <cellStyle name="Normal 7 3 5 3 2 3" xfId="9239"/>
    <cellStyle name="Normal 7 3 5 3 2 4" xfId="18030"/>
    <cellStyle name="Normal 7 3 5 3 3" xfId="5126"/>
    <cellStyle name="Normal 7 3 5 3 3 2" xfId="13965"/>
    <cellStyle name="Normal 7 3 5 3 3 2 2" xfId="24216"/>
    <cellStyle name="Normal 7 3 5 3 3 3" xfId="10386"/>
    <cellStyle name="Normal 7 3 5 3 3 4" xfId="19209"/>
    <cellStyle name="Normal 7 3 5 3 4" xfId="2074"/>
    <cellStyle name="Normal 7 3 5 3 4 2" xfId="11441"/>
    <cellStyle name="Normal 7 3 5 3 4 3" xfId="21445"/>
    <cellStyle name="Normal 7 3 5 3 5" xfId="6583"/>
    <cellStyle name="Normal 7 3 5 3 5 2" xfId="15410"/>
    <cellStyle name="Normal 7 3 5 3 5 3" xfId="25661"/>
    <cellStyle name="Normal 7 3 5 3 6" xfId="8029"/>
    <cellStyle name="Normal 7 3 5 3 6 2" xfId="20636"/>
    <cellStyle name="Normal 7 3 5 3 7" xfId="16438"/>
    <cellStyle name="Normal 7 3 5 4" xfId="2965"/>
    <cellStyle name="Normal 7 3 5 4 2" xfId="5343"/>
    <cellStyle name="Normal 7 3 5 4 2 2" xfId="14182"/>
    <cellStyle name="Normal 7 3 5 4 2 2 2" xfId="24433"/>
    <cellStyle name="Normal 7 3 5 4 2 3" xfId="10603"/>
    <cellStyle name="Normal 7 3 5 4 2 4" xfId="19426"/>
    <cellStyle name="Normal 7 3 5 4 3" xfId="6800"/>
    <cellStyle name="Normal 7 3 5 4 3 2" xfId="15627"/>
    <cellStyle name="Normal 7 3 5 4 3 3" xfId="25878"/>
    <cellStyle name="Normal 7 3 5 4 4" xfId="8246"/>
    <cellStyle name="Normal 7 3 5 4 4 2" xfId="22328"/>
    <cellStyle name="Normal 7 3 5 4 5" xfId="17321"/>
    <cellStyle name="Normal 7 3 5 5" xfId="4299"/>
    <cellStyle name="Normal 7 3 5 5 2" xfId="13139"/>
    <cellStyle name="Normal 7 3 5 5 2 2" xfId="23390"/>
    <cellStyle name="Normal 7 3 5 5 3" xfId="9560"/>
    <cellStyle name="Normal 7 3 5 5 4" xfId="18383"/>
    <cellStyle name="Normal 7 3 5 6" xfId="1571"/>
    <cellStyle name="Normal 7 3 5 6 2" xfId="10950"/>
    <cellStyle name="Normal 7 3 5 6 3" xfId="20954"/>
    <cellStyle name="Normal 7 3 5 7" xfId="5757"/>
    <cellStyle name="Normal 7 3 5 7 2" xfId="14584"/>
    <cellStyle name="Normal 7 3 5 7 3" xfId="24835"/>
    <cellStyle name="Normal 7 3 5 8" xfId="7201"/>
    <cellStyle name="Normal 7 3 5 8 2" xfId="19927"/>
    <cellStyle name="Normal 7 3 5 9" xfId="15947"/>
    <cellStyle name="Normal 7 3 5_Degree data" xfId="4078"/>
    <cellStyle name="Normal 7 3 6" xfId="349"/>
    <cellStyle name="Normal 7 3 6 2" xfId="971"/>
    <cellStyle name="Normal 7 3 6 2 2" xfId="3449"/>
    <cellStyle name="Normal 7 3 6 2 2 2" xfId="12593"/>
    <cellStyle name="Normal 7 3 6 2 2 2 2" xfId="22812"/>
    <cellStyle name="Normal 7 3 6 2 2 3" xfId="9015"/>
    <cellStyle name="Normal 7 3 6 2 2 4" xfId="17805"/>
    <cellStyle name="Normal 7 3 6 2 3" xfId="4779"/>
    <cellStyle name="Normal 7 3 6 2 3 2" xfId="13618"/>
    <cellStyle name="Normal 7 3 6 2 3 2 2" xfId="23869"/>
    <cellStyle name="Normal 7 3 6 2 3 3" xfId="10039"/>
    <cellStyle name="Normal 7 3 6 2 3 4" xfId="18862"/>
    <cellStyle name="Normal 7 3 6 2 4" xfId="2558"/>
    <cellStyle name="Normal 7 3 6 2 4 2" xfId="11925"/>
    <cellStyle name="Normal 7 3 6 2 4 3" xfId="21929"/>
    <cellStyle name="Normal 7 3 6 2 5" xfId="6236"/>
    <cellStyle name="Normal 7 3 6 2 5 2" xfId="15063"/>
    <cellStyle name="Normal 7 3 6 2 5 3" xfId="25314"/>
    <cellStyle name="Normal 7 3 6 2 6" xfId="7682"/>
    <cellStyle name="Normal 7 3 6 2 6 2" xfId="20411"/>
    <cellStyle name="Normal 7 3 6 2 7" xfId="16922"/>
    <cellStyle name="Normal 7 3 6 3" xfId="1121"/>
    <cellStyle name="Normal 7 3 6 3 2" xfId="3552"/>
    <cellStyle name="Normal 7 3 6 3 2 2" xfId="12690"/>
    <cellStyle name="Normal 7 3 6 3 2 2 2" xfId="22909"/>
    <cellStyle name="Normal 7 3 6 3 2 3" xfId="9111"/>
    <cellStyle name="Normal 7 3 6 3 2 4" xfId="17902"/>
    <cellStyle name="Normal 7 3 6 3 3" xfId="5127"/>
    <cellStyle name="Normal 7 3 6 3 3 2" xfId="13966"/>
    <cellStyle name="Normal 7 3 6 3 3 2 2" xfId="24217"/>
    <cellStyle name="Normal 7 3 6 3 3 3" xfId="10387"/>
    <cellStyle name="Normal 7 3 6 3 3 4" xfId="19210"/>
    <cellStyle name="Normal 7 3 6 3 4" xfId="2612"/>
    <cellStyle name="Normal 7 3 6 3 4 2" xfId="11978"/>
    <cellStyle name="Normal 7 3 6 3 4 3" xfId="21982"/>
    <cellStyle name="Normal 7 3 6 3 5" xfId="6584"/>
    <cellStyle name="Normal 7 3 6 3 5 2" xfId="15411"/>
    <cellStyle name="Normal 7 3 6 3 5 3" xfId="25662"/>
    <cellStyle name="Normal 7 3 6 3 6" xfId="8030"/>
    <cellStyle name="Normal 7 3 6 3 6 2" xfId="20508"/>
    <cellStyle name="Normal 7 3 6 3 7" xfId="16975"/>
    <cellStyle name="Normal 7 3 6 4" xfId="2837"/>
    <cellStyle name="Normal 7 3 6 4 2" xfId="5215"/>
    <cellStyle name="Normal 7 3 6 4 2 2" xfId="14054"/>
    <cellStyle name="Normal 7 3 6 4 2 2 2" xfId="24305"/>
    <cellStyle name="Normal 7 3 6 4 2 3" xfId="10475"/>
    <cellStyle name="Normal 7 3 6 4 2 4" xfId="19298"/>
    <cellStyle name="Normal 7 3 6 4 3" xfId="6672"/>
    <cellStyle name="Normal 7 3 6 4 3 2" xfId="15499"/>
    <cellStyle name="Normal 7 3 6 4 3 3" xfId="25750"/>
    <cellStyle name="Normal 7 3 6 4 4" xfId="8118"/>
    <cellStyle name="Normal 7 3 6 4 4 2" xfId="22200"/>
    <cellStyle name="Normal 7 3 6 4 5" xfId="17193"/>
    <cellStyle name="Normal 7 3 6 5" xfId="4169"/>
    <cellStyle name="Normal 7 3 6 5 2" xfId="13009"/>
    <cellStyle name="Normal 7 3 6 5 2 2" xfId="23260"/>
    <cellStyle name="Normal 7 3 6 5 3" xfId="9430"/>
    <cellStyle name="Normal 7 3 6 5 4" xfId="18253"/>
    <cellStyle name="Normal 7 3 6 6" xfId="1946"/>
    <cellStyle name="Normal 7 3 6 6 2" xfId="11313"/>
    <cellStyle name="Normal 7 3 6 6 3" xfId="21317"/>
    <cellStyle name="Normal 7 3 6 7" xfId="5629"/>
    <cellStyle name="Normal 7 3 6 7 2" xfId="14456"/>
    <cellStyle name="Normal 7 3 6 7 3" xfId="24707"/>
    <cellStyle name="Normal 7 3 6 8" xfId="7073"/>
    <cellStyle name="Normal 7 3 6 8 2" xfId="19799"/>
    <cellStyle name="Normal 7 3 6 9" xfId="16310"/>
    <cellStyle name="Normal 7 3 6_Degree data" xfId="4079"/>
    <cellStyle name="Normal 7 3 7" xfId="962"/>
    <cellStyle name="Normal 7 3 7 2" xfId="3440"/>
    <cellStyle name="Normal 7 3 7 2 2" xfId="12584"/>
    <cellStyle name="Normal 7 3 7 2 2 2" xfId="22803"/>
    <cellStyle name="Normal 7 3 7 2 3" xfId="9006"/>
    <cellStyle name="Normal 7 3 7 2 4" xfId="17796"/>
    <cellStyle name="Normal 7 3 7 3" xfId="4770"/>
    <cellStyle name="Normal 7 3 7 3 2" xfId="13609"/>
    <cellStyle name="Normal 7 3 7 3 2 2" xfId="23860"/>
    <cellStyle name="Normal 7 3 7 3 3" xfId="10030"/>
    <cellStyle name="Normal 7 3 7 3 4" xfId="18853"/>
    <cellStyle name="Normal 7 3 7 4" xfId="2549"/>
    <cellStyle name="Normal 7 3 7 4 2" xfId="11916"/>
    <cellStyle name="Normal 7 3 7 4 3" xfId="21920"/>
    <cellStyle name="Normal 7 3 7 5" xfId="6227"/>
    <cellStyle name="Normal 7 3 7 5 2" xfId="15054"/>
    <cellStyle name="Normal 7 3 7 5 3" xfId="25305"/>
    <cellStyle name="Normal 7 3 7 6" xfId="7673"/>
    <cellStyle name="Normal 7 3 7 6 2" xfId="20402"/>
    <cellStyle name="Normal 7 3 7 7" xfId="16913"/>
    <cellStyle name="Normal 7 3 8" xfId="1076"/>
    <cellStyle name="Normal 7 3 8 2" xfId="3507"/>
    <cellStyle name="Normal 7 3 8 2 2" xfId="12645"/>
    <cellStyle name="Normal 7 3 8 2 2 2" xfId="22864"/>
    <cellStyle name="Normal 7 3 8 2 3" xfId="9067"/>
    <cellStyle name="Normal 7 3 8 2 4" xfId="17857"/>
    <cellStyle name="Normal 7 3 8 3" xfId="5118"/>
    <cellStyle name="Normal 7 3 8 3 2" xfId="13957"/>
    <cellStyle name="Normal 7 3 8 3 2 2" xfId="24208"/>
    <cellStyle name="Normal 7 3 8 3 3" xfId="10378"/>
    <cellStyle name="Normal 7 3 8 3 4" xfId="19201"/>
    <cellStyle name="Normal 7 3 8 4" xfId="1747"/>
    <cellStyle name="Normal 7 3 8 4 2" xfId="11123"/>
    <cellStyle name="Normal 7 3 8 4 3" xfId="21127"/>
    <cellStyle name="Normal 7 3 8 5" xfId="6575"/>
    <cellStyle name="Normal 7 3 8 5 2" xfId="15402"/>
    <cellStyle name="Normal 7 3 8 5 3" xfId="25653"/>
    <cellStyle name="Normal 7 3 8 6" xfId="8021"/>
    <cellStyle name="Normal 7 3 8 6 2" xfId="20463"/>
    <cellStyle name="Normal 7 3 8 7" xfId="16120"/>
    <cellStyle name="Normal 7 3 9" xfId="2647"/>
    <cellStyle name="Normal 7 3 9 2" xfId="5170"/>
    <cellStyle name="Normal 7 3 9 2 2" xfId="14009"/>
    <cellStyle name="Normal 7 3 9 2 2 2" xfId="24260"/>
    <cellStyle name="Normal 7 3 9 2 3" xfId="10430"/>
    <cellStyle name="Normal 7 3 9 2 4" xfId="19253"/>
    <cellStyle name="Normal 7 3 9 3" xfId="6627"/>
    <cellStyle name="Normal 7 3 9 3 2" xfId="15454"/>
    <cellStyle name="Normal 7 3 9 3 3" xfId="25705"/>
    <cellStyle name="Normal 7 3 9 4" xfId="8073"/>
    <cellStyle name="Normal 7 3 9 4 2" xfId="22011"/>
    <cellStyle name="Normal 7 3 9 5" xfId="17004"/>
    <cellStyle name="Normal 7 3_Degree data" xfId="4070"/>
    <cellStyle name="Normal 7 4" xfId="151"/>
    <cellStyle name="Normal 7 4 10" xfId="1421"/>
    <cellStyle name="Normal 7 4 10 2" xfId="10800"/>
    <cellStyle name="Normal 7 4 10 3" xfId="20804"/>
    <cellStyle name="Normal 7 4 11" xfId="5532"/>
    <cellStyle name="Normal 7 4 11 2" xfId="14361"/>
    <cellStyle name="Normal 7 4 11 3" xfId="24612"/>
    <cellStyle name="Normal 7 4 12" xfId="6974"/>
    <cellStyle name="Normal 7 4 12 2" xfId="19619"/>
    <cellStyle name="Normal 7 4 13" xfId="15797"/>
    <cellStyle name="Normal 7 4 2" xfId="201"/>
    <cellStyle name="Normal 7 4 2 10" xfId="7153"/>
    <cellStyle name="Normal 7 4 2 10 2" xfId="19662"/>
    <cellStyle name="Normal 7 4 2 11" xfId="15899"/>
    <cellStyle name="Normal 7 4 2 2" xfId="529"/>
    <cellStyle name="Normal 7 4 2 2 2" xfId="974"/>
    <cellStyle name="Normal 7 4 2 2 2 2" xfId="3452"/>
    <cellStyle name="Normal 7 4 2 2 2 2 2" xfId="12596"/>
    <cellStyle name="Normal 7 4 2 2 2 2 2 2" xfId="22815"/>
    <cellStyle name="Normal 7 4 2 2 2 2 3" xfId="9018"/>
    <cellStyle name="Normal 7 4 2 2 2 2 4" xfId="17808"/>
    <cellStyle name="Normal 7 4 2 2 2 3" xfId="4782"/>
    <cellStyle name="Normal 7 4 2 2 2 3 2" xfId="13621"/>
    <cellStyle name="Normal 7 4 2 2 2 3 2 2" xfId="23872"/>
    <cellStyle name="Normal 7 4 2 2 2 3 3" xfId="10042"/>
    <cellStyle name="Normal 7 4 2 2 2 3 4" xfId="18865"/>
    <cellStyle name="Normal 7 4 2 2 2 4" xfId="2561"/>
    <cellStyle name="Normal 7 4 2 2 2 4 2" xfId="11928"/>
    <cellStyle name="Normal 7 4 2 2 2 4 3" xfId="21932"/>
    <cellStyle name="Normal 7 4 2 2 2 5" xfId="6239"/>
    <cellStyle name="Normal 7 4 2 2 2 5 2" xfId="15066"/>
    <cellStyle name="Normal 7 4 2 2 2 5 3" xfId="25317"/>
    <cellStyle name="Normal 7 4 2 2 2 6" xfId="7685"/>
    <cellStyle name="Normal 7 4 2 2 2 6 2" xfId="20414"/>
    <cellStyle name="Normal 7 4 2 2 2 7" xfId="16925"/>
    <cellStyle name="Normal 7 4 2 2 3" xfId="1301"/>
    <cellStyle name="Normal 7 4 2 2 3 2" xfId="3732"/>
    <cellStyle name="Normal 7 4 2 2 3 2 2" xfId="12870"/>
    <cellStyle name="Normal 7 4 2 2 3 2 2 2" xfId="23089"/>
    <cellStyle name="Normal 7 4 2 2 3 2 3" xfId="9291"/>
    <cellStyle name="Normal 7 4 2 2 3 2 4" xfId="18082"/>
    <cellStyle name="Normal 7 4 2 2 3 3" xfId="5130"/>
    <cellStyle name="Normal 7 4 2 2 3 3 2" xfId="13969"/>
    <cellStyle name="Normal 7 4 2 2 3 3 2 2" xfId="24220"/>
    <cellStyle name="Normal 7 4 2 2 3 3 3" xfId="10390"/>
    <cellStyle name="Normal 7 4 2 2 3 3 4" xfId="19213"/>
    <cellStyle name="Normal 7 4 2 2 3 4" xfId="2126"/>
    <cellStyle name="Normal 7 4 2 2 3 4 2" xfId="11493"/>
    <cellStyle name="Normal 7 4 2 2 3 4 3" xfId="21497"/>
    <cellStyle name="Normal 7 4 2 2 3 5" xfId="6587"/>
    <cellStyle name="Normal 7 4 2 2 3 5 2" xfId="15414"/>
    <cellStyle name="Normal 7 4 2 2 3 5 3" xfId="25665"/>
    <cellStyle name="Normal 7 4 2 2 3 6" xfId="8033"/>
    <cellStyle name="Normal 7 4 2 2 3 6 2" xfId="20688"/>
    <cellStyle name="Normal 7 4 2 2 3 7" xfId="16490"/>
    <cellStyle name="Normal 7 4 2 2 4" xfId="3017"/>
    <cellStyle name="Normal 7 4 2 2 4 2" xfId="5395"/>
    <cellStyle name="Normal 7 4 2 2 4 2 2" xfId="14234"/>
    <cellStyle name="Normal 7 4 2 2 4 2 2 2" xfId="24485"/>
    <cellStyle name="Normal 7 4 2 2 4 2 3" xfId="10655"/>
    <cellStyle name="Normal 7 4 2 2 4 2 4" xfId="19478"/>
    <cellStyle name="Normal 7 4 2 2 4 3" xfId="6852"/>
    <cellStyle name="Normal 7 4 2 2 4 3 2" xfId="15679"/>
    <cellStyle name="Normal 7 4 2 2 4 3 3" xfId="25930"/>
    <cellStyle name="Normal 7 4 2 2 4 4" xfId="8298"/>
    <cellStyle name="Normal 7 4 2 2 4 4 2" xfId="22380"/>
    <cellStyle name="Normal 7 4 2 2 4 5" xfId="17373"/>
    <cellStyle name="Normal 7 4 2 2 5" xfId="4351"/>
    <cellStyle name="Normal 7 4 2 2 5 2" xfId="13191"/>
    <cellStyle name="Normal 7 4 2 2 5 2 2" xfId="23442"/>
    <cellStyle name="Normal 7 4 2 2 5 3" xfId="9612"/>
    <cellStyle name="Normal 7 4 2 2 5 4" xfId="18435"/>
    <cellStyle name="Normal 7 4 2 2 6" xfId="1623"/>
    <cellStyle name="Normal 7 4 2 2 6 2" xfId="11002"/>
    <cellStyle name="Normal 7 4 2 2 6 3" xfId="21006"/>
    <cellStyle name="Normal 7 4 2 2 7" xfId="5809"/>
    <cellStyle name="Normal 7 4 2 2 7 2" xfId="14636"/>
    <cellStyle name="Normal 7 4 2 2 7 3" xfId="24887"/>
    <cellStyle name="Normal 7 4 2 2 8" xfId="7253"/>
    <cellStyle name="Normal 7 4 2 2 8 2" xfId="19979"/>
    <cellStyle name="Normal 7 4 2 2 9" xfId="15999"/>
    <cellStyle name="Normal 7 4 2 2_Degree data" xfId="4082"/>
    <cellStyle name="Normal 7 4 2 3" xfId="429"/>
    <cellStyle name="Normal 7 4 2 3 2" xfId="2917"/>
    <cellStyle name="Normal 7 4 2 3 2 2" xfId="12207"/>
    <cellStyle name="Normal 7 4 2 3 2 2 2" xfId="22280"/>
    <cellStyle name="Normal 7 4 2 3 2 3" xfId="8465"/>
    <cellStyle name="Normal 7 4 2 3 2 4" xfId="17273"/>
    <cellStyle name="Normal 7 4 2 3 3" xfId="4781"/>
    <cellStyle name="Normal 7 4 2 3 3 2" xfId="13620"/>
    <cellStyle name="Normal 7 4 2 3 3 2 2" xfId="23871"/>
    <cellStyle name="Normal 7 4 2 3 3 3" xfId="10041"/>
    <cellStyle name="Normal 7 4 2 3 3 4" xfId="18864"/>
    <cellStyle name="Normal 7 4 2 3 4" xfId="2026"/>
    <cellStyle name="Normal 7 4 2 3 4 2" xfId="11393"/>
    <cellStyle name="Normal 7 4 2 3 4 3" xfId="21397"/>
    <cellStyle name="Normal 7 4 2 3 5" xfId="6238"/>
    <cellStyle name="Normal 7 4 2 3 5 2" xfId="15065"/>
    <cellStyle name="Normal 7 4 2 3 5 3" xfId="25316"/>
    <cellStyle name="Normal 7 4 2 3 6" xfId="7684"/>
    <cellStyle name="Normal 7 4 2 3 6 2" xfId="19879"/>
    <cellStyle name="Normal 7 4 2 3 7" xfId="16390"/>
    <cellStyle name="Normal 7 4 2 4" xfId="973"/>
    <cellStyle name="Normal 7 4 2 4 2" xfId="3451"/>
    <cellStyle name="Normal 7 4 2 4 2 2" xfId="12595"/>
    <cellStyle name="Normal 7 4 2 4 2 2 2" xfId="22814"/>
    <cellStyle name="Normal 7 4 2 4 2 3" xfId="9017"/>
    <cellStyle name="Normal 7 4 2 4 2 4" xfId="17807"/>
    <cellStyle name="Normal 7 4 2 4 3" xfId="5129"/>
    <cellStyle name="Normal 7 4 2 4 3 2" xfId="13968"/>
    <cellStyle name="Normal 7 4 2 4 3 2 2" xfId="24219"/>
    <cellStyle name="Normal 7 4 2 4 3 3" xfId="10389"/>
    <cellStyle name="Normal 7 4 2 4 3 4" xfId="19212"/>
    <cellStyle name="Normal 7 4 2 4 4" xfId="2560"/>
    <cellStyle name="Normal 7 4 2 4 4 2" xfId="11927"/>
    <cellStyle name="Normal 7 4 2 4 4 3" xfId="21931"/>
    <cellStyle name="Normal 7 4 2 4 5" xfId="6586"/>
    <cellStyle name="Normal 7 4 2 4 5 2" xfId="15413"/>
    <cellStyle name="Normal 7 4 2 4 5 3" xfId="25664"/>
    <cellStyle name="Normal 7 4 2 4 6" xfId="8032"/>
    <cellStyle name="Normal 7 4 2 4 6 2" xfId="20413"/>
    <cellStyle name="Normal 7 4 2 4 7" xfId="16924"/>
    <cellStyle name="Normal 7 4 2 5" xfId="1201"/>
    <cellStyle name="Normal 7 4 2 5 2" xfId="3632"/>
    <cellStyle name="Normal 7 4 2 5 2 2" xfId="12770"/>
    <cellStyle name="Normal 7 4 2 5 2 2 2" xfId="22989"/>
    <cellStyle name="Normal 7 4 2 5 2 3" xfId="9191"/>
    <cellStyle name="Normal 7 4 2 5 2 4" xfId="17982"/>
    <cellStyle name="Normal 7 4 2 5 3" xfId="5295"/>
    <cellStyle name="Normal 7 4 2 5 3 2" xfId="14134"/>
    <cellStyle name="Normal 7 4 2 5 3 2 2" xfId="24385"/>
    <cellStyle name="Normal 7 4 2 5 3 3" xfId="10555"/>
    <cellStyle name="Normal 7 4 2 5 3 4" xfId="19378"/>
    <cellStyle name="Normal 7 4 2 5 4" xfId="1805"/>
    <cellStyle name="Normal 7 4 2 5 4 2" xfId="11176"/>
    <cellStyle name="Normal 7 4 2 5 4 3" xfId="21180"/>
    <cellStyle name="Normal 7 4 2 5 5" xfId="6752"/>
    <cellStyle name="Normal 7 4 2 5 5 2" xfId="15579"/>
    <cellStyle name="Normal 7 4 2 5 5 3" xfId="25830"/>
    <cellStyle name="Normal 7 4 2 5 6" xfId="8198"/>
    <cellStyle name="Normal 7 4 2 5 6 2" xfId="20588"/>
    <cellStyle name="Normal 7 4 2 5 7" xfId="16173"/>
    <cellStyle name="Normal 7 4 2 6" xfId="2700"/>
    <cellStyle name="Normal 7 4 2 6 2" xfId="12019"/>
    <cellStyle name="Normal 7 4 2 6 2 2" xfId="22063"/>
    <cellStyle name="Normal 7 4 2 6 3" xfId="8652"/>
    <cellStyle name="Normal 7 4 2 6 4" xfId="17056"/>
    <cellStyle name="Normal 7 4 2 7" xfId="4251"/>
    <cellStyle name="Normal 7 4 2 7 2" xfId="13091"/>
    <cellStyle name="Normal 7 4 2 7 2 2" xfId="23342"/>
    <cellStyle name="Normal 7 4 2 7 3" xfId="9512"/>
    <cellStyle name="Normal 7 4 2 7 4" xfId="18335"/>
    <cellStyle name="Normal 7 4 2 8" xfId="1523"/>
    <cellStyle name="Normal 7 4 2 8 2" xfId="10902"/>
    <cellStyle name="Normal 7 4 2 8 3" xfId="20906"/>
    <cellStyle name="Normal 7 4 2 9" xfId="5709"/>
    <cellStyle name="Normal 7 4 2 9 2" xfId="14536"/>
    <cellStyle name="Normal 7 4 2 9 3" xfId="24787"/>
    <cellStyle name="Normal 7 4 2_Degree data" xfId="4081"/>
    <cellStyle name="Normal 7 4 3" xfId="268"/>
    <cellStyle name="Normal 7 4 3 10" xfId="7110"/>
    <cellStyle name="Normal 7 4 3 10 2" xfId="19724"/>
    <cellStyle name="Normal 7 4 3 11" xfId="15856"/>
    <cellStyle name="Normal 7 4 3 2" xfId="591"/>
    <cellStyle name="Normal 7 4 3 2 2" xfId="976"/>
    <cellStyle name="Normal 7 4 3 2 2 2" xfId="3454"/>
    <cellStyle name="Normal 7 4 3 2 2 2 2" xfId="12598"/>
    <cellStyle name="Normal 7 4 3 2 2 2 2 2" xfId="22817"/>
    <cellStyle name="Normal 7 4 3 2 2 2 3" xfId="9020"/>
    <cellStyle name="Normal 7 4 3 2 2 2 4" xfId="17810"/>
    <cellStyle name="Normal 7 4 3 2 2 3" xfId="4784"/>
    <cellStyle name="Normal 7 4 3 2 2 3 2" xfId="13623"/>
    <cellStyle name="Normal 7 4 3 2 2 3 2 2" xfId="23874"/>
    <cellStyle name="Normal 7 4 3 2 2 3 3" xfId="10044"/>
    <cellStyle name="Normal 7 4 3 2 2 3 4" xfId="18867"/>
    <cellStyle name="Normal 7 4 3 2 2 4" xfId="2563"/>
    <cellStyle name="Normal 7 4 3 2 2 4 2" xfId="11930"/>
    <cellStyle name="Normal 7 4 3 2 2 4 3" xfId="21934"/>
    <cellStyle name="Normal 7 4 3 2 2 5" xfId="6241"/>
    <cellStyle name="Normal 7 4 3 2 2 5 2" xfId="15068"/>
    <cellStyle name="Normal 7 4 3 2 2 5 3" xfId="25319"/>
    <cellStyle name="Normal 7 4 3 2 2 6" xfId="7687"/>
    <cellStyle name="Normal 7 4 3 2 2 6 2" xfId="20416"/>
    <cellStyle name="Normal 7 4 3 2 2 7" xfId="16927"/>
    <cellStyle name="Normal 7 4 3 2 3" xfId="1363"/>
    <cellStyle name="Normal 7 4 3 2 3 2" xfId="3794"/>
    <cellStyle name="Normal 7 4 3 2 3 2 2" xfId="12932"/>
    <cellStyle name="Normal 7 4 3 2 3 2 2 2" xfId="23151"/>
    <cellStyle name="Normal 7 4 3 2 3 2 3" xfId="9353"/>
    <cellStyle name="Normal 7 4 3 2 3 2 4" xfId="18144"/>
    <cellStyle name="Normal 7 4 3 2 3 3" xfId="5132"/>
    <cellStyle name="Normal 7 4 3 2 3 3 2" xfId="13971"/>
    <cellStyle name="Normal 7 4 3 2 3 3 2 2" xfId="24222"/>
    <cellStyle name="Normal 7 4 3 2 3 3 3" xfId="10392"/>
    <cellStyle name="Normal 7 4 3 2 3 3 4" xfId="19215"/>
    <cellStyle name="Normal 7 4 3 2 3 4" xfId="2188"/>
    <cellStyle name="Normal 7 4 3 2 3 4 2" xfId="11555"/>
    <cellStyle name="Normal 7 4 3 2 3 4 3" xfId="21559"/>
    <cellStyle name="Normal 7 4 3 2 3 5" xfId="6589"/>
    <cellStyle name="Normal 7 4 3 2 3 5 2" xfId="15416"/>
    <cellStyle name="Normal 7 4 3 2 3 5 3" xfId="25667"/>
    <cellStyle name="Normal 7 4 3 2 3 6" xfId="8035"/>
    <cellStyle name="Normal 7 4 3 2 3 6 2" xfId="20750"/>
    <cellStyle name="Normal 7 4 3 2 3 7" xfId="16552"/>
    <cellStyle name="Normal 7 4 3 2 4" xfId="3079"/>
    <cellStyle name="Normal 7 4 3 2 4 2" xfId="5457"/>
    <cellStyle name="Normal 7 4 3 2 4 2 2" xfId="14296"/>
    <cellStyle name="Normal 7 4 3 2 4 2 2 2" xfId="24547"/>
    <cellStyle name="Normal 7 4 3 2 4 2 3" xfId="10717"/>
    <cellStyle name="Normal 7 4 3 2 4 2 4" xfId="19540"/>
    <cellStyle name="Normal 7 4 3 2 4 3" xfId="6914"/>
    <cellStyle name="Normal 7 4 3 2 4 3 2" xfId="15741"/>
    <cellStyle name="Normal 7 4 3 2 4 3 3" xfId="25992"/>
    <cellStyle name="Normal 7 4 3 2 4 4" xfId="8360"/>
    <cellStyle name="Normal 7 4 3 2 4 4 2" xfId="22442"/>
    <cellStyle name="Normal 7 4 3 2 4 5" xfId="17435"/>
    <cellStyle name="Normal 7 4 3 2 5" xfId="4413"/>
    <cellStyle name="Normal 7 4 3 2 5 2" xfId="13253"/>
    <cellStyle name="Normal 7 4 3 2 5 2 2" xfId="23504"/>
    <cellStyle name="Normal 7 4 3 2 5 3" xfId="9674"/>
    <cellStyle name="Normal 7 4 3 2 5 4" xfId="18497"/>
    <cellStyle name="Normal 7 4 3 2 6" xfId="1685"/>
    <cellStyle name="Normal 7 4 3 2 6 2" xfId="11064"/>
    <cellStyle name="Normal 7 4 3 2 6 3" xfId="21068"/>
    <cellStyle name="Normal 7 4 3 2 7" xfId="5871"/>
    <cellStyle name="Normal 7 4 3 2 7 2" xfId="14698"/>
    <cellStyle name="Normal 7 4 3 2 7 3" xfId="24949"/>
    <cellStyle name="Normal 7 4 3 2 8" xfId="7315"/>
    <cellStyle name="Normal 7 4 3 2 8 2" xfId="20041"/>
    <cellStyle name="Normal 7 4 3 2 9" xfId="16061"/>
    <cellStyle name="Normal 7 4 3 2_Degree data" xfId="4084"/>
    <cellStyle name="Normal 7 4 3 3" xfId="386"/>
    <cellStyle name="Normal 7 4 3 3 2" xfId="2874"/>
    <cellStyle name="Normal 7 4 3 3 2 2" xfId="12164"/>
    <cellStyle name="Normal 7 4 3 3 2 2 2" xfId="22237"/>
    <cellStyle name="Normal 7 4 3 3 2 3" xfId="8538"/>
    <cellStyle name="Normal 7 4 3 3 2 4" xfId="17230"/>
    <cellStyle name="Normal 7 4 3 3 3" xfId="4783"/>
    <cellStyle name="Normal 7 4 3 3 3 2" xfId="13622"/>
    <cellStyle name="Normal 7 4 3 3 3 2 2" xfId="23873"/>
    <cellStyle name="Normal 7 4 3 3 3 3" xfId="10043"/>
    <cellStyle name="Normal 7 4 3 3 3 4" xfId="18866"/>
    <cellStyle name="Normal 7 4 3 3 4" xfId="1983"/>
    <cellStyle name="Normal 7 4 3 3 4 2" xfId="11350"/>
    <cellStyle name="Normal 7 4 3 3 4 3" xfId="21354"/>
    <cellStyle name="Normal 7 4 3 3 5" xfId="6240"/>
    <cellStyle name="Normal 7 4 3 3 5 2" xfId="15067"/>
    <cellStyle name="Normal 7 4 3 3 5 3" xfId="25318"/>
    <cellStyle name="Normal 7 4 3 3 6" xfId="7686"/>
    <cellStyle name="Normal 7 4 3 3 6 2" xfId="19836"/>
    <cellStyle name="Normal 7 4 3 3 7" xfId="16347"/>
    <cellStyle name="Normal 7 4 3 4" xfId="975"/>
    <cellStyle name="Normal 7 4 3 4 2" xfId="3453"/>
    <cellStyle name="Normal 7 4 3 4 2 2" xfId="12597"/>
    <cellStyle name="Normal 7 4 3 4 2 2 2" xfId="22816"/>
    <cellStyle name="Normal 7 4 3 4 2 3" xfId="9019"/>
    <cellStyle name="Normal 7 4 3 4 2 4" xfId="17809"/>
    <cellStyle name="Normal 7 4 3 4 3" xfId="5131"/>
    <cellStyle name="Normal 7 4 3 4 3 2" xfId="13970"/>
    <cellStyle name="Normal 7 4 3 4 3 2 2" xfId="24221"/>
    <cellStyle name="Normal 7 4 3 4 3 3" xfId="10391"/>
    <cellStyle name="Normal 7 4 3 4 3 4" xfId="19214"/>
    <cellStyle name="Normal 7 4 3 4 4" xfId="2562"/>
    <cellStyle name="Normal 7 4 3 4 4 2" xfId="11929"/>
    <cellStyle name="Normal 7 4 3 4 4 3" xfId="21933"/>
    <cellStyle name="Normal 7 4 3 4 5" xfId="6588"/>
    <cellStyle name="Normal 7 4 3 4 5 2" xfId="15415"/>
    <cellStyle name="Normal 7 4 3 4 5 3" xfId="25666"/>
    <cellStyle name="Normal 7 4 3 4 6" xfId="8034"/>
    <cellStyle name="Normal 7 4 3 4 6 2" xfId="20415"/>
    <cellStyle name="Normal 7 4 3 4 7" xfId="16926"/>
    <cellStyle name="Normal 7 4 3 5" xfId="1158"/>
    <cellStyle name="Normal 7 4 3 5 2" xfId="3589"/>
    <cellStyle name="Normal 7 4 3 5 2 2" xfId="12727"/>
    <cellStyle name="Normal 7 4 3 5 2 2 2" xfId="22946"/>
    <cellStyle name="Normal 7 4 3 5 2 3" xfId="9148"/>
    <cellStyle name="Normal 7 4 3 5 2 4" xfId="17939"/>
    <cellStyle name="Normal 7 4 3 5 3" xfId="5252"/>
    <cellStyle name="Normal 7 4 3 5 3 2" xfId="14091"/>
    <cellStyle name="Normal 7 4 3 5 3 2 2" xfId="24342"/>
    <cellStyle name="Normal 7 4 3 5 3 3" xfId="10512"/>
    <cellStyle name="Normal 7 4 3 5 3 4" xfId="19335"/>
    <cellStyle name="Normal 7 4 3 5 4" xfId="1868"/>
    <cellStyle name="Normal 7 4 3 5 4 2" xfId="11238"/>
    <cellStyle name="Normal 7 4 3 5 4 3" xfId="21242"/>
    <cellStyle name="Normal 7 4 3 5 5" xfId="6709"/>
    <cellStyle name="Normal 7 4 3 5 5 2" xfId="15536"/>
    <cellStyle name="Normal 7 4 3 5 5 3" xfId="25787"/>
    <cellStyle name="Normal 7 4 3 5 6" xfId="8155"/>
    <cellStyle name="Normal 7 4 3 5 6 2" xfId="20545"/>
    <cellStyle name="Normal 7 4 3 5 7" xfId="16235"/>
    <cellStyle name="Normal 7 4 3 6" xfId="2762"/>
    <cellStyle name="Normal 7 4 3 6 2" xfId="12081"/>
    <cellStyle name="Normal 7 4 3 6 2 2" xfId="22125"/>
    <cellStyle name="Normal 7 4 3 6 3" xfId="8558"/>
    <cellStyle name="Normal 7 4 3 6 4" xfId="17118"/>
    <cellStyle name="Normal 7 4 3 7" xfId="4208"/>
    <cellStyle name="Normal 7 4 3 7 2" xfId="13048"/>
    <cellStyle name="Normal 7 4 3 7 2 2" xfId="23299"/>
    <cellStyle name="Normal 7 4 3 7 3" xfId="9469"/>
    <cellStyle name="Normal 7 4 3 7 4" xfId="18292"/>
    <cellStyle name="Normal 7 4 3 8" xfId="1480"/>
    <cellStyle name="Normal 7 4 3 8 2" xfId="10859"/>
    <cellStyle name="Normal 7 4 3 8 3" xfId="20863"/>
    <cellStyle name="Normal 7 4 3 9" xfId="5666"/>
    <cellStyle name="Normal 7 4 3 9 2" xfId="14493"/>
    <cellStyle name="Normal 7 4 3 9 3" xfId="24744"/>
    <cellStyle name="Normal 7 4 3_Degree data" xfId="4083"/>
    <cellStyle name="Normal 7 4 4" xfId="486"/>
    <cellStyle name="Normal 7 4 4 2" xfId="977"/>
    <cellStyle name="Normal 7 4 4 2 2" xfId="3455"/>
    <cellStyle name="Normal 7 4 4 2 2 2" xfId="12599"/>
    <cellStyle name="Normal 7 4 4 2 2 2 2" xfId="22818"/>
    <cellStyle name="Normal 7 4 4 2 2 3" xfId="9021"/>
    <cellStyle name="Normal 7 4 4 2 2 4" xfId="17811"/>
    <cellStyle name="Normal 7 4 4 2 3" xfId="4785"/>
    <cellStyle name="Normal 7 4 4 2 3 2" xfId="13624"/>
    <cellStyle name="Normal 7 4 4 2 3 2 2" xfId="23875"/>
    <cellStyle name="Normal 7 4 4 2 3 3" xfId="10045"/>
    <cellStyle name="Normal 7 4 4 2 3 4" xfId="18868"/>
    <cellStyle name="Normal 7 4 4 2 4" xfId="2564"/>
    <cellStyle name="Normal 7 4 4 2 4 2" xfId="11931"/>
    <cellStyle name="Normal 7 4 4 2 4 3" xfId="21935"/>
    <cellStyle name="Normal 7 4 4 2 5" xfId="6242"/>
    <cellStyle name="Normal 7 4 4 2 5 2" xfId="15069"/>
    <cellStyle name="Normal 7 4 4 2 5 3" xfId="25320"/>
    <cellStyle name="Normal 7 4 4 2 6" xfId="7688"/>
    <cellStyle name="Normal 7 4 4 2 6 2" xfId="20417"/>
    <cellStyle name="Normal 7 4 4 2 7" xfId="16928"/>
    <cellStyle name="Normal 7 4 4 3" xfId="1258"/>
    <cellStyle name="Normal 7 4 4 3 2" xfId="3689"/>
    <cellStyle name="Normal 7 4 4 3 2 2" xfId="12827"/>
    <cellStyle name="Normal 7 4 4 3 2 2 2" xfId="23046"/>
    <cellStyle name="Normal 7 4 4 3 2 3" xfId="9248"/>
    <cellStyle name="Normal 7 4 4 3 2 4" xfId="18039"/>
    <cellStyle name="Normal 7 4 4 3 3" xfId="5133"/>
    <cellStyle name="Normal 7 4 4 3 3 2" xfId="13972"/>
    <cellStyle name="Normal 7 4 4 3 3 2 2" xfId="24223"/>
    <cellStyle name="Normal 7 4 4 3 3 3" xfId="10393"/>
    <cellStyle name="Normal 7 4 4 3 3 4" xfId="19216"/>
    <cellStyle name="Normal 7 4 4 3 4" xfId="2083"/>
    <cellStyle name="Normal 7 4 4 3 4 2" xfId="11450"/>
    <cellStyle name="Normal 7 4 4 3 4 3" xfId="21454"/>
    <cellStyle name="Normal 7 4 4 3 5" xfId="6590"/>
    <cellStyle name="Normal 7 4 4 3 5 2" xfId="15417"/>
    <cellStyle name="Normal 7 4 4 3 5 3" xfId="25668"/>
    <cellStyle name="Normal 7 4 4 3 6" xfId="8036"/>
    <cellStyle name="Normal 7 4 4 3 6 2" xfId="20645"/>
    <cellStyle name="Normal 7 4 4 3 7" xfId="16447"/>
    <cellStyle name="Normal 7 4 4 4" xfId="2974"/>
    <cellStyle name="Normal 7 4 4 4 2" xfId="5352"/>
    <cellStyle name="Normal 7 4 4 4 2 2" xfId="14191"/>
    <cellStyle name="Normal 7 4 4 4 2 2 2" xfId="24442"/>
    <cellStyle name="Normal 7 4 4 4 2 3" xfId="10612"/>
    <cellStyle name="Normal 7 4 4 4 2 4" xfId="19435"/>
    <cellStyle name="Normal 7 4 4 4 3" xfId="6809"/>
    <cellStyle name="Normal 7 4 4 4 3 2" xfId="15636"/>
    <cellStyle name="Normal 7 4 4 4 3 3" xfId="25887"/>
    <cellStyle name="Normal 7 4 4 4 4" xfId="8255"/>
    <cellStyle name="Normal 7 4 4 4 4 2" xfId="22337"/>
    <cellStyle name="Normal 7 4 4 4 5" xfId="17330"/>
    <cellStyle name="Normal 7 4 4 5" xfId="4308"/>
    <cellStyle name="Normal 7 4 4 5 2" xfId="13148"/>
    <cellStyle name="Normal 7 4 4 5 2 2" xfId="23399"/>
    <cellStyle name="Normal 7 4 4 5 3" xfId="9569"/>
    <cellStyle name="Normal 7 4 4 5 4" xfId="18392"/>
    <cellStyle name="Normal 7 4 4 6" xfId="1580"/>
    <cellStyle name="Normal 7 4 4 6 2" xfId="10959"/>
    <cellStyle name="Normal 7 4 4 6 3" xfId="20963"/>
    <cellStyle name="Normal 7 4 4 7" xfId="5766"/>
    <cellStyle name="Normal 7 4 4 7 2" xfId="14593"/>
    <cellStyle name="Normal 7 4 4 7 3" xfId="24844"/>
    <cellStyle name="Normal 7 4 4 8" xfId="7210"/>
    <cellStyle name="Normal 7 4 4 8 2" xfId="19936"/>
    <cellStyle name="Normal 7 4 4 9" xfId="15956"/>
    <cellStyle name="Normal 7 4 4_Degree data" xfId="4085"/>
    <cellStyle name="Normal 7 4 5" xfId="327"/>
    <cellStyle name="Normal 7 4 5 2" xfId="2815"/>
    <cellStyle name="Normal 7 4 5 2 2" xfId="12121"/>
    <cellStyle name="Normal 7 4 5 2 2 2" xfId="22178"/>
    <cellStyle name="Normal 7 4 5 2 3" xfId="8438"/>
    <cellStyle name="Normal 7 4 5 2 4" xfId="17171"/>
    <cellStyle name="Normal 7 4 5 3" xfId="4780"/>
    <cellStyle name="Normal 7 4 5 3 2" xfId="13619"/>
    <cellStyle name="Normal 7 4 5 3 2 2" xfId="23870"/>
    <cellStyle name="Normal 7 4 5 3 3" xfId="10040"/>
    <cellStyle name="Normal 7 4 5 3 4" xfId="18863"/>
    <cellStyle name="Normal 7 4 5 4" xfId="1924"/>
    <cellStyle name="Normal 7 4 5 4 2" xfId="11291"/>
    <cellStyle name="Normal 7 4 5 4 3" xfId="21295"/>
    <cellStyle name="Normal 7 4 5 5" xfId="6237"/>
    <cellStyle name="Normal 7 4 5 5 2" xfId="15064"/>
    <cellStyle name="Normal 7 4 5 5 3" xfId="25315"/>
    <cellStyle name="Normal 7 4 5 6" xfId="7683"/>
    <cellStyle name="Normal 7 4 5 6 2" xfId="19777"/>
    <cellStyle name="Normal 7 4 5 7" xfId="16288"/>
    <cellStyle name="Normal 7 4 6" xfId="972"/>
    <cellStyle name="Normal 7 4 6 2" xfId="3450"/>
    <cellStyle name="Normal 7 4 6 2 2" xfId="12594"/>
    <cellStyle name="Normal 7 4 6 2 2 2" xfId="22813"/>
    <cellStyle name="Normal 7 4 6 2 3" xfId="9016"/>
    <cellStyle name="Normal 7 4 6 2 4" xfId="17806"/>
    <cellStyle name="Normal 7 4 6 3" xfId="5128"/>
    <cellStyle name="Normal 7 4 6 3 2" xfId="13967"/>
    <cellStyle name="Normal 7 4 6 3 2 2" xfId="24218"/>
    <cellStyle name="Normal 7 4 6 3 3" xfId="10388"/>
    <cellStyle name="Normal 7 4 6 3 4" xfId="19211"/>
    <cellStyle name="Normal 7 4 6 4" xfId="2559"/>
    <cellStyle name="Normal 7 4 6 4 2" xfId="11926"/>
    <cellStyle name="Normal 7 4 6 4 3" xfId="21930"/>
    <cellStyle name="Normal 7 4 6 5" xfId="6585"/>
    <cellStyle name="Normal 7 4 6 5 2" xfId="15412"/>
    <cellStyle name="Normal 7 4 6 5 3" xfId="25663"/>
    <cellStyle name="Normal 7 4 6 6" xfId="8031"/>
    <cellStyle name="Normal 7 4 6 6 2" xfId="20412"/>
    <cellStyle name="Normal 7 4 6 7" xfId="16923"/>
    <cellStyle name="Normal 7 4 7" xfId="1099"/>
    <cellStyle name="Normal 7 4 7 2" xfId="3530"/>
    <cellStyle name="Normal 7 4 7 2 2" xfId="12668"/>
    <cellStyle name="Normal 7 4 7 2 2 2" xfId="22887"/>
    <cellStyle name="Normal 7 4 7 2 3" xfId="9090"/>
    <cellStyle name="Normal 7 4 7 2 4" xfId="17880"/>
    <cellStyle name="Normal 7 4 7 3" xfId="5193"/>
    <cellStyle name="Normal 7 4 7 3 2" xfId="14032"/>
    <cellStyle name="Normal 7 4 7 3 2 2" xfId="24283"/>
    <cellStyle name="Normal 7 4 7 3 3" xfId="10453"/>
    <cellStyle name="Normal 7 4 7 3 4" xfId="19276"/>
    <cellStyle name="Normal 7 4 7 4" xfId="1759"/>
    <cellStyle name="Normal 7 4 7 4 2" xfId="11132"/>
    <cellStyle name="Normal 7 4 7 4 3" xfId="21136"/>
    <cellStyle name="Normal 7 4 7 5" xfId="6650"/>
    <cellStyle name="Normal 7 4 7 5 2" xfId="15477"/>
    <cellStyle name="Normal 7 4 7 5 3" xfId="25728"/>
    <cellStyle name="Normal 7 4 7 6" xfId="8096"/>
    <cellStyle name="Normal 7 4 7 6 2" xfId="20486"/>
    <cellStyle name="Normal 7 4 7 7" xfId="16129"/>
    <cellStyle name="Normal 7 4 8" xfId="2657"/>
    <cellStyle name="Normal 7 4 8 2" xfId="5607"/>
    <cellStyle name="Normal 7 4 8 2 2" xfId="14434"/>
    <cellStyle name="Normal 7 4 8 2 3" xfId="24685"/>
    <cellStyle name="Normal 7 4 8 3" xfId="7051"/>
    <cellStyle name="Normal 7 4 8 3 2" xfId="22020"/>
    <cellStyle name="Normal 7 4 8 4" xfId="17013"/>
    <cellStyle name="Normal 7 4 9" xfId="4147"/>
    <cellStyle name="Normal 7 4 9 2" xfId="12987"/>
    <cellStyle name="Normal 7 4 9 2 2" xfId="23238"/>
    <cellStyle name="Normal 7 4 9 3" xfId="9408"/>
    <cellStyle name="Normal 7 4 9 4" xfId="18231"/>
    <cellStyle name="Normal 7 4_Degree data" xfId="4080"/>
    <cellStyle name="Normal 7 5" xfId="184"/>
    <cellStyle name="Normal 7 5 10" xfId="7136"/>
    <cellStyle name="Normal 7 5 10 2" xfId="19645"/>
    <cellStyle name="Normal 7 5 11" xfId="15882"/>
    <cellStyle name="Normal 7 5 2" xfId="512"/>
    <cellStyle name="Normal 7 5 2 2" xfId="979"/>
    <cellStyle name="Normal 7 5 2 2 2" xfId="3457"/>
    <cellStyle name="Normal 7 5 2 2 2 2" xfId="12601"/>
    <cellStyle name="Normal 7 5 2 2 2 2 2" xfId="22820"/>
    <cellStyle name="Normal 7 5 2 2 2 3" xfId="9023"/>
    <cellStyle name="Normal 7 5 2 2 2 4" xfId="17813"/>
    <cellStyle name="Normal 7 5 2 2 3" xfId="4787"/>
    <cellStyle name="Normal 7 5 2 2 3 2" xfId="13626"/>
    <cellStyle name="Normal 7 5 2 2 3 2 2" xfId="23877"/>
    <cellStyle name="Normal 7 5 2 2 3 3" xfId="10047"/>
    <cellStyle name="Normal 7 5 2 2 3 4" xfId="18870"/>
    <cellStyle name="Normal 7 5 2 2 4" xfId="2566"/>
    <cellStyle name="Normal 7 5 2 2 4 2" xfId="11933"/>
    <cellStyle name="Normal 7 5 2 2 4 3" xfId="21937"/>
    <cellStyle name="Normal 7 5 2 2 5" xfId="6244"/>
    <cellStyle name="Normal 7 5 2 2 5 2" xfId="15071"/>
    <cellStyle name="Normal 7 5 2 2 5 3" xfId="25322"/>
    <cellStyle name="Normal 7 5 2 2 6" xfId="7690"/>
    <cellStyle name="Normal 7 5 2 2 6 2" xfId="20419"/>
    <cellStyle name="Normal 7 5 2 2 7" xfId="16930"/>
    <cellStyle name="Normal 7 5 2 3" xfId="1284"/>
    <cellStyle name="Normal 7 5 2 3 2" xfId="3715"/>
    <cellStyle name="Normal 7 5 2 3 2 2" xfId="12853"/>
    <cellStyle name="Normal 7 5 2 3 2 2 2" xfId="23072"/>
    <cellStyle name="Normal 7 5 2 3 2 3" xfId="9274"/>
    <cellStyle name="Normal 7 5 2 3 2 4" xfId="18065"/>
    <cellStyle name="Normal 7 5 2 3 3" xfId="5135"/>
    <cellStyle name="Normal 7 5 2 3 3 2" xfId="13974"/>
    <cellStyle name="Normal 7 5 2 3 3 2 2" xfId="24225"/>
    <cellStyle name="Normal 7 5 2 3 3 3" xfId="10395"/>
    <cellStyle name="Normal 7 5 2 3 3 4" xfId="19218"/>
    <cellStyle name="Normal 7 5 2 3 4" xfId="2109"/>
    <cellStyle name="Normal 7 5 2 3 4 2" xfId="11476"/>
    <cellStyle name="Normal 7 5 2 3 4 3" xfId="21480"/>
    <cellStyle name="Normal 7 5 2 3 5" xfId="6592"/>
    <cellStyle name="Normal 7 5 2 3 5 2" xfId="15419"/>
    <cellStyle name="Normal 7 5 2 3 5 3" xfId="25670"/>
    <cellStyle name="Normal 7 5 2 3 6" xfId="8038"/>
    <cellStyle name="Normal 7 5 2 3 6 2" xfId="20671"/>
    <cellStyle name="Normal 7 5 2 3 7" xfId="16473"/>
    <cellStyle name="Normal 7 5 2 4" xfId="3000"/>
    <cellStyle name="Normal 7 5 2 4 2" xfId="5378"/>
    <cellStyle name="Normal 7 5 2 4 2 2" xfId="14217"/>
    <cellStyle name="Normal 7 5 2 4 2 2 2" xfId="24468"/>
    <cellStyle name="Normal 7 5 2 4 2 3" xfId="10638"/>
    <cellStyle name="Normal 7 5 2 4 2 4" xfId="19461"/>
    <cellStyle name="Normal 7 5 2 4 3" xfId="6835"/>
    <cellStyle name="Normal 7 5 2 4 3 2" xfId="15662"/>
    <cellStyle name="Normal 7 5 2 4 3 3" xfId="25913"/>
    <cellStyle name="Normal 7 5 2 4 4" xfId="8281"/>
    <cellStyle name="Normal 7 5 2 4 4 2" xfId="22363"/>
    <cellStyle name="Normal 7 5 2 4 5" xfId="17356"/>
    <cellStyle name="Normal 7 5 2 5" xfId="4334"/>
    <cellStyle name="Normal 7 5 2 5 2" xfId="13174"/>
    <cellStyle name="Normal 7 5 2 5 2 2" xfId="23425"/>
    <cellStyle name="Normal 7 5 2 5 3" xfId="9595"/>
    <cellStyle name="Normal 7 5 2 5 4" xfId="18418"/>
    <cellStyle name="Normal 7 5 2 6" xfId="1606"/>
    <cellStyle name="Normal 7 5 2 6 2" xfId="10985"/>
    <cellStyle name="Normal 7 5 2 6 3" xfId="20989"/>
    <cellStyle name="Normal 7 5 2 7" xfId="5792"/>
    <cellStyle name="Normal 7 5 2 7 2" xfId="14619"/>
    <cellStyle name="Normal 7 5 2 7 3" xfId="24870"/>
    <cellStyle name="Normal 7 5 2 8" xfId="7236"/>
    <cellStyle name="Normal 7 5 2 8 2" xfId="19962"/>
    <cellStyle name="Normal 7 5 2 9" xfId="15982"/>
    <cellStyle name="Normal 7 5 2_Degree data" xfId="4087"/>
    <cellStyle name="Normal 7 5 3" xfId="412"/>
    <cellStyle name="Normal 7 5 3 2" xfId="2900"/>
    <cellStyle name="Normal 7 5 3 2 2" xfId="12190"/>
    <cellStyle name="Normal 7 5 3 2 2 2" xfId="22263"/>
    <cellStyle name="Normal 7 5 3 2 3" xfId="8595"/>
    <cellStyle name="Normal 7 5 3 2 4" xfId="17256"/>
    <cellStyle name="Normal 7 5 3 3" xfId="4786"/>
    <cellStyle name="Normal 7 5 3 3 2" xfId="13625"/>
    <cellStyle name="Normal 7 5 3 3 2 2" xfId="23876"/>
    <cellStyle name="Normal 7 5 3 3 3" xfId="10046"/>
    <cellStyle name="Normal 7 5 3 3 4" xfId="18869"/>
    <cellStyle name="Normal 7 5 3 4" xfId="2009"/>
    <cellStyle name="Normal 7 5 3 4 2" xfId="11376"/>
    <cellStyle name="Normal 7 5 3 4 3" xfId="21380"/>
    <cellStyle name="Normal 7 5 3 5" xfId="6243"/>
    <cellStyle name="Normal 7 5 3 5 2" xfId="15070"/>
    <cellStyle name="Normal 7 5 3 5 3" xfId="25321"/>
    <cellStyle name="Normal 7 5 3 6" xfId="7689"/>
    <cellStyle name="Normal 7 5 3 6 2" xfId="19862"/>
    <cellStyle name="Normal 7 5 3 7" xfId="16373"/>
    <cellStyle name="Normal 7 5 4" xfId="978"/>
    <cellStyle name="Normal 7 5 4 2" xfId="3456"/>
    <cellStyle name="Normal 7 5 4 2 2" xfId="12600"/>
    <cellStyle name="Normal 7 5 4 2 2 2" xfId="22819"/>
    <cellStyle name="Normal 7 5 4 2 3" xfId="9022"/>
    <cellStyle name="Normal 7 5 4 2 4" xfId="17812"/>
    <cellStyle name="Normal 7 5 4 3" xfId="5134"/>
    <cellStyle name="Normal 7 5 4 3 2" xfId="13973"/>
    <cellStyle name="Normal 7 5 4 3 2 2" xfId="24224"/>
    <cellStyle name="Normal 7 5 4 3 3" xfId="10394"/>
    <cellStyle name="Normal 7 5 4 3 4" xfId="19217"/>
    <cellStyle name="Normal 7 5 4 4" xfId="2565"/>
    <cellStyle name="Normal 7 5 4 4 2" xfId="11932"/>
    <cellStyle name="Normal 7 5 4 4 3" xfId="21936"/>
    <cellStyle name="Normal 7 5 4 5" xfId="6591"/>
    <cellStyle name="Normal 7 5 4 5 2" xfId="15418"/>
    <cellStyle name="Normal 7 5 4 5 3" xfId="25669"/>
    <cellStyle name="Normal 7 5 4 6" xfId="8037"/>
    <cellStyle name="Normal 7 5 4 6 2" xfId="20418"/>
    <cellStyle name="Normal 7 5 4 7" xfId="16929"/>
    <cellStyle name="Normal 7 5 5" xfId="1184"/>
    <cellStyle name="Normal 7 5 5 2" xfId="3615"/>
    <cellStyle name="Normal 7 5 5 2 2" xfId="12753"/>
    <cellStyle name="Normal 7 5 5 2 2 2" xfId="22972"/>
    <cellStyle name="Normal 7 5 5 2 3" xfId="9174"/>
    <cellStyle name="Normal 7 5 5 2 4" xfId="17965"/>
    <cellStyle name="Normal 7 5 5 3" xfId="5278"/>
    <cellStyle name="Normal 7 5 5 3 2" xfId="14117"/>
    <cellStyle name="Normal 7 5 5 3 2 2" xfId="24368"/>
    <cellStyle name="Normal 7 5 5 3 3" xfId="10538"/>
    <cellStyle name="Normal 7 5 5 3 4" xfId="19361"/>
    <cellStyle name="Normal 7 5 5 4" xfId="1788"/>
    <cellStyle name="Normal 7 5 5 4 2" xfId="11159"/>
    <cellStyle name="Normal 7 5 5 4 3" xfId="21163"/>
    <cellStyle name="Normal 7 5 5 5" xfId="6735"/>
    <cellStyle name="Normal 7 5 5 5 2" xfId="15562"/>
    <cellStyle name="Normal 7 5 5 5 3" xfId="25813"/>
    <cellStyle name="Normal 7 5 5 6" xfId="8181"/>
    <cellStyle name="Normal 7 5 5 6 2" xfId="20571"/>
    <cellStyle name="Normal 7 5 5 7" xfId="16156"/>
    <cellStyle name="Normal 7 5 6" xfId="2683"/>
    <cellStyle name="Normal 7 5 6 2" xfId="12002"/>
    <cellStyle name="Normal 7 5 6 2 2" xfId="22046"/>
    <cellStyle name="Normal 7 5 6 3" xfId="8437"/>
    <cellStyle name="Normal 7 5 6 4" xfId="17039"/>
    <cellStyle name="Normal 7 5 7" xfId="4234"/>
    <cellStyle name="Normal 7 5 7 2" xfId="13074"/>
    <cellStyle name="Normal 7 5 7 2 2" xfId="23325"/>
    <cellStyle name="Normal 7 5 7 3" xfId="9495"/>
    <cellStyle name="Normal 7 5 7 4" xfId="18318"/>
    <cellStyle name="Normal 7 5 8" xfId="1506"/>
    <cellStyle name="Normal 7 5 8 2" xfId="10885"/>
    <cellStyle name="Normal 7 5 8 3" xfId="20889"/>
    <cellStyle name="Normal 7 5 9" xfId="5692"/>
    <cellStyle name="Normal 7 5 9 2" xfId="14519"/>
    <cellStyle name="Normal 7 5 9 3" xfId="24770"/>
    <cellStyle name="Normal 7 5_Degree data" xfId="4086"/>
    <cellStyle name="Normal 7 6" xfId="237"/>
    <cellStyle name="Normal 7 6 10" xfId="7079"/>
    <cellStyle name="Normal 7 6 10 2" xfId="19693"/>
    <cellStyle name="Normal 7 6 11" xfId="15825"/>
    <cellStyle name="Normal 7 6 2" xfId="560"/>
    <cellStyle name="Normal 7 6 2 2" xfId="981"/>
    <cellStyle name="Normal 7 6 2 2 2" xfId="3459"/>
    <cellStyle name="Normal 7 6 2 2 2 2" xfId="12603"/>
    <cellStyle name="Normal 7 6 2 2 2 2 2" xfId="22822"/>
    <cellStyle name="Normal 7 6 2 2 2 3" xfId="9025"/>
    <cellStyle name="Normal 7 6 2 2 2 4" xfId="17815"/>
    <cellStyle name="Normal 7 6 2 2 3" xfId="4789"/>
    <cellStyle name="Normal 7 6 2 2 3 2" xfId="13628"/>
    <cellStyle name="Normal 7 6 2 2 3 2 2" xfId="23879"/>
    <cellStyle name="Normal 7 6 2 2 3 3" xfId="10049"/>
    <cellStyle name="Normal 7 6 2 2 3 4" xfId="18872"/>
    <cellStyle name="Normal 7 6 2 2 4" xfId="2568"/>
    <cellStyle name="Normal 7 6 2 2 4 2" xfId="11935"/>
    <cellStyle name="Normal 7 6 2 2 4 3" xfId="21939"/>
    <cellStyle name="Normal 7 6 2 2 5" xfId="6246"/>
    <cellStyle name="Normal 7 6 2 2 5 2" xfId="15073"/>
    <cellStyle name="Normal 7 6 2 2 5 3" xfId="25324"/>
    <cellStyle name="Normal 7 6 2 2 6" xfId="7692"/>
    <cellStyle name="Normal 7 6 2 2 6 2" xfId="20421"/>
    <cellStyle name="Normal 7 6 2 2 7" xfId="16932"/>
    <cellStyle name="Normal 7 6 2 3" xfId="1332"/>
    <cellStyle name="Normal 7 6 2 3 2" xfId="3763"/>
    <cellStyle name="Normal 7 6 2 3 2 2" xfId="12901"/>
    <cellStyle name="Normal 7 6 2 3 2 2 2" xfId="23120"/>
    <cellStyle name="Normal 7 6 2 3 2 3" xfId="9322"/>
    <cellStyle name="Normal 7 6 2 3 2 4" xfId="18113"/>
    <cellStyle name="Normal 7 6 2 3 3" xfId="5137"/>
    <cellStyle name="Normal 7 6 2 3 3 2" xfId="13976"/>
    <cellStyle name="Normal 7 6 2 3 3 2 2" xfId="24227"/>
    <cellStyle name="Normal 7 6 2 3 3 3" xfId="10397"/>
    <cellStyle name="Normal 7 6 2 3 3 4" xfId="19220"/>
    <cellStyle name="Normal 7 6 2 3 4" xfId="2157"/>
    <cellStyle name="Normal 7 6 2 3 4 2" xfId="11524"/>
    <cellStyle name="Normal 7 6 2 3 4 3" xfId="21528"/>
    <cellStyle name="Normal 7 6 2 3 5" xfId="6594"/>
    <cellStyle name="Normal 7 6 2 3 5 2" xfId="15421"/>
    <cellStyle name="Normal 7 6 2 3 5 3" xfId="25672"/>
    <cellStyle name="Normal 7 6 2 3 6" xfId="8040"/>
    <cellStyle name="Normal 7 6 2 3 6 2" xfId="20719"/>
    <cellStyle name="Normal 7 6 2 3 7" xfId="16521"/>
    <cellStyle name="Normal 7 6 2 4" xfId="3048"/>
    <cellStyle name="Normal 7 6 2 4 2" xfId="5426"/>
    <cellStyle name="Normal 7 6 2 4 2 2" xfId="14265"/>
    <cellStyle name="Normal 7 6 2 4 2 2 2" xfId="24516"/>
    <cellStyle name="Normal 7 6 2 4 2 3" xfId="10686"/>
    <cellStyle name="Normal 7 6 2 4 2 4" xfId="19509"/>
    <cellStyle name="Normal 7 6 2 4 3" xfId="6883"/>
    <cellStyle name="Normal 7 6 2 4 3 2" xfId="15710"/>
    <cellStyle name="Normal 7 6 2 4 3 3" xfId="25961"/>
    <cellStyle name="Normal 7 6 2 4 4" xfId="8329"/>
    <cellStyle name="Normal 7 6 2 4 4 2" xfId="22411"/>
    <cellStyle name="Normal 7 6 2 4 5" xfId="17404"/>
    <cellStyle name="Normal 7 6 2 5" xfId="4382"/>
    <cellStyle name="Normal 7 6 2 5 2" xfId="13222"/>
    <cellStyle name="Normal 7 6 2 5 2 2" xfId="23473"/>
    <cellStyle name="Normal 7 6 2 5 3" xfId="9643"/>
    <cellStyle name="Normal 7 6 2 5 4" xfId="18466"/>
    <cellStyle name="Normal 7 6 2 6" xfId="1654"/>
    <cellStyle name="Normal 7 6 2 6 2" xfId="11033"/>
    <cellStyle name="Normal 7 6 2 6 3" xfId="21037"/>
    <cellStyle name="Normal 7 6 2 7" xfId="5840"/>
    <cellStyle name="Normal 7 6 2 7 2" xfId="14667"/>
    <cellStyle name="Normal 7 6 2 7 3" xfId="24918"/>
    <cellStyle name="Normal 7 6 2 8" xfId="7284"/>
    <cellStyle name="Normal 7 6 2 8 2" xfId="20010"/>
    <cellStyle name="Normal 7 6 2 9" xfId="16030"/>
    <cellStyle name="Normal 7 6 2_Degree data" xfId="4089"/>
    <cellStyle name="Normal 7 6 3" xfId="355"/>
    <cellStyle name="Normal 7 6 3 2" xfId="2843"/>
    <cellStyle name="Normal 7 6 3 2 2" xfId="12133"/>
    <cellStyle name="Normal 7 6 3 2 2 2" xfId="22206"/>
    <cellStyle name="Normal 7 6 3 2 3" xfId="8442"/>
    <cellStyle name="Normal 7 6 3 2 4" xfId="17199"/>
    <cellStyle name="Normal 7 6 3 3" xfId="4788"/>
    <cellStyle name="Normal 7 6 3 3 2" xfId="13627"/>
    <cellStyle name="Normal 7 6 3 3 2 2" xfId="23878"/>
    <cellStyle name="Normal 7 6 3 3 3" xfId="10048"/>
    <cellStyle name="Normal 7 6 3 3 4" xfId="18871"/>
    <cellStyle name="Normal 7 6 3 4" xfId="1952"/>
    <cellStyle name="Normal 7 6 3 4 2" xfId="11319"/>
    <cellStyle name="Normal 7 6 3 4 3" xfId="21323"/>
    <cellStyle name="Normal 7 6 3 5" xfId="6245"/>
    <cellStyle name="Normal 7 6 3 5 2" xfId="15072"/>
    <cellStyle name="Normal 7 6 3 5 3" xfId="25323"/>
    <cellStyle name="Normal 7 6 3 6" xfId="7691"/>
    <cellStyle name="Normal 7 6 3 6 2" xfId="19805"/>
    <cellStyle name="Normal 7 6 3 7" xfId="16316"/>
    <cellStyle name="Normal 7 6 4" xfId="980"/>
    <cellStyle name="Normal 7 6 4 2" xfId="3458"/>
    <cellStyle name="Normal 7 6 4 2 2" xfId="12602"/>
    <cellStyle name="Normal 7 6 4 2 2 2" xfId="22821"/>
    <cellStyle name="Normal 7 6 4 2 3" xfId="9024"/>
    <cellStyle name="Normal 7 6 4 2 4" xfId="17814"/>
    <cellStyle name="Normal 7 6 4 3" xfId="5136"/>
    <cellStyle name="Normal 7 6 4 3 2" xfId="13975"/>
    <cellStyle name="Normal 7 6 4 3 2 2" xfId="24226"/>
    <cellStyle name="Normal 7 6 4 3 3" xfId="10396"/>
    <cellStyle name="Normal 7 6 4 3 4" xfId="19219"/>
    <cellStyle name="Normal 7 6 4 4" xfId="2567"/>
    <cellStyle name="Normal 7 6 4 4 2" xfId="11934"/>
    <cellStyle name="Normal 7 6 4 4 3" xfId="21938"/>
    <cellStyle name="Normal 7 6 4 5" xfId="6593"/>
    <cellStyle name="Normal 7 6 4 5 2" xfId="15420"/>
    <cellStyle name="Normal 7 6 4 5 3" xfId="25671"/>
    <cellStyle name="Normal 7 6 4 6" xfId="8039"/>
    <cellStyle name="Normal 7 6 4 6 2" xfId="20420"/>
    <cellStyle name="Normal 7 6 4 7" xfId="16931"/>
    <cellStyle name="Normal 7 6 5" xfId="1127"/>
    <cellStyle name="Normal 7 6 5 2" xfId="3558"/>
    <cellStyle name="Normal 7 6 5 2 2" xfId="12696"/>
    <cellStyle name="Normal 7 6 5 2 2 2" xfId="22915"/>
    <cellStyle name="Normal 7 6 5 2 3" xfId="9117"/>
    <cellStyle name="Normal 7 6 5 2 4" xfId="17908"/>
    <cellStyle name="Normal 7 6 5 3" xfId="5221"/>
    <cellStyle name="Normal 7 6 5 3 2" xfId="14060"/>
    <cellStyle name="Normal 7 6 5 3 2 2" xfId="24311"/>
    <cellStyle name="Normal 7 6 5 3 3" xfId="10481"/>
    <cellStyle name="Normal 7 6 5 3 4" xfId="19304"/>
    <cellStyle name="Normal 7 6 5 4" xfId="1837"/>
    <cellStyle name="Normal 7 6 5 4 2" xfId="11207"/>
    <cellStyle name="Normal 7 6 5 4 3" xfId="21211"/>
    <cellStyle name="Normal 7 6 5 5" xfId="6678"/>
    <cellStyle name="Normal 7 6 5 5 2" xfId="15505"/>
    <cellStyle name="Normal 7 6 5 5 3" xfId="25756"/>
    <cellStyle name="Normal 7 6 5 6" xfId="8124"/>
    <cellStyle name="Normal 7 6 5 6 2" xfId="20514"/>
    <cellStyle name="Normal 7 6 5 7" xfId="16204"/>
    <cellStyle name="Normal 7 6 6" xfId="2731"/>
    <cellStyle name="Normal 7 6 6 2" xfId="12050"/>
    <cellStyle name="Normal 7 6 6 2 2" xfId="22094"/>
    <cellStyle name="Normal 7 6 6 3" xfId="8608"/>
    <cellStyle name="Normal 7 6 6 4" xfId="17087"/>
    <cellStyle name="Normal 7 6 7" xfId="4177"/>
    <cellStyle name="Normal 7 6 7 2" xfId="13017"/>
    <cellStyle name="Normal 7 6 7 2 2" xfId="23268"/>
    <cellStyle name="Normal 7 6 7 3" xfId="9438"/>
    <cellStyle name="Normal 7 6 7 4" xfId="18261"/>
    <cellStyle name="Normal 7 6 8" xfId="1449"/>
    <cellStyle name="Normal 7 6 8 2" xfId="10828"/>
    <cellStyle name="Normal 7 6 8 3" xfId="20832"/>
    <cellStyle name="Normal 7 6 9" xfId="5635"/>
    <cellStyle name="Normal 7 6 9 2" xfId="14462"/>
    <cellStyle name="Normal 7 6 9 3" xfId="24713"/>
    <cellStyle name="Normal 7 6_Degree data" xfId="4088"/>
    <cellStyle name="Normal 7 7" xfId="294"/>
    <cellStyle name="Normal 7 7 10" xfId="16086"/>
    <cellStyle name="Normal 7 7 2" xfId="616"/>
    <cellStyle name="Normal 7 7 2 2" xfId="3104"/>
    <cellStyle name="Normal 7 7 2 2 2" xfId="12249"/>
    <cellStyle name="Normal 7 7 2 2 2 2" xfId="22467"/>
    <cellStyle name="Normal 7 7 2 2 3" xfId="8671"/>
    <cellStyle name="Normal 7 7 2 2 4" xfId="17460"/>
    <cellStyle name="Normal 7 7 2 3" xfId="4790"/>
    <cellStyle name="Normal 7 7 2 3 2" xfId="13629"/>
    <cellStyle name="Normal 7 7 2 3 2 2" xfId="23880"/>
    <cellStyle name="Normal 7 7 2 3 3" xfId="10050"/>
    <cellStyle name="Normal 7 7 2 3 4" xfId="18873"/>
    <cellStyle name="Normal 7 7 2 4" xfId="2213"/>
    <cellStyle name="Normal 7 7 2 4 2" xfId="11580"/>
    <cellStyle name="Normal 7 7 2 4 3" xfId="21584"/>
    <cellStyle name="Normal 7 7 2 5" xfId="6247"/>
    <cellStyle name="Normal 7 7 2 5 2" xfId="15074"/>
    <cellStyle name="Normal 7 7 2 5 3" xfId="25325"/>
    <cellStyle name="Normal 7 7 2 6" xfId="7693"/>
    <cellStyle name="Normal 7 7 2 6 2" xfId="20066"/>
    <cellStyle name="Normal 7 7 2 7" xfId="16577"/>
    <cellStyle name="Normal 7 7 3" xfId="982"/>
    <cellStyle name="Normal 7 7 3 2" xfId="3460"/>
    <cellStyle name="Normal 7 7 3 2 2" xfId="12604"/>
    <cellStyle name="Normal 7 7 3 2 2 2" xfId="22823"/>
    <cellStyle name="Normal 7 7 3 2 3" xfId="9026"/>
    <cellStyle name="Normal 7 7 3 2 4" xfId="17816"/>
    <cellStyle name="Normal 7 7 3 3" xfId="5138"/>
    <cellStyle name="Normal 7 7 3 3 2" xfId="13977"/>
    <cellStyle name="Normal 7 7 3 3 2 2" xfId="24228"/>
    <cellStyle name="Normal 7 7 3 3 3" xfId="10398"/>
    <cellStyle name="Normal 7 7 3 3 4" xfId="19221"/>
    <cellStyle name="Normal 7 7 3 4" xfId="2569"/>
    <cellStyle name="Normal 7 7 3 4 2" xfId="11936"/>
    <cellStyle name="Normal 7 7 3 4 3" xfId="21940"/>
    <cellStyle name="Normal 7 7 3 5" xfId="6595"/>
    <cellStyle name="Normal 7 7 3 5 2" xfId="15422"/>
    <cellStyle name="Normal 7 7 3 5 3" xfId="25673"/>
    <cellStyle name="Normal 7 7 3 6" xfId="8041"/>
    <cellStyle name="Normal 7 7 3 6 2" xfId="20422"/>
    <cellStyle name="Normal 7 7 3 7" xfId="16933"/>
    <cellStyle name="Normal 7 7 4" xfId="1388"/>
    <cellStyle name="Normal 7 7 4 2" xfId="3819"/>
    <cellStyle name="Normal 7 7 4 2 2" xfId="12957"/>
    <cellStyle name="Normal 7 7 4 2 2 2" xfId="23176"/>
    <cellStyle name="Normal 7 7 4 2 3" xfId="9378"/>
    <cellStyle name="Normal 7 7 4 2 4" xfId="18169"/>
    <cellStyle name="Normal 7 7 4 3" xfId="5482"/>
    <cellStyle name="Normal 7 7 4 3 2" xfId="14321"/>
    <cellStyle name="Normal 7 7 4 3 2 2" xfId="24572"/>
    <cellStyle name="Normal 7 7 4 3 3" xfId="10742"/>
    <cellStyle name="Normal 7 7 4 3 4" xfId="19565"/>
    <cellStyle name="Normal 7 7 4 4" xfId="1893"/>
    <cellStyle name="Normal 7 7 4 4 2" xfId="11263"/>
    <cellStyle name="Normal 7 7 4 4 3" xfId="21267"/>
    <cellStyle name="Normal 7 7 4 5" xfId="6939"/>
    <cellStyle name="Normal 7 7 4 5 2" xfId="15766"/>
    <cellStyle name="Normal 7 7 4 5 3" xfId="26017"/>
    <cellStyle name="Normal 7 7 4 6" xfId="8385"/>
    <cellStyle name="Normal 7 7 4 6 2" xfId="20775"/>
    <cellStyle name="Normal 7 7 4 7" xfId="16260"/>
    <cellStyle name="Normal 7 7 5" xfId="2787"/>
    <cellStyle name="Normal 7 7 5 2" xfId="12106"/>
    <cellStyle name="Normal 7 7 5 2 2" xfId="22150"/>
    <cellStyle name="Normal 7 7 5 3" xfId="8488"/>
    <cellStyle name="Normal 7 7 5 4" xfId="17143"/>
    <cellStyle name="Normal 7 7 6" xfId="4438"/>
    <cellStyle name="Normal 7 7 6 2" xfId="13278"/>
    <cellStyle name="Normal 7 7 6 2 2" xfId="23529"/>
    <cellStyle name="Normal 7 7 6 3" xfId="9699"/>
    <cellStyle name="Normal 7 7 6 4" xfId="18522"/>
    <cellStyle name="Normal 7 7 7" xfId="1710"/>
    <cellStyle name="Normal 7 7 7 2" xfId="11089"/>
    <cellStyle name="Normal 7 7 7 3" xfId="21093"/>
    <cellStyle name="Normal 7 7 8" xfId="5896"/>
    <cellStyle name="Normal 7 7 8 2" xfId="14723"/>
    <cellStyle name="Normal 7 7 8 3" xfId="24974"/>
    <cellStyle name="Normal 7 7 9" xfId="7340"/>
    <cellStyle name="Normal 7 7 9 2" xfId="19749"/>
    <cellStyle name="Normal 7 7_Degree data" xfId="4090"/>
    <cellStyle name="Normal 7 8" xfId="455"/>
    <cellStyle name="Normal 7 8 2" xfId="983"/>
    <cellStyle name="Normal 7 8 2 2" xfId="3461"/>
    <cellStyle name="Normal 7 8 2 2 2" xfId="12605"/>
    <cellStyle name="Normal 7 8 2 2 2 2" xfId="22824"/>
    <cellStyle name="Normal 7 8 2 2 3" xfId="9027"/>
    <cellStyle name="Normal 7 8 2 2 4" xfId="17817"/>
    <cellStyle name="Normal 7 8 2 3" xfId="4791"/>
    <cellStyle name="Normal 7 8 2 3 2" xfId="13630"/>
    <cellStyle name="Normal 7 8 2 3 2 2" xfId="23881"/>
    <cellStyle name="Normal 7 8 2 3 3" xfId="10051"/>
    <cellStyle name="Normal 7 8 2 3 4" xfId="18874"/>
    <cellStyle name="Normal 7 8 2 4" xfId="2570"/>
    <cellStyle name="Normal 7 8 2 4 2" xfId="11937"/>
    <cellStyle name="Normal 7 8 2 4 3" xfId="21941"/>
    <cellStyle name="Normal 7 8 2 5" xfId="6248"/>
    <cellStyle name="Normal 7 8 2 5 2" xfId="15075"/>
    <cellStyle name="Normal 7 8 2 5 3" xfId="25326"/>
    <cellStyle name="Normal 7 8 2 6" xfId="7694"/>
    <cellStyle name="Normal 7 8 2 6 2" xfId="20423"/>
    <cellStyle name="Normal 7 8 2 7" xfId="16934"/>
    <cellStyle name="Normal 7 8 3" xfId="1227"/>
    <cellStyle name="Normal 7 8 3 2" xfId="3658"/>
    <cellStyle name="Normal 7 8 3 2 2" xfId="12796"/>
    <cellStyle name="Normal 7 8 3 2 2 2" xfId="23015"/>
    <cellStyle name="Normal 7 8 3 2 3" xfId="9217"/>
    <cellStyle name="Normal 7 8 3 2 4" xfId="18008"/>
    <cellStyle name="Normal 7 8 3 3" xfId="5139"/>
    <cellStyle name="Normal 7 8 3 3 2" xfId="13978"/>
    <cellStyle name="Normal 7 8 3 3 2 2" xfId="24229"/>
    <cellStyle name="Normal 7 8 3 3 3" xfId="10399"/>
    <cellStyle name="Normal 7 8 3 3 4" xfId="19222"/>
    <cellStyle name="Normal 7 8 3 4" xfId="2052"/>
    <cellStyle name="Normal 7 8 3 4 2" xfId="11419"/>
    <cellStyle name="Normal 7 8 3 4 3" xfId="21423"/>
    <cellStyle name="Normal 7 8 3 5" xfId="6596"/>
    <cellStyle name="Normal 7 8 3 5 2" xfId="15423"/>
    <cellStyle name="Normal 7 8 3 5 3" xfId="25674"/>
    <cellStyle name="Normal 7 8 3 6" xfId="8042"/>
    <cellStyle name="Normal 7 8 3 6 2" xfId="20614"/>
    <cellStyle name="Normal 7 8 3 7" xfId="16416"/>
    <cellStyle name="Normal 7 8 4" xfId="2943"/>
    <cellStyle name="Normal 7 8 4 2" xfId="5321"/>
    <cellStyle name="Normal 7 8 4 2 2" xfId="14160"/>
    <cellStyle name="Normal 7 8 4 2 2 2" xfId="24411"/>
    <cellStyle name="Normal 7 8 4 2 3" xfId="10581"/>
    <cellStyle name="Normal 7 8 4 2 4" xfId="19404"/>
    <cellStyle name="Normal 7 8 4 3" xfId="6778"/>
    <cellStyle name="Normal 7 8 4 3 2" xfId="15605"/>
    <cellStyle name="Normal 7 8 4 3 3" xfId="25856"/>
    <cellStyle name="Normal 7 8 4 4" xfId="8224"/>
    <cellStyle name="Normal 7 8 4 4 2" xfId="22306"/>
    <cellStyle name="Normal 7 8 4 5" xfId="17299"/>
    <cellStyle name="Normal 7 8 5" xfId="4277"/>
    <cellStyle name="Normal 7 8 5 2" xfId="13117"/>
    <cellStyle name="Normal 7 8 5 2 2" xfId="23368"/>
    <cellStyle name="Normal 7 8 5 3" xfId="9538"/>
    <cellStyle name="Normal 7 8 5 4" xfId="18361"/>
    <cellStyle name="Normal 7 8 6" xfId="1549"/>
    <cellStyle name="Normal 7 8 6 2" xfId="10928"/>
    <cellStyle name="Normal 7 8 6 3" xfId="20932"/>
    <cellStyle name="Normal 7 8 7" xfId="5735"/>
    <cellStyle name="Normal 7 8 7 2" xfId="14562"/>
    <cellStyle name="Normal 7 8 7 3" xfId="24813"/>
    <cellStyle name="Normal 7 8 8" xfId="7179"/>
    <cellStyle name="Normal 7 8 8 2" xfId="19905"/>
    <cellStyle name="Normal 7 8 9" xfId="15925"/>
    <cellStyle name="Normal 7 8_Degree data" xfId="4091"/>
    <cellStyle name="Normal 7 9" xfId="316"/>
    <cellStyle name="Normal 7 9 2" xfId="984"/>
    <cellStyle name="Normal 7 9 2 2" xfId="3462"/>
    <cellStyle name="Normal 7 9 2 2 2" xfId="12606"/>
    <cellStyle name="Normal 7 9 2 2 2 2" xfId="22825"/>
    <cellStyle name="Normal 7 9 2 2 3" xfId="9028"/>
    <cellStyle name="Normal 7 9 2 2 4" xfId="17818"/>
    <cellStyle name="Normal 7 9 2 3" xfId="4792"/>
    <cellStyle name="Normal 7 9 2 3 2" xfId="13631"/>
    <cellStyle name="Normal 7 9 2 3 2 2" xfId="23882"/>
    <cellStyle name="Normal 7 9 2 3 3" xfId="10052"/>
    <cellStyle name="Normal 7 9 2 3 4" xfId="18875"/>
    <cellStyle name="Normal 7 9 2 4" xfId="2571"/>
    <cellStyle name="Normal 7 9 2 4 2" xfId="11938"/>
    <cellStyle name="Normal 7 9 2 4 3" xfId="21942"/>
    <cellStyle name="Normal 7 9 2 5" xfId="6249"/>
    <cellStyle name="Normal 7 9 2 5 2" xfId="15076"/>
    <cellStyle name="Normal 7 9 2 5 3" xfId="25327"/>
    <cellStyle name="Normal 7 9 2 6" xfId="7695"/>
    <cellStyle name="Normal 7 9 2 6 2" xfId="20424"/>
    <cellStyle name="Normal 7 9 2 7" xfId="16935"/>
    <cellStyle name="Normal 7 9 3" xfId="1088"/>
    <cellStyle name="Normal 7 9 3 2" xfId="3519"/>
    <cellStyle name="Normal 7 9 3 2 2" xfId="12657"/>
    <cellStyle name="Normal 7 9 3 2 2 2" xfId="22876"/>
    <cellStyle name="Normal 7 9 3 2 3" xfId="9079"/>
    <cellStyle name="Normal 7 9 3 2 4" xfId="17869"/>
    <cellStyle name="Normal 7 9 3 3" xfId="5140"/>
    <cellStyle name="Normal 7 9 3 3 2" xfId="13979"/>
    <cellStyle name="Normal 7 9 3 3 2 2" xfId="24230"/>
    <cellStyle name="Normal 7 9 3 3 3" xfId="10400"/>
    <cellStyle name="Normal 7 9 3 3 4" xfId="19223"/>
    <cellStyle name="Normal 7 9 3 4" xfId="2613"/>
    <cellStyle name="Normal 7 9 3 4 2" xfId="11979"/>
    <cellStyle name="Normal 7 9 3 4 3" xfId="21983"/>
    <cellStyle name="Normal 7 9 3 5" xfId="6597"/>
    <cellStyle name="Normal 7 9 3 5 2" xfId="15424"/>
    <cellStyle name="Normal 7 9 3 5 3" xfId="25675"/>
    <cellStyle name="Normal 7 9 3 6" xfId="8043"/>
    <cellStyle name="Normal 7 9 3 6 2" xfId="20475"/>
    <cellStyle name="Normal 7 9 3 7" xfId="16976"/>
    <cellStyle name="Normal 7 9 4" xfId="2804"/>
    <cellStyle name="Normal 7 9 4 2" xfId="5182"/>
    <cellStyle name="Normal 7 9 4 2 2" xfId="14021"/>
    <cellStyle name="Normal 7 9 4 2 2 2" xfId="24272"/>
    <cellStyle name="Normal 7 9 4 2 3" xfId="10442"/>
    <cellStyle name="Normal 7 9 4 2 4" xfId="19265"/>
    <cellStyle name="Normal 7 9 4 3" xfId="6639"/>
    <cellStyle name="Normal 7 9 4 3 2" xfId="15466"/>
    <cellStyle name="Normal 7 9 4 3 3" xfId="25717"/>
    <cellStyle name="Normal 7 9 4 4" xfId="8085"/>
    <cellStyle name="Normal 7 9 4 4 2" xfId="22167"/>
    <cellStyle name="Normal 7 9 4 5" xfId="17160"/>
    <cellStyle name="Normal 7 9 5" xfId="4136"/>
    <cellStyle name="Normal 7 9 5 2" xfId="12976"/>
    <cellStyle name="Normal 7 9 5 2 2" xfId="23227"/>
    <cellStyle name="Normal 7 9 5 3" xfId="9397"/>
    <cellStyle name="Normal 7 9 5 4" xfId="18220"/>
    <cellStyle name="Normal 7 9 6" xfId="1913"/>
    <cellStyle name="Normal 7 9 6 2" xfId="11280"/>
    <cellStyle name="Normal 7 9 6 3" xfId="21284"/>
    <cellStyle name="Normal 7 9 7" xfId="5596"/>
    <cellStyle name="Normal 7 9 7 2" xfId="14423"/>
    <cellStyle name="Normal 7 9 7 3" xfId="24674"/>
    <cellStyle name="Normal 7 9 8" xfId="7040"/>
    <cellStyle name="Normal 7 9 8 2" xfId="19766"/>
    <cellStyle name="Normal 7 9 9" xfId="16277"/>
    <cellStyle name="Normal 7 9_Degree data" xfId="4092"/>
    <cellStyle name="Normal 7_Degree data" xfId="4059"/>
    <cellStyle name="Normal 70" xfId="304"/>
    <cellStyle name="Normal 70 2" xfId="985"/>
    <cellStyle name="Normal 70 2 2" xfId="3463"/>
    <cellStyle name="Normal 70 2 2 2" xfId="12607"/>
    <cellStyle name="Normal 70 2 2 2 2" xfId="22826"/>
    <cellStyle name="Normal 70 2 2 3" xfId="9029"/>
    <cellStyle name="Normal 70 2 2 4" xfId="17819"/>
    <cellStyle name="Normal 70 2 3" xfId="5498"/>
    <cellStyle name="Normal 70 2 3 2" xfId="14336"/>
    <cellStyle name="Normal 70 2 3 2 2" xfId="24587"/>
    <cellStyle name="Normal 70 2 3 3" xfId="10757"/>
    <cellStyle name="Normal 70 2 3 4" xfId="19580"/>
    <cellStyle name="Normal 70 2 4" xfId="2572"/>
    <cellStyle name="Normal 70 2 4 2" xfId="11939"/>
    <cellStyle name="Normal 70 2 4 3" xfId="21943"/>
    <cellStyle name="Normal 70 2 5" xfId="10769"/>
    <cellStyle name="Normal 70 2 5 2" xfId="20425"/>
    <cellStyle name="Normal 70 2 6" xfId="8579"/>
    <cellStyle name="Normal 70 2 7" xfId="16936"/>
    <cellStyle name="Normal 70 3" xfId="1901"/>
    <cellStyle name="Normal 71" xfId="61"/>
    <cellStyle name="Normal 72" xfId="62"/>
    <cellStyle name="Normal 73" xfId="305"/>
    <cellStyle name="Normal 73 2" xfId="986"/>
    <cellStyle name="Normal 73 2 2" xfId="3464"/>
    <cellStyle name="Normal 73 2 2 2" xfId="12608"/>
    <cellStyle name="Normal 73 2 2 2 2" xfId="22827"/>
    <cellStyle name="Normal 73 2 2 3" xfId="9030"/>
    <cellStyle name="Normal 73 2 2 4" xfId="17820"/>
    <cellStyle name="Normal 73 2 3" xfId="5496"/>
    <cellStyle name="Normal 73 2 3 2" xfId="14334"/>
    <cellStyle name="Normal 73 2 3 2 2" xfId="24585"/>
    <cellStyle name="Normal 73 2 3 3" xfId="10755"/>
    <cellStyle name="Normal 73 2 3 4" xfId="19578"/>
    <cellStyle name="Normal 73 2 4" xfId="2573"/>
    <cellStyle name="Normal 73 2 4 2" xfId="11940"/>
    <cellStyle name="Normal 73 2 4 3" xfId="21944"/>
    <cellStyle name="Normal 73 2 5" xfId="10770"/>
    <cellStyle name="Normal 73 2 5 2" xfId="20426"/>
    <cellStyle name="Normal 73 2 6" xfId="8518"/>
    <cellStyle name="Normal 73 2 7" xfId="16937"/>
    <cellStyle name="Normal 73 3" xfId="1902"/>
    <cellStyle name="Normal 74" xfId="987"/>
    <cellStyle name="Normal 74 2" xfId="3465"/>
    <cellStyle name="Normal 74 2 2" xfId="12609"/>
    <cellStyle name="Normal 74 2 2 2" xfId="22828"/>
    <cellStyle name="Normal 74 2 3" xfId="9031"/>
    <cellStyle name="Normal 74 2 4" xfId="17821"/>
    <cellStyle name="Normal 74 3" xfId="5494"/>
    <cellStyle name="Normal 74 3 2" xfId="14333"/>
    <cellStyle name="Normal 74 3 2 2" xfId="24584"/>
    <cellStyle name="Normal 74 3 3" xfId="10754"/>
    <cellStyle name="Normal 74 3 4" xfId="19577"/>
    <cellStyle name="Normal 74 4" xfId="2574"/>
    <cellStyle name="Normal 74 4 2" xfId="11941"/>
    <cellStyle name="Normal 74 4 3" xfId="21945"/>
    <cellStyle name="Normal 74 5" xfId="10771"/>
    <cellStyle name="Normal 74 5 2" xfId="20427"/>
    <cellStyle name="Normal 74 6" xfId="8453"/>
    <cellStyle name="Normal 74 7" xfId="16938"/>
    <cellStyle name="Normal 75" xfId="988"/>
    <cellStyle name="Normal 75 2" xfId="3466"/>
    <cellStyle name="Normal 75 2 2" xfId="12610"/>
    <cellStyle name="Normal 75 2 2 2" xfId="22829"/>
    <cellStyle name="Normal 75 2 3" xfId="9032"/>
    <cellStyle name="Normal 75 2 4" xfId="17822"/>
    <cellStyle name="Normal 75 3" xfId="5491"/>
    <cellStyle name="Normal 75 3 2" xfId="14330"/>
    <cellStyle name="Normal 75 3 2 2" xfId="24581"/>
    <cellStyle name="Normal 75 3 3" xfId="10751"/>
    <cellStyle name="Normal 75 3 4" xfId="19574"/>
    <cellStyle name="Normal 75 4" xfId="2575"/>
    <cellStyle name="Normal 75 4 2" xfId="11942"/>
    <cellStyle name="Normal 75 4 3" xfId="21946"/>
    <cellStyle name="Normal 75 5" xfId="10772"/>
    <cellStyle name="Normal 75 5 2" xfId="20428"/>
    <cellStyle name="Normal 75 6" xfId="8414"/>
    <cellStyle name="Normal 75 7" xfId="16939"/>
    <cellStyle name="Normal 76" xfId="989"/>
    <cellStyle name="Normal 76 2" xfId="3467"/>
    <cellStyle name="Normal 76 2 2" xfId="12611"/>
    <cellStyle name="Normal 76 2 2 2" xfId="22830"/>
    <cellStyle name="Normal 76 2 3" xfId="9033"/>
    <cellStyle name="Normal 76 2 4" xfId="17823"/>
    <cellStyle name="Normal 76 3" xfId="5490"/>
    <cellStyle name="Normal 76 3 2" xfId="14329"/>
    <cellStyle name="Normal 76 3 2 2" xfId="24580"/>
    <cellStyle name="Normal 76 3 3" xfId="10750"/>
    <cellStyle name="Normal 76 3 4" xfId="19573"/>
    <cellStyle name="Normal 76 4" xfId="2576"/>
    <cellStyle name="Normal 76 4 2" xfId="11943"/>
    <cellStyle name="Normal 76 4 3" xfId="21947"/>
    <cellStyle name="Normal 76 5" xfId="10773"/>
    <cellStyle name="Normal 76 5 2" xfId="20429"/>
    <cellStyle name="Normal 76 6" xfId="8609"/>
    <cellStyle name="Normal 76 7" xfId="16940"/>
    <cellStyle name="Normal 77" xfId="624"/>
    <cellStyle name="Normal 77 2" xfId="3112"/>
    <cellStyle name="Normal 77 2 2" xfId="12257"/>
    <cellStyle name="Normal 77 2 2 2" xfId="22475"/>
    <cellStyle name="Normal 77 2 3" xfId="8679"/>
    <cellStyle name="Normal 77 2 4" xfId="17468"/>
    <cellStyle name="Normal 77 3" xfId="5499"/>
    <cellStyle name="Normal 77 3 2" xfId="14337"/>
    <cellStyle name="Normal 77 3 2 2" xfId="24588"/>
    <cellStyle name="Normal 77 3 3" xfId="10758"/>
    <cellStyle name="Normal 77 3 4" xfId="19581"/>
    <cellStyle name="Normal 77 4" xfId="2221"/>
    <cellStyle name="Normal 77 4 2" xfId="11588"/>
    <cellStyle name="Normal 77 4 3" xfId="21592"/>
    <cellStyle name="Normal 77 5" xfId="10765"/>
    <cellStyle name="Normal 77 5 2" xfId="20074"/>
    <cellStyle name="Normal 77 6" xfId="8580"/>
    <cellStyle name="Normal 77 7" xfId="16585"/>
    <cellStyle name="Normal 78" xfId="990"/>
    <cellStyle name="Normal 78 2" xfId="3468"/>
    <cellStyle name="Normal 78 2 2" xfId="12612"/>
    <cellStyle name="Normal 78 2 2 2" xfId="22831"/>
    <cellStyle name="Normal 78 2 3" xfId="9034"/>
    <cellStyle name="Normal 78 2 4" xfId="17824"/>
    <cellStyle name="Normal 78 3" xfId="4172"/>
    <cellStyle name="Normal 78 3 2" xfId="13012"/>
    <cellStyle name="Normal 78 3 2 2" xfId="23263"/>
    <cellStyle name="Normal 78 3 3" xfId="9433"/>
    <cellStyle name="Normal 78 3 4" xfId="18256"/>
    <cellStyle name="Normal 78 4" xfId="2577"/>
    <cellStyle name="Normal 78 4 2" xfId="11944"/>
    <cellStyle name="Normal 78 4 3" xfId="21948"/>
    <cellStyle name="Normal 78 5" xfId="10774"/>
    <cellStyle name="Normal 78 5 2" xfId="20430"/>
    <cellStyle name="Normal 78 6" xfId="8622"/>
    <cellStyle name="Normal 78 7" xfId="16941"/>
    <cellStyle name="Normal 79" xfId="625"/>
    <cellStyle name="Normal 79 2" xfId="3113"/>
    <cellStyle name="Normal 79 2 2" xfId="12258"/>
    <cellStyle name="Normal 79 2 2 2" xfId="22476"/>
    <cellStyle name="Normal 79 2 3" xfId="8680"/>
    <cellStyle name="Normal 79 2 4" xfId="17469"/>
    <cellStyle name="Normal 79 3" xfId="5497"/>
    <cellStyle name="Normal 79 3 2" xfId="14335"/>
    <cellStyle name="Normal 79 3 2 2" xfId="24586"/>
    <cellStyle name="Normal 79 3 3" xfId="10756"/>
    <cellStyle name="Normal 79 3 4" xfId="19579"/>
    <cellStyle name="Normal 79 4" xfId="2222"/>
    <cellStyle name="Normal 79 4 2" xfId="11589"/>
    <cellStyle name="Normal 79 4 3" xfId="21593"/>
    <cellStyle name="Normal 79 5" xfId="10766"/>
    <cellStyle name="Normal 79 5 2" xfId="20075"/>
    <cellStyle name="Normal 79 6" xfId="8519"/>
    <cellStyle name="Normal 79 7" xfId="16586"/>
    <cellStyle name="Normal 8" xfId="19"/>
    <cellStyle name="Normal 8 2" xfId="41"/>
    <cellStyle name="Normal 8 3" xfId="161"/>
    <cellStyle name="Normal 80" xfId="626"/>
    <cellStyle name="Normal 80 2" xfId="3114"/>
    <cellStyle name="Normal 80 2 2" xfId="12259"/>
    <cellStyle name="Normal 80 2 2 2" xfId="22477"/>
    <cellStyle name="Normal 80 2 3" xfId="8681"/>
    <cellStyle name="Normal 80 2 4" xfId="17470"/>
    <cellStyle name="Normal 80 3" xfId="5493"/>
    <cellStyle name="Normal 80 3 2" xfId="14332"/>
    <cellStyle name="Normal 80 3 2 2" xfId="24583"/>
    <cellStyle name="Normal 80 3 3" xfId="10753"/>
    <cellStyle name="Normal 80 3 4" xfId="19576"/>
    <cellStyle name="Normal 80 4" xfId="2223"/>
    <cellStyle name="Normal 80 4 2" xfId="11590"/>
    <cellStyle name="Normal 80 4 3" xfId="21594"/>
    <cellStyle name="Normal 80 5" xfId="10767"/>
    <cellStyle name="Normal 80 5 2" xfId="20076"/>
    <cellStyle name="Normal 80 6" xfId="8585"/>
    <cellStyle name="Normal 80 7" xfId="16587"/>
    <cellStyle name="Normal 81" xfId="991"/>
    <cellStyle name="Normal 81 2" xfId="3469"/>
    <cellStyle name="Normal 81 2 2" xfId="12613"/>
    <cellStyle name="Normal 81 2 2 2" xfId="22832"/>
    <cellStyle name="Normal 81 2 3" xfId="9035"/>
    <cellStyle name="Normal 81 2 4" xfId="17825"/>
    <cellStyle name="Normal 81 3" xfId="4100"/>
    <cellStyle name="Normal 81 3 2" xfId="12965"/>
    <cellStyle name="Normal 81 3 2 2" xfId="23191"/>
    <cellStyle name="Normal 81 3 3" xfId="9386"/>
    <cellStyle name="Normal 81 3 4" xfId="18184"/>
    <cellStyle name="Normal 81 4" xfId="2578"/>
    <cellStyle name="Normal 81 4 2" xfId="11945"/>
    <cellStyle name="Normal 81 4 3" xfId="21949"/>
    <cellStyle name="Normal 81 5" xfId="10775"/>
    <cellStyle name="Normal 81 5 2" xfId="20431"/>
    <cellStyle name="Normal 81 6" xfId="8578"/>
    <cellStyle name="Normal 81 7" xfId="16942"/>
    <cellStyle name="Normal 82" xfId="992"/>
    <cellStyle name="Normal 82 2" xfId="3470"/>
    <cellStyle name="Normal 82 2 2" xfId="12614"/>
    <cellStyle name="Normal 82 2 2 2" xfId="22833"/>
    <cellStyle name="Normal 82 2 3" xfId="9036"/>
    <cellStyle name="Normal 82 2 4" xfId="17826"/>
    <cellStyle name="Normal 82 3" xfId="5500"/>
    <cellStyle name="Normal 82 3 2" xfId="14338"/>
    <cellStyle name="Normal 82 3 2 2" xfId="24589"/>
    <cellStyle name="Normal 82 3 3" xfId="10759"/>
    <cellStyle name="Normal 82 3 4" xfId="19582"/>
    <cellStyle name="Normal 82 4" xfId="2579"/>
    <cellStyle name="Normal 82 4 2" xfId="11946"/>
    <cellStyle name="Normal 82 4 3" xfId="21950"/>
    <cellStyle name="Normal 82 5" xfId="10776"/>
    <cellStyle name="Normal 82 5 2" xfId="20432"/>
    <cellStyle name="Normal 82 6" xfId="8517"/>
    <cellStyle name="Normal 82 7" xfId="16943"/>
    <cellStyle name="Normal 83" xfId="63"/>
    <cellStyle name="Normal 84" xfId="64"/>
    <cellStyle name="Normal 85" xfId="627"/>
    <cellStyle name="Normal 85 2" xfId="3115"/>
    <cellStyle name="Normal 85 2 2" xfId="12260"/>
    <cellStyle name="Normal 85 2 2 2" xfId="22478"/>
    <cellStyle name="Normal 85 2 3" xfId="8682"/>
    <cellStyle name="Normal 85 2 4" xfId="17471"/>
    <cellStyle name="Normal 85 3" xfId="5492"/>
    <cellStyle name="Normal 85 3 2" xfId="14331"/>
    <cellStyle name="Normal 85 3 2 2" xfId="24582"/>
    <cellStyle name="Normal 85 3 3" xfId="10752"/>
    <cellStyle name="Normal 85 3 4" xfId="19575"/>
    <cellStyle name="Normal 85 4" xfId="2224"/>
    <cellStyle name="Normal 85 4 2" xfId="11591"/>
    <cellStyle name="Normal 85 4 3" xfId="21595"/>
    <cellStyle name="Normal 85 5" xfId="10768"/>
    <cellStyle name="Normal 85 5 2" xfId="20077"/>
    <cellStyle name="Normal 85 6" xfId="8646"/>
    <cellStyle name="Normal 85 7" xfId="16588"/>
    <cellStyle name="Normal 86" xfId="65"/>
    <cellStyle name="Normal 87" xfId="623"/>
    <cellStyle name="Normal 87 2" xfId="3111"/>
    <cellStyle name="Normal 87 2 2" xfId="12256"/>
    <cellStyle name="Normal 87 2 2 2" xfId="22474"/>
    <cellStyle name="Normal 87 2 3" xfId="8678"/>
    <cellStyle name="Normal 87 2 4" xfId="17467"/>
    <cellStyle name="Normal 87 3" xfId="5501"/>
    <cellStyle name="Normal 87 3 2" xfId="14339"/>
    <cellStyle name="Normal 87 3 2 2" xfId="24590"/>
    <cellStyle name="Normal 87 3 3" xfId="10760"/>
    <cellStyle name="Normal 87 3 4" xfId="19583"/>
    <cellStyle name="Normal 87 4" xfId="2220"/>
    <cellStyle name="Normal 87 4 2" xfId="11587"/>
    <cellStyle name="Normal 87 4 3" xfId="21591"/>
    <cellStyle name="Normal 87 5" xfId="10764"/>
    <cellStyle name="Normal 87 5 2" xfId="20073"/>
    <cellStyle name="Normal 87 6" xfId="8605"/>
    <cellStyle name="Normal 87 7" xfId="16584"/>
    <cellStyle name="Normal 88" xfId="1047"/>
    <cellStyle name="Normal 89" xfId="4094"/>
    <cellStyle name="Normal 9" xfId="20"/>
    <cellStyle name="Normal 9 2" xfId="300"/>
    <cellStyle name="Normal 9 2 10" xfId="16090"/>
    <cellStyle name="Normal 9 2 2" xfId="620"/>
    <cellStyle name="Normal 9 2 2 2" xfId="3108"/>
    <cellStyle name="Normal 9 2 2 2 2" xfId="12253"/>
    <cellStyle name="Normal 9 2 2 2 2 2" xfId="22471"/>
    <cellStyle name="Normal 9 2 2 2 3" xfId="8675"/>
    <cellStyle name="Normal 9 2 2 2 4" xfId="17464"/>
    <cellStyle name="Normal 9 2 2 3" xfId="4793"/>
    <cellStyle name="Normal 9 2 2 3 2" xfId="13632"/>
    <cellStyle name="Normal 9 2 2 3 2 2" xfId="23883"/>
    <cellStyle name="Normal 9 2 2 3 3" xfId="10053"/>
    <cellStyle name="Normal 9 2 2 3 4" xfId="18876"/>
    <cellStyle name="Normal 9 2 2 4" xfId="2217"/>
    <cellStyle name="Normal 9 2 2 4 2" xfId="11584"/>
    <cellStyle name="Normal 9 2 2 4 3" xfId="21588"/>
    <cellStyle name="Normal 9 2 2 5" xfId="6250"/>
    <cellStyle name="Normal 9 2 2 5 2" xfId="15077"/>
    <cellStyle name="Normal 9 2 2 5 3" xfId="25328"/>
    <cellStyle name="Normal 9 2 2 6" xfId="7696"/>
    <cellStyle name="Normal 9 2 2 6 2" xfId="20070"/>
    <cellStyle name="Normal 9 2 2 7" xfId="16581"/>
    <cellStyle name="Normal 9 2 3" xfId="993"/>
    <cellStyle name="Normal 9 2 3 2" xfId="3471"/>
    <cellStyle name="Normal 9 2 3 2 2" xfId="12615"/>
    <cellStyle name="Normal 9 2 3 2 2 2" xfId="22834"/>
    <cellStyle name="Normal 9 2 3 2 3" xfId="9037"/>
    <cellStyle name="Normal 9 2 3 2 4" xfId="17827"/>
    <cellStyle name="Normal 9 2 3 3" xfId="5141"/>
    <cellStyle name="Normal 9 2 3 3 2" xfId="13980"/>
    <cellStyle name="Normal 9 2 3 3 2 2" xfId="24231"/>
    <cellStyle name="Normal 9 2 3 3 3" xfId="10401"/>
    <cellStyle name="Normal 9 2 3 3 4" xfId="19224"/>
    <cellStyle name="Normal 9 2 3 4" xfId="2580"/>
    <cellStyle name="Normal 9 2 3 4 2" xfId="11947"/>
    <cellStyle name="Normal 9 2 3 4 3" xfId="21951"/>
    <cellStyle name="Normal 9 2 3 5" xfId="6598"/>
    <cellStyle name="Normal 9 2 3 5 2" xfId="15425"/>
    <cellStyle name="Normal 9 2 3 5 3" xfId="25676"/>
    <cellStyle name="Normal 9 2 3 6" xfId="8044"/>
    <cellStyle name="Normal 9 2 3 6 2" xfId="20433"/>
    <cellStyle name="Normal 9 2 3 7" xfId="16944"/>
    <cellStyle name="Normal 9 2 4" xfId="1392"/>
    <cellStyle name="Normal 9 2 4 2" xfId="3823"/>
    <cellStyle name="Normal 9 2 4 2 2" xfId="12961"/>
    <cellStyle name="Normal 9 2 4 2 2 2" xfId="23180"/>
    <cellStyle name="Normal 9 2 4 2 3" xfId="9382"/>
    <cellStyle name="Normal 9 2 4 2 4" xfId="18173"/>
    <cellStyle name="Normal 9 2 4 3" xfId="5486"/>
    <cellStyle name="Normal 9 2 4 3 2" xfId="14325"/>
    <cellStyle name="Normal 9 2 4 3 2 2" xfId="24576"/>
    <cellStyle name="Normal 9 2 4 3 3" xfId="10746"/>
    <cellStyle name="Normal 9 2 4 3 4" xfId="19569"/>
    <cellStyle name="Normal 9 2 4 4" xfId="1898"/>
    <cellStyle name="Normal 9 2 4 4 2" xfId="11267"/>
    <cellStyle name="Normal 9 2 4 4 3" xfId="21271"/>
    <cellStyle name="Normal 9 2 4 5" xfId="6943"/>
    <cellStyle name="Normal 9 2 4 5 2" xfId="15770"/>
    <cellStyle name="Normal 9 2 4 5 3" xfId="26021"/>
    <cellStyle name="Normal 9 2 4 6" xfId="8389"/>
    <cellStyle name="Normal 9 2 4 6 2" xfId="20779"/>
    <cellStyle name="Normal 9 2 4 7" xfId="16264"/>
    <cellStyle name="Normal 9 2 5" xfId="2791"/>
    <cellStyle name="Normal 9 2 5 2" xfId="12110"/>
    <cellStyle name="Normal 9 2 5 2 2" xfId="22154"/>
    <cellStyle name="Normal 9 2 5 3" xfId="8435"/>
    <cellStyle name="Normal 9 2 5 4" xfId="17147"/>
    <cellStyle name="Normal 9 2 6" xfId="4442"/>
    <cellStyle name="Normal 9 2 6 2" xfId="13282"/>
    <cellStyle name="Normal 9 2 6 2 2" xfId="23533"/>
    <cellStyle name="Normal 9 2 6 3" xfId="9703"/>
    <cellStyle name="Normal 9 2 6 4" xfId="18526"/>
    <cellStyle name="Normal 9 2 7" xfId="1714"/>
    <cellStyle name="Normal 9 2 7 2" xfId="11093"/>
    <cellStyle name="Normal 9 2 7 3" xfId="21097"/>
    <cellStyle name="Normal 9 2 8" xfId="5900"/>
    <cellStyle name="Normal 9 2 8 2" xfId="14727"/>
    <cellStyle name="Normal 9 2 8 3" xfId="24978"/>
    <cellStyle name="Normal 9 2 9" xfId="7344"/>
    <cellStyle name="Normal 9 2 9 2" xfId="19753"/>
    <cellStyle name="Normal 9 2_Degree data" xfId="4093"/>
    <cellStyle name="Normal 90" xfId="4758"/>
    <cellStyle name="Normal 91" xfId="5495"/>
    <cellStyle name="Normal 92" xfId="1396"/>
    <cellStyle name="Normal 93" xfId="2582"/>
    <cellStyle name="Normal 94" xfId="5503"/>
    <cellStyle name="Normal 95" xfId="5502"/>
    <cellStyle name="Normal 96" xfId="5507"/>
    <cellStyle name="Normal 97" xfId="5508"/>
    <cellStyle name="Normal 98" xfId="66"/>
    <cellStyle name="Normal 99" xfId="5510"/>
    <cellStyle name="Normal_03SCH&amp;FTE05" xfId="26025"/>
    <cellStyle name="Normal_03TTA09mastersurvey" xfId="26"/>
    <cellStyle name="Normal_04SCH-FTE09mastersurvey" xfId="4"/>
    <cellStyle name="Normal_Degree02 Form" xfId="32"/>
    <cellStyle name="Normal_Degree02 Form 2" xfId="24"/>
    <cellStyle name="Normal_Degree02 Form 3" xfId="1404"/>
    <cellStyle name="Normal_Degrees02 Form" xfId="30"/>
    <cellStyle name="Normal_Degrees02 Form 2" xfId="31"/>
    <cellStyle name="Normal_Degrees02 Form 3" xfId="26026"/>
    <cellStyle name="Normal_SCH&amp;FTE02 Form" xfId="5"/>
    <cellStyle name="Normal_SCH&amp;FTE03 Form" xfId="6"/>
    <cellStyle name="Normal_StProg01B" xfId="5555"/>
    <cellStyle name="Normal_StProg01B 2" xfId="27"/>
    <cellStyle name="Normal_StProg02 Form" xfId="1397"/>
    <cellStyle name="Normal_Tuition02 Form" xfId="5554"/>
    <cellStyle name="Note 2" xfId="994"/>
    <cellStyle name="Note 2 2" xfId="1034"/>
    <cellStyle name="Note 2 3" xfId="1041"/>
    <cellStyle name="Note 2 4" xfId="3472"/>
    <cellStyle name="Note 2 4 2" xfId="12616"/>
    <cellStyle name="Note 2 4 2 2" xfId="22835"/>
    <cellStyle name="Note 2 4 3" xfId="9038"/>
    <cellStyle name="Note 2 4 4" xfId="17828"/>
    <cellStyle name="Note 2 5" xfId="4171"/>
    <cellStyle name="Note 2 5 2" xfId="13011"/>
    <cellStyle name="Note 2 5 2 2" xfId="23262"/>
    <cellStyle name="Note 2 5 3" xfId="9432"/>
    <cellStyle name="Note 2 5 4" xfId="18255"/>
    <cellStyle name="Note 2 6" xfId="2581"/>
    <cellStyle name="Note 2 6 2" xfId="11948"/>
    <cellStyle name="Note 2 6 3" xfId="21952"/>
    <cellStyle name="Note 2 7" xfId="10777"/>
    <cellStyle name="Note 2 7 2" xfId="20434"/>
    <cellStyle name="Note 2 8" xfId="8640"/>
    <cellStyle name="Note 2 9" xfId="16945"/>
    <cellStyle name="Note 3" xfId="1033"/>
    <cellStyle name="Note 4" xfId="1042"/>
    <cellStyle name="Output 2" xfId="1035"/>
    <cellStyle name="Output 3" xfId="1045"/>
    <cellStyle name="Percent" xfId="7" builtinId="5"/>
    <cellStyle name="Percent 2" xfId="34"/>
    <cellStyle name="Percent 2 2" xfId="70"/>
    <cellStyle name="Percent 2 2 2" xfId="131"/>
    <cellStyle name="Percent 2 2 3" xfId="230"/>
    <cellStyle name="Percent 2 3" xfId="1037"/>
    <cellStyle name="Percent 3" xfId="35"/>
    <cellStyle name="Percent 4" xfId="39"/>
    <cellStyle name="Percent 5" xfId="119"/>
    <cellStyle name="Percent 6" xfId="1036"/>
    <cellStyle name="questionable" xfId="8"/>
    <cellStyle name="questionable 2" xfId="107"/>
    <cellStyle name="review" xfId="9"/>
    <cellStyle name="Title 2" xfId="1038"/>
    <cellStyle name="Total 2" xfId="1039"/>
    <cellStyle name="Total 3" xfId="1046"/>
    <cellStyle name="Warning Text 2" xfId="1040"/>
  </cellStyles>
  <dxfs count="500">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FF000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lor rgb="FFFF0000"/>
      </font>
    </dxf>
    <dxf>
      <font>
        <b/>
        <i val="0"/>
        <color rgb="FFFF0000"/>
      </font>
    </dxf>
    <dxf>
      <font>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10"/>
      </font>
    </dxf>
    <dxf>
      <font>
        <b/>
        <i val="0"/>
        <condense val="0"/>
        <extend val="0"/>
        <color indexed="10"/>
      </font>
    </dxf>
    <dxf>
      <numFmt numFmtId="168" formatCode="0.0%"/>
    </dxf>
    <dxf>
      <numFmt numFmtId="168" formatCode="0.0%"/>
    </dxf>
    <dxf>
      <numFmt numFmtId="168" formatCode="0.0%"/>
    </dxf>
    <dxf>
      <numFmt numFmtId="168" formatCode="0.0%"/>
    </dxf>
    <dxf>
      <numFmt numFmtId="168" formatCode="0.0%"/>
    </dxf>
    <dxf>
      <numFmt numFmtId="168" formatCode="0.0%"/>
    </dxf>
    <dxf>
      <numFmt numFmtId="168" formatCode="0.0%"/>
    </dxf>
    <dxf>
      <numFmt numFmtId="168" formatCode="0.0%"/>
    </dxf>
    <dxf>
      <fill>
        <patternFill patternType="none">
          <bgColor auto="1"/>
        </patternFill>
      </fill>
    </dxf>
    <dxf>
      <fill>
        <patternFill patternType="none">
          <bgColor auto="1"/>
        </patternFill>
      </fill>
    </dxf>
    <dxf>
      <fill>
        <patternFill patternType="none">
          <bgColor auto="1"/>
        </patternFill>
      </fill>
    </dxf>
    <dxf>
      <fill>
        <patternFill patternType="solid">
          <bgColor theme="0" tint="-0.249977111117893"/>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168" formatCode="0.0%"/>
    </dxf>
    <dxf>
      <numFmt numFmtId="168" formatCode="0.0%"/>
    </dxf>
    <dxf>
      <numFmt numFmtId="168" formatCode="0.0%"/>
    </dxf>
    <dxf>
      <numFmt numFmtId="168" formatCode="0.0%"/>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numFmt numFmtId="14" formatCode="0.00%"/>
    </dxf>
    <dxf>
      <numFmt numFmtId="14" formatCode="0.00%"/>
    </dxf>
    <dxf>
      <numFmt numFmtId="14" formatCode="0.00%"/>
    </dxf>
    <dxf>
      <numFmt numFmtId="14" formatCode="0.00%"/>
    </dxf>
    <dxf>
      <font>
        <b/>
      </font>
    </dxf>
    <dxf>
      <font>
        <b/>
      </font>
    </dxf>
    <dxf>
      <font>
        <b/>
      </font>
    </dxf>
    <dxf>
      <font>
        <b/>
      </font>
    </dxf>
    <dxf>
      <font>
        <b/>
      </font>
    </dxf>
    <dxf>
      <font>
        <b/>
      </font>
    </dxf>
    <dxf>
      <font>
        <b/>
      </font>
    </dxf>
    <dxf>
      <font>
        <b/>
      </font>
      <numFmt numFmtId="168" formatCode="0.0%"/>
    </dxf>
    <dxf>
      <font>
        <b/>
      </font>
      <numFmt numFmtId="168" formatCode="0.0%"/>
    </dxf>
    <dxf>
      <font>
        <b/>
      </font>
    </dxf>
    <dxf>
      <numFmt numFmtId="168" formatCode="0.0%"/>
    </dxf>
    <dxf>
      <font>
        <b/>
        <sz val="10"/>
      </font>
      <numFmt numFmtId="168" formatCode="0.0%"/>
    </dxf>
    <dxf>
      <font>
        <b/>
        <sz val="10"/>
      </font>
      <numFmt numFmtId="168" formatCode="0.0%"/>
    </dxf>
    <dxf>
      <font>
        <sz val="10"/>
      </font>
    </dxf>
    <dxf>
      <font>
        <sz val="10"/>
      </font>
    </dxf>
    <dxf>
      <font>
        <b/>
      </font>
    </dxf>
    <dxf>
      <fill>
        <patternFill patternType="solid">
          <bgColor rgb="FFFF0000"/>
        </patternFill>
      </fill>
    </dxf>
    <dxf>
      <fill>
        <patternFill>
          <bgColor rgb="FFFF0000"/>
        </patternFill>
      </fill>
    </dxf>
    <dxf>
      <fill>
        <patternFill patternType="solid">
          <bgColor rgb="FFFFFF00"/>
        </patternFill>
      </fill>
    </dxf>
    <dxf>
      <fill>
        <patternFill patternType="solid">
          <bgColor rgb="FFFFFF00"/>
        </patternFill>
      </fill>
    </dxf>
    <dxf>
      <fill>
        <patternFill patternType="solid">
          <bgColor theme="0" tint="-0.249977111117893"/>
        </patternFill>
      </fill>
    </dxf>
    <dxf>
      <fill>
        <patternFill patternType="solid">
          <bgColor theme="0" tint="-0.249977111117893"/>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ont>
        <b/>
      </font>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5" tint="0.59999389629810485"/>
        </patternFill>
      </fill>
    </dxf>
    <dxf>
      <border>
        <bottom style="thin">
          <color indexed="64"/>
        </bottom>
      </border>
    </dxf>
    <dxf>
      <fill>
        <patternFill patternType="solid">
          <bgColor theme="0" tint="-0.249977111117893"/>
        </patternFill>
      </fill>
    </dxf>
    <dxf>
      <fill>
        <patternFill patternType="solid">
          <fgColor indexed="64"/>
          <bgColor theme="0" tint="-0.249977111117893"/>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ill>
        <patternFill patternType="solid">
          <fgColor indexed="64"/>
          <bgColor theme="5" tint="0.79998168889431442"/>
        </patternFill>
      </fill>
    </dxf>
    <dxf>
      <fill>
        <patternFill patternType="solid">
          <fgColor indexed="64"/>
          <bgColor theme="5" tint="0.79998168889431442"/>
        </patternFill>
      </fill>
    </dxf>
    <dxf>
      <font>
        <b/>
      </font>
    </dxf>
    <dxf>
      <font>
        <b/>
      </font>
    </dxf>
    <dxf>
      <font>
        <b/>
      </font>
    </dxf>
    <dxf>
      <font>
        <b/>
      </font>
    </dxf>
    <dxf>
      <font>
        <b/>
      </font>
    </dxf>
    <dxf>
      <font>
        <b/>
      </font>
    </dxf>
    <dxf>
      <font>
        <b/>
      </font>
    </dxf>
    <dxf>
      <font>
        <b/>
      </font>
    </dxf>
    <dxf>
      <font>
        <b/>
      </font>
    </dxf>
    <dxf>
      <font>
        <b/>
      </font>
    </dxf>
    <dxf>
      <font>
        <b/>
      </font>
    </dxf>
    <dxf>
      <font>
        <b/>
      </font>
    </dxf>
    <dxf>
      <alignment wrapText="1" readingOrder="0"/>
    </dxf>
    <dxf>
      <alignment wrapText="1" readingOrder="0"/>
    </dxf>
    <dxf>
      <alignment wrapText="1" readingOrder="0"/>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ont>
        <b/>
      </font>
      <alignment horizontal="right" readingOrder="0"/>
    </dxf>
    <dxf>
      <border>
        <bottom style="thin">
          <color indexed="64"/>
        </bottom>
      </border>
    </dxf>
    <dxf>
      <border>
        <bottom style="thin">
          <color indexed="64"/>
        </bottom>
      </border>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indexed="49"/>
          <bgColor indexed="64"/>
        </patternFill>
      </fill>
    </dxf>
    <dxf>
      <border>
        <top style="thin">
          <color indexed="8"/>
        </top>
      </border>
    </dxf>
    <dxf>
      <border>
        <left style="thin">
          <color indexed="64"/>
        </left>
      </border>
    </dxf>
    <dxf>
      <border>
        <left/>
      </border>
    </dxf>
    <dxf>
      <border>
        <left style="thin">
          <color indexed="64"/>
        </left>
      </border>
    </dxf>
    <dxf>
      <fill>
        <patternFill patternType="none"/>
      </fill>
    </dxf>
    <dxf>
      <fill>
        <patternFill patternType="solid">
          <bgColor indexed="43"/>
        </patternFill>
      </fill>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alignment horizontal="general" readingOrder="0"/>
    </dxf>
    <dxf>
      <alignment horizontal="general" readingOrder="0"/>
    </dxf>
    <dxf>
      <alignment horizontal="general" readingOrder="0"/>
    </dxf>
    <dxf>
      <border>
        <bottom style="thin">
          <color indexed="64"/>
        </bottom>
      </border>
    </dxf>
    <dxf>
      <border>
        <bottom style="thin">
          <color indexed="64"/>
        </bottom>
      </border>
    </dxf>
    <dxf>
      <font>
        <sz val="10"/>
      </font>
    </dxf>
    <dxf>
      <alignment horizontal="right" readingOrder="0"/>
    </dxf>
    <dxf>
      <alignment horizontal="right" readingOrder="0"/>
    </dxf>
    <dxf>
      <alignment horizontal="right" readingOrder="0"/>
    </dxf>
    <dxf>
      <alignment horizontal="right" readingOrder="0"/>
    </dxf>
    <dxf>
      <alignment horizontal="right" readingOrder="0"/>
    </dxf>
    <dxf>
      <border>
        <right style="thin">
          <color indexed="8"/>
        </right>
      </border>
    </dxf>
    <dxf>
      <border>
        <right style="thin">
          <color indexed="8"/>
        </right>
      </border>
    </dxf>
    <dxf>
      <border>
        <right style="thin">
          <color indexed="8"/>
        </right>
      </border>
    </dxf>
    <dxf>
      <alignment horizontal="general" readingOrder="0"/>
    </dxf>
    <dxf>
      <alignment horizontal="right" readingOrder="0"/>
    </dxf>
    <dxf>
      <alignment horizontal="center" readingOrder="0"/>
    </dxf>
    <dxf>
      <alignment horizontal="left" readingOrder="0"/>
    </dxf>
    <dxf>
      <alignment horizontal="general" readingOrder="0"/>
    </dxf>
    <dxf>
      <alignment horizontal="right" readingOrder="0"/>
    </dxf>
    <dxf>
      <alignment horizontal="general" readingOrder="0"/>
    </dxf>
    <dxf>
      <alignment horizontal="right" readingOrder="0"/>
    </dxf>
    <dxf>
      <alignment horizontal="left" readingOrder="0"/>
    </dxf>
    <dxf>
      <alignment horizontal="right" readingOrder="0"/>
    </dxf>
    <dxf>
      <font>
        <b/>
      </font>
    </dxf>
    <dxf>
      <font>
        <b/>
      </font>
    </dxf>
    <dxf>
      <font>
        <b/>
      </font>
    </dxf>
    <dxf>
      <alignment horizontal="general" readingOrder="0"/>
    </dxf>
    <dxf>
      <alignment horizontal="right" readingOrder="0"/>
    </dxf>
    <dxf>
      <numFmt numFmtId="166" formatCode="#,##0.0"/>
    </dxf>
    <dxf>
      <font>
        <b/>
      </font>
    </dxf>
    <dxf>
      <fill>
        <patternFill patternType="solid">
          <bgColor indexed="22"/>
        </patternFill>
      </fill>
    </dxf>
    <dxf>
      <font>
        <b/>
      </font>
    </dxf>
    <dxf>
      <font>
        <b/>
      </font>
    </dxf>
    <dxf>
      <font>
        <b/>
      </font>
    </dxf>
    <dxf>
      <alignment horizontal="right" readingOrder="0"/>
    </dxf>
    <dxf>
      <alignment horizontal="right" readingOrder="0"/>
    </dxf>
    <dxf>
      <alignment horizontal="right" readingOrder="0"/>
    </dxf>
    <dxf>
      <numFmt numFmtId="165" formatCode="_(* #,##0_);_(* \(#,##0\);_(* &quot;-&quot;??_);_(@_)"/>
    </dxf>
    <dxf>
      <numFmt numFmtId="173" formatCode="_(* #,##0.0_);_(* \(#,##0.0\);_(* &quot;-&quot;??_);_(@_)"/>
    </dxf>
    <dxf>
      <numFmt numFmtId="35" formatCode="_(* #,##0.00_);_(* \(#,##0.00\);_(* &quot;-&quot;??_);_(@_)"/>
    </dxf>
    <dxf>
      <font>
        <name val="Arial"/>
        <scheme val="none"/>
      </font>
    </dxf>
  </dxfs>
  <tableStyles count="0" defaultTableStyle="TableStyleMedium9" defaultPivotStyle="PivotStyleLight16"/>
  <colors>
    <mruColors>
      <color rgb="FFCCFFCC"/>
      <color rgb="FF00FFFF"/>
      <color rgb="FFFFFFCC"/>
      <color rgb="FF00FF00"/>
      <color rgb="FFB2A1C7"/>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Lisa Cowan" refreshedDate="41597.361227546295" createdVersion="4" refreshedVersion="4" minRefreshableVersion="3" recordCount="686">
  <cacheSource type="worksheet">
    <worksheetSource ref="A6:BA692" sheet="SCH Data"/>
  </cacheSource>
  <cacheFields count="64">
    <cacheField name="State" numFmtId="49">
      <sharedItems count="16">
        <s v="AL"/>
        <s v="AR"/>
        <s v="DE"/>
        <s v="FL"/>
        <s v="GA"/>
        <s v="KY"/>
        <s v="LA"/>
        <s v="MD"/>
        <s v="MS"/>
        <s v="NC"/>
        <s v="OK"/>
        <s v="SC"/>
        <s v="TN"/>
        <s v="TX"/>
        <s v="VA"/>
        <s v="WV"/>
      </sharedItems>
    </cacheField>
    <cacheField name="Institution" numFmtId="0">
      <sharedItems containsBlank="1"/>
    </cacheField>
    <cacheField name="Note" numFmtId="0">
      <sharedItems containsBlank="1"/>
    </cacheField>
    <cacheField name="IPEDS ID #" numFmtId="0">
      <sharedItems containsBlank="1" containsMixedTypes="1" containsNumber="1" containsInteger="1" minValue="100654" maxValue="870501"/>
    </cacheField>
    <cacheField name="Category" numFmtId="0">
      <sharedItems containsMixedTypes="1" containsNumber="1" containsInteger="1" minValue="1" maxValue="99" count="19">
        <n v="1"/>
        <n v="2"/>
        <n v="3"/>
        <n v="4"/>
        <n v="5"/>
        <n v="6"/>
        <n v="8"/>
        <n v="9"/>
        <n v="10"/>
        <n v="12"/>
        <n v="13"/>
        <n v="7"/>
        <n v="11"/>
        <n v="99"/>
        <s v="08b"/>
        <s v="09b"/>
        <s v="10b"/>
        <n v="14" u="1"/>
        <n v="15" u="1"/>
      </sharedItems>
      <fieldGroup par="60"/>
    </cacheField>
    <cacheField name="Old-Term Code" numFmtId="165">
      <sharedItems containsBlank="1"/>
    </cacheField>
    <cacheField name="New-Term Code" numFmtId="165">
      <sharedItems containsBlank="1"/>
    </cacheField>
    <cacheField name="old-Winter Undg SCH" numFmtId="0">
      <sharedItems containsString="0" containsBlank="1" containsNumber="1" minValue="0" maxValue="563364"/>
    </cacheField>
    <cacheField name="new-Winter Undg SCH" numFmtId="0">
      <sharedItems containsString="0" containsBlank="1" containsNumber="1" minValue="51" maxValue="857107"/>
    </cacheField>
    <cacheField name="old-Spring Undg SCH" numFmtId="0">
      <sharedItems containsString="0" containsBlank="1" containsNumber="1" minValue="27" maxValue="1607648"/>
    </cacheField>
    <cacheField name="new-Spring Undg SCH" numFmtId="0">
      <sharedItems containsString="0" containsBlank="1" containsNumber="1" minValue="36" maxValue="650249"/>
    </cacheField>
    <cacheField name="old-Summer Undg SCH" numFmtId="0">
      <sharedItems containsString="0" containsBlank="1" containsNumber="1" minValue="0" maxValue="533413"/>
    </cacheField>
    <cacheField name="new-Summer Undg SCH" numFmtId="0">
      <sharedItems containsString="0" containsBlank="1" containsNumber="1" minValue="0" maxValue="295176"/>
    </cacheField>
    <cacheField name="old-Fall Undg SCH" numFmtId="0">
      <sharedItems containsString="0" containsBlank="1" containsNumber="1" minValue="1615" maxValue="1707250"/>
    </cacheField>
    <cacheField name="new-Fall Undg SCH" numFmtId="0">
      <sharedItems containsString="0" containsBlank="1" containsNumber="1" minValue="1548" maxValue="793266"/>
    </cacheField>
    <cacheField name="Old-Total Undg SCH" numFmtId="3">
      <sharedItems containsSemiMixedTypes="0" containsString="0" containsNumber="1" minValue="0" maxValue="3848311"/>
    </cacheField>
    <cacheField name="Old-Total Undg SCH FTE" numFmtId="3">
      <sharedItems containsSemiMixedTypes="0" containsString="0" containsNumber="1" minValue="0" maxValue="128277.03333333334"/>
    </cacheField>
    <cacheField name="New-Total Undg SCH" numFmtId="3">
      <sharedItems containsSemiMixedTypes="0" containsString="0" containsNumber="1" minValue="0" maxValue="2037286"/>
    </cacheField>
    <cacheField name="New-Total Undg SCH FTE" numFmtId="3">
      <sharedItems containsSemiMixedTypes="0" containsString="0" containsNumber="1" minValue="0" maxValue="67909.53333333334"/>
    </cacheField>
    <cacheField name="Old-Total HS SCH" numFmtId="0">
      <sharedItems containsString="0" containsBlank="1" containsNumber="1" minValue="0" maxValue="516361"/>
    </cacheField>
    <cacheField name="New-Total HS SCH" numFmtId="0">
      <sharedItems containsString="0" containsBlank="1" containsNumber="1" minValue="0" maxValue="147180"/>
    </cacheField>
    <cacheField name="Old-Total Undg SCH2" numFmtId="3">
      <sharedItems containsSemiMixedTypes="0" containsString="0" containsNumber="1" minValue="0" maxValue="3848311"/>
    </cacheField>
    <cacheField name="New-Total Undg SCH2" numFmtId="3">
      <sharedItems containsSemiMixedTypes="0" containsString="0" containsNumber="1" minValue="0" maxValue="2037286"/>
    </cacheField>
    <cacheField name="old-Winter Undg CH" numFmtId="0">
      <sharedItems containsString="0" containsBlank="1" containsNumber="1" containsInteger="1" minValue="0" maxValue="537454"/>
    </cacheField>
    <cacheField name="new-Winter Undg CH" numFmtId="0">
      <sharedItems containsString="0" containsBlank="1" containsNumber="1" containsInteger="1" minValue="868" maxValue="519932"/>
    </cacheField>
    <cacheField name="old-Spring Undg CH" numFmtId="0">
      <sharedItems containsString="0" containsBlank="1" containsNumber="1" containsInteger="1" minValue="0" maxValue="1971917"/>
    </cacheField>
    <cacheField name="new-Spring Undg CH" numFmtId="0">
      <sharedItems containsString="0" containsBlank="1" containsNumber="1" containsInteger="1" minValue="0" maxValue="1233420"/>
    </cacheField>
    <cacheField name="old-Summer Undg CH" numFmtId="0">
      <sharedItems containsString="0" containsBlank="1" containsNumber="1" containsInteger="1" minValue="0" maxValue="1484804"/>
    </cacheField>
    <cacheField name="new-Summer Undg CH" numFmtId="0">
      <sharedItems containsString="0" containsBlank="1" containsNumber="1" containsInteger="1" minValue="0" maxValue="921686"/>
    </cacheField>
    <cacheField name="old-Fall Undg CH" numFmtId="0">
      <sharedItems containsString="0" containsBlank="1" containsNumber="1" minValue="0" maxValue="1509993.25"/>
    </cacheField>
    <cacheField name="new-Fall Undg CH" numFmtId="0">
      <sharedItems containsString="0" containsBlank="1" containsNumber="1" containsInteger="1" minValue="0" maxValue="1452946"/>
    </cacheField>
    <cacheField name="Old-Total Undg CH" numFmtId="3">
      <sharedItems containsSemiMixedTypes="0" containsString="0" containsNumber="1" minValue="0" maxValue="4557664"/>
    </cacheField>
    <cacheField name="Old-Total Undg CH FTE" numFmtId="3">
      <sharedItems containsSemiMixedTypes="0" containsString="0" containsNumber="1" minValue="0" maxValue="5064.0711111111113"/>
    </cacheField>
    <cacheField name="New-Total Undg CH" numFmtId="3">
      <sharedItems containsSemiMixedTypes="0" containsString="0" containsNumber="1" containsInteger="1" minValue="0" maxValue="3263410"/>
    </cacheField>
    <cacheField name="New-Total Undg CH FTE" numFmtId="3">
      <sharedItems containsSemiMixedTypes="0" containsString="0" containsNumber="1" minValue="0" maxValue="3626.0111111111109"/>
    </cacheField>
    <cacheField name="Old-Total HS CH" numFmtId="3">
      <sharedItems containsString="0" containsBlank="1" containsNumber="1" containsInteger="1" minValue="0" maxValue="91770"/>
    </cacheField>
    <cacheField name="New-Total HS CH" numFmtId="3">
      <sharedItems containsString="0" containsBlank="1" containsNumber="1" containsInteger="1" minValue="0" maxValue="92565"/>
    </cacheField>
    <cacheField name="Old-Total Undg CH2" numFmtId="3">
      <sharedItems containsSemiMixedTypes="0" containsString="0" containsNumber="1" containsInteger="1" minValue="0" maxValue="4557664"/>
    </cacheField>
    <cacheField name="New-Total Undg CH2" numFmtId="3">
      <sharedItems containsSemiMixedTypes="0" containsString="0" containsNumber="1" containsInteger="1" minValue="0" maxValue="3263410"/>
    </cacheField>
    <cacheField name="old-Winter Grad SCH" numFmtId="3">
      <sharedItems containsString="0" containsBlank="1" containsNumber="1" containsInteger="1" minValue="0" maxValue="7842"/>
    </cacheField>
    <cacheField name="new-Winter Grad SCH" numFmtId="3">
      <sharedItems containsString="0" containsBlank="1" containsNumber="1" containsInteger="1" minValue="0" maxValue="7654"/>
    </cacheField>
    <cacheField name="old-Spring Grad SCH" numFmtId="0">
      <sharedItems containsString="0" containsBlank="1" containsNumber="1" minValue="0" maxValue="143499"/>
    </cacheField>
    <cacheField name="new-Spring Grad SCH" numFmtId="0">
      <sharedItems containsString="0" containsBlank="1" containsNumber="1" minValue="0" maxValue="140200"/>
    </cacheField>
    <cacheField name="old-Summer Grad SCH" numFmtId="3">
      <sharedItems containsString="0" containsBlank="1" containsNumber="1" minValue="0" maxValue="60534"/>
    </cacheField>
    <cacheField name="new-Summer Grad SCH" numFmtId="0">
      <sharedItems containsString="0" containsBlank="1" containsNumber="1" minValue="0" maxValue="59745"/>
    </cacheField>
    <cacheField name="old-Fall Grad SCH" numFmtId="0">
      <sharedItems containsString="0" containsBlank="1" containsNumber="1" minValue="0" maxValue="149877"/>
    </cacheField>
    <cacheField name="new-Fall Grad SCH" numFmtId="0">
      <sharedItems containsString="0" containsBlank="1" containsNumber="1" minValue="0" maxValue="148986"/>
    </cacheField>
    <cacheField name="Old-Total Grad SCH" numFmtId="3">
      <sharedItems containsSemiMixedTypes="0" containsString="0" containsNumber="1" minValue="0" maxValue="353910"/>
    </cacheField>
    <cacheField name="Old-Total Grad FTE" numFmtId="3">
      <sharedItems containsSemiMixedTypes="0" containsString="0" containsNumber="1" minValue="0" maxValue="14746.25"/>
    </cacheField>
    <cacheField name="New-Total Grad SCH" numFmtId="3">
      <sharedItems containsSemiMixedTypes="0" containsString="0" containsNumber="1" minValue="0" maxValue="348931"/>
    </cacheField>
    <cacheField name="New-Total Grad FTE" numFmtId="3">
      <sharedItems containsSemiMixedTypes="0" containsString="0" containsNumber="1" minValue="0" maxValue="14538.791666666666"/>
    </cacheField>
    <cacheField name="Old Grand Total FTE" numFmtId="3">
      <sharedItems containsSemiMixedTypes="0" containsString="0" containsNumber="1" minValue="27.417777777777779" maxValue="128277.03333333334"/>
    </cacheField>
    <cacheField name="New Grand Total FTE" numFmtId="3">
      <sharedItems containsSemiMixedTypes="0" containsString="0" containsNumber="1" minValue="0" maxValue="70164.463333333333"/>
    </cacheField>
    <cacheField name="% Change Undg SCH FTE" numFmtId="0" formula="IF('Old-Total Undg SCH FTE'&gt;0,((('New-Total Undg SCH FTE'-'Old-Total Undg SCH FTE')/'Old-Total Undg SCH FTE')))" databaseField="0"/>
    <cacheField name="% Change Grad FTE" numFmtId="0" formula="IF('Old-Total Grad FTE'&gt;0, ((('New-Total Grad FTE'-'Old-Total Grad FTE')/'Old-Total Grad FTE')))" databaseField="0"/>
    <cacheField name="% Change Undg CH FTE" numFmtId="0" formula="IF('Old-Total Undg CH FTE'&gt;0,((('New-Total Undg CH FTE'-'Old-Total Undg CH FTE')/'Old-Total Undg CH FTE')))" databaseField="0"/>
    <cacheField name="New-Total HSH" numFmtId="0" formula="'New-Total HS SCH'+'New-Total HS CH'" databaseField="0"/>
    <cacheField name="New-Total UGH" numFmtId="0" formula="'New-Total Undg SCH'+'New-Total Undg CH'" databaseField="0"/>
    <cacheField name="New-HS % of Total" numFmtId="0" formula="IF(#NAME?&gt;0,(#NAME?/#NAME?))" databaseField="0"/>
    <cacheField name="Old-HS % of Total" numFmtId="0" formula="IF('Old-Total HSH'&gt;0,('Old-Total HSH'/'Old-Total UGH'),)" databaseField="0"/>
    <cacheField name="Category2" numFmtId="0" databaseField="0">
      <fieldGroup base="4">
        <discretePr count="19">
          <x v="2"/>
          <x v="2"/>
          <x v="2"/>
          <x v="2"/>
          <x v="2"/>
          <x v="2"/>
          <x v="3"/>
          <x v="3"/>
          <x v="3"/>
          <x v="4"/>
          <x v="4"/>
          <x v="3"/>
          <x v="1"/>
          <x v="5"/>
          <x v="6"/>
          <x v="7"/>
          <x v="8"/>
          <x v="4"/>
          <x v="0"/>
        </discretePr>
        <groupItems count="9">
          <n v="15"/>
          <n v="11"/>
          <s v="Group1"/>
          <s v="Group2"/>
          <s v="Group3"/>
          <n v="99"/>
          <s v="08b"/>
          <s v="09b"/>
          <s v="10b"/>
        </groupItems>
      </fieldGroup>
    </cacheField>
    <cacheField name="% Change Total FTE" numFmtId="0" formula="IF('Old Grand Total FTE'&gt;0, ((('New Grand Total FTE'-'Old Grand Total FTE')/'Old Grand Total FTE')))" databaseField="0"/>
    <cacheField name="Old-Total UGH" numFmtId="0" formula="'Old-Total Undg SCH'+'Old-Total Undg CH'" databaseField="0"/>
    <cacheField name="Old-Total HSH" numFmtId="0" formula="'Old-Total HS SCH'+'Old-Total HS CH'"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Lisa Cowan" refreshedDate="41597.3627037037" createdVersion="4" refreshedVersion="4" minRefreshableVersion="3" recordCount="686">
  <cacheSource type="worksheet">
    <worksheetSource ref="A6:AM692" sheet="SCH Data"/>
  </cacheSource>
  <cacheFields count="47">
    <cacheField name="State" numFmtId="49">
      <sharedItems count="16">
        <s v="AL"/>
        <s v="AR"/>
        <s v="DE"/>
        <s v="FL"/>
        <s v="GA"/>
        <s v="KY"/>
        <s v="LA"/>
        <s v="MD"/>
        <s v="MS"/>
        <s v="NC"/>
        <s v="OK"/>
        <s v="SC"/>
        <s v="TN"/>
        <s v="TX"/>
        <s v="VA"/>
        <s v="WV"/>
      </sharedItems>
    </cacheField>
    <cacheField name="Institution" numFmtId="0">
      <sharedItems containsBlank="1"/>
    </cacheField>
    <cacheField name="Note" numFmtId="0">
      <sharedItems containsBlank="1"/>
    </cacheField>
    <cacheField name="IPEDS ID #" numFmtId="0">
      <sharedItems containsBlank="1" containsMixedTypes="1" containsNumber="1" containsInteger="1" minValue="100654" maxValue="870501"/>
    </cacheField>
    <cacheField name="Category" numFmtId="0">
      <sharedItems containsMixedTypes="1" containsNumber="1" containsInteger="1" minValue="1" maxValue="99" count="19">
        <n v="1"/>
        <n v="2"/>
        <n v="3"/>
        <n v="4"/>
        <n v="5"/>
        <n v="6"/>
        <n v="8"/>
        <n v="9"/>
        <n v="10"/>
        <n v="12"/>
        <n v="13"/>
        <n v="7"/>
        <n v="11"/>
        <n v="99"/>
        <s v="08b"/>
        <s v="09b"/>
        <s v="10b"/>
        <n v="14" u="1"/>
        <n v="15" u="1"/>
      </sharedItems>
      <fieldGroup par="43"/>
    </cacheField>
    <cacheField name="Old-Term Code" numFmtId="165">
      <sharedItems containsBlank="1"/>
    </cacheField>
    <cacheField name="New-Term Code" numFmtId="165">
      <sharedItems containsBlank="1"/>
    </cacheField>
    <cacheField name="old-Winter Undg SCH" numFmtId="0">
      <sharedItems containsString="0" containsBlank="1" containsNumber="1" minValue="0" maxValue="563364"/>
    </cacheField>
    <cacheField name="new-Winter Undg SCH" numFmtId="0">
      <sharedItems containsString="0" containsBlank="1" containsNumber="1" minValue="51" maxValue="857107"/>
    </cacheField>
    <cacheField name="old-Spring Undg SCH" numFmtId="0">
      <sharedItems containsString="0" containsBlank="1" containsNumber="1" minValue="27" maxValue="1607648"/>
    </cacheField>
    <cacheField name="new-Spring Undg SCH" numFmtId="0">
      <sharedItems containsString="0" containsBlank="1" containsNumber="1" minValue="36" maxValue="650249"/>
    </cacheField>
    <cacheField name="old-Summer Undg SCH" numFmtId="0">
      <sharedItems containsString="0" containsBlank="1" containsNumber="1" minValue="0" maxValue="533413"/>
    </cacheField>
    <cacheField name="new-Summer Undg SCH" numFmtId="0">
      <sharedItems containsString="0" containsBlank="1" containsNumber="1" minValue="0" maxValue="295176"/>
    </cacheField>
    <cacheField name="old-Fall Undg SCH" numFmtId="0">
      <sharedItems containsString="0" containsBlank="1" containsNumber="1" minValue="1615" maxValue="1707250"/>
    </cacheField>
    <cacheField name="new-Fall Undg SCH" numFmtId="0">
      <sharedItems containsString="0" containsBlank="1" containsNumber="1" minValue="1548" maxValue="793266"/>
    </cacheField>
    <cacheField name="Old-Total Undg SCH" numFmtId="3">
      <sharedItems containsSemiMixedTypes="0" containsString="0" containsNumber="1" minValue="0" maxValue="3848311"/>
    </cacheField>
    <cacheField name="Old-Total Undg SCH FTE" numFmtId="3">
      <sharedItems containsSemiMixedTypes="0" containsString="0" containsNumber="1" minValue="0" maxValue="128277.03333333334"/>
    </cacheField>
    <cacheField name="New-Total Undg SCH" numFmtId="3">
      <sharedItems containsSemiMixedTypes="0" containsString="0" containsNumber="1" minValue="0" maxValue="2037286"/>
    </cacheField>
    <cacheField name="New-Total Undg SCH FTE" numFmtId="3">
      <sharedItems containsSemiMixedTypes="0" containsString="0" containsNumber="1" minValue="0" maxValue="67909.53333333334"/>
    </cacheField>
    <cacheField name="Old-Total HS SCH" numFmtId="0">
      <sharedItems containsString="0" containsBlank="1" containsNumber="1" minValue="0" maxValue="516361"/>
    </cacheField>
    <cacheField name="New-Total HS SCH" numFmtId="0">
      <sharedItems containsString="0" containsBlank="1" containsNumber="1" minValue="0" maxValue="147180"/>
    </cacheField>
    <cacheField name="Old-Total Undg SCH2" numFmtId="3">
      <sharedItems containsSemiMixedTypes="0" containsString="0" containsNumber="1" minValue="0" maxValue="3848311"/>
    </cacheField>
    <cacheField name="New-Total Undg SCH2" numFmtId="3">
      <sharedItems containsSemiMixedTypes="0" containsString="0" containsNumber="1" minValue="0" maxValue="2037286"/>
    </cacheField>
    <cacheField name="old-Winter Undg CH" numFmtId="0">
      <sharedItems containsString="0" containsBlank="1" containsNumber="1" containsInteger="1" minValue="0" maxValue="537454"/>
    </cacheField>
    <cacheField name="new-Winter Undg CH" numFmtId="0">
      <sharedItems containsString="0" containsBlank="1" containsNumber="1" containsInteger="1" minValue="868" maxValue="519932"/>
    </cacheField>
    <cacheField name="old-Spring Undg CH" numFmtId="0">
      <sharedItems containsString="0" containsBlank="1" containsNumber="1" containsInteger="1" minValue="0" maxValue="1971917"/>
    </cacheField>
    <cacheField name="new-Spring Undg CH" numFmtId="0">
      <sharedItems containsString="0" containsBlank="1" containsNumber="1" containsInteger="1" minValue="0" maxValue="1233420"/>
    </cacheField>
    <cacheField name="old-Summer Undg CH" numFmtId="0">
      <sharedItems containsString="0" containsBlank="1" containsNumber="1" containsInteger="1" minValue="0" maxValue="1484804"/>
    </cacheField>
    <cacheField name="new-Summer Undg CH" numFmtId="0">
      <sharedItems containsString="0" containsBlank="1" containsNumber="1" containsInteger="1" minValue="0" maxValue="921686"/>
    </cacheField>
    <cacheField name="old-Fall Undg CH" numFmtId="0">
      <sharedItems containsString="0" containsBlank="1" containsNumber="1" minValue="0" maxValue="1509993.25"/>
    </cacheField>
    <cacheField name="new-Fall Undg CH" numFmtId="0">
      <sharedItems containsString="0" containsBlank="1" containsNumber="1" containsInteger="1" minValue="0" maxValue="1452946"/>
    </cacheField>
    <cacheField name="Old-Total Undg CH" numFmtId="3">
      <sharedItems containsSemiMixedTypes="0" containsString="0" containsNumber="1" minValue="0" maxValue="4557664"/>
    </cacheField>
    <cacheField name="Old-Total Undg CH FTE" numFmtId="3">
      <sharedItems containsSemiMixedTypes="0" containsString="0" containsNumber="1" minValue="0" maxValue="5064.0711111111113"/>
    </cacheField>
    <cacheField name="New-Total Undg CH" numFmtId="3">
      <sharedItems containsSemiMixedTypes="0" containsString="0" containsNumber="1" containsInteger="1" minValue="0" maxValue="3263410"/>
    </cacheField>
    <cacheField name="New-Total Undg CH FTE" numFmtId="3">
      <sharedItems containsSemiMixedTypes="0" containsString="0" containsNumber="1" minValue="0" maxValue="3626.0111111111109"/>
    </cacheField>
    <cacheField name="Old-Total HS CH" numFmtId="3">
      <sharedItems containsString="0" containsBlank="1" containsNumber="1" containsInteger="1" minValue="0" maxValue="91770"/>
    </cacheField>
    <cacheField name="New-Total HS CH" numFmtId="3">
      <sharedItems containsString="0" containsBlank="1" containsNumber="1" containsInteger="1" minValue="0" maxValue="92565"/>
    </cacheField>
    <cacheField name="Old-Total Undg CH2" numFmtId="3">
      <sharedItems containsSemiMixedTypes="0" containsString="0" containsNumber="1" containsInteger="1" minValue="0" maxValue="4557664"/>
    </cacheField>
    <cacheField name="New-Total Undg CH2" numFmtId="3">
      <sharedItems containsSemiMixedTypes="0" containsString="0" containsNumber="1" containsInteger="1" minValue="0" maxValue="3263410"/>
    </cacheField>
    <cacheField name="New-Total HSH" numFmtId="0" formula="'New-Total HS SCH'+'New-Total HS CH'" databaseField="0"/>
    <cacheField name="New-Total UGH" numFmtId="0" formula="'New-Total Undg SCH2'+'New-Total Undg CH2'" databaseField="0"/>
    <cacheField name="New-HS % of Total" numFmtId="0" formula="IF('New-Total UGH'&gt;0,('New-Total HSH'/'New-Total UGH'))" databaseField="0"/>
    <cacheField name="Old-HS % of Total" numFmtId="0" formula="IF('Old-Total UGH'&gt;0,('Old-Total HSH'/'Old-Total UGH'),)" databaseField="0"/>
    <cacheField name="Category2" numFmtId="0" databaseField="0">
      <fieldGroup base="4">
        <discretePr count="19">
          <x v="2"/>
          <x v="2"/>
          <x v="2"/>
          <x v="2"/>
          <x v="2"/>
          <x v="2"/>
          <x v="3"/>
          <x v="3"/>
          <x v="3"/>
          <x v="4"/>
          <x v="4"/>
          <x v="3"/>
          <x v="1"/>
          <x v="5"/>
          <x v="6"/>
          <x v="7"/>
          <x v="8"/>
          <x v="4"/>
          <x v="0"/>
        </discretePr>
        <groupItems count="9">
          <n v="15"/>
          <n v="11"/>
          <s v="Group1"/>
          <s v="Group2"/>
          <s v="Group3"/>
          <n v="99"/>
          <s v="08b"/>
          <s v="09b"/>
          <s v="10b"/>
        </groupItems>
      </fieldGroup>
    </cacheField>
    <cacheField name="Old-Total UGH" numFmtId="0" formula="'Old-Total Undg SCH2'+'Old-Total Undg CH2'" databaseField="0"/>
    <cacheField name="Old-Total HSH" numFmtId="0" formula="'Old-Total HS SCH'+'Old-Total HS CH'" databaseField="0"/>
    <cacheField name="HS % Change" numFmtId="0" formula="'New-HS % of Total'-'Old-HS % of Total'"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86">
  <r>
    <x v="0"/>
    <s v="Auburn University"/>
    <m/>
    <n v="100858"/>
    <x v="0"/>
    <s v="sem"/>
    <m/>
    <m/>
    <m/>
    <n v="256295"/>
    <n v="259985"/>
    <n v="55115"/>
    <n v="52912"/>
    <n v="281868"/>
    <n v="281418"/>
    <n v="593278"/>
    <n v="19775.933333333334"/>
    <n v="594315"/>
    <n v="19810.5"/>
    <n v="27"/>
    <n v="25"/>
    <n v="593278"/>
    <n v="594315"/>
    <m/>
    <m/>
    <m/>
    <m/>
    <m/>
    <m/>
    <m/>
    <m/>
    <n v="0"/>
    <n v="0"/>
    <n v="0"/>
    <n v="0"/>
    <m/>
    <m/>
    <n v="0"/>
    <n v="0"/>
    <m/>
    <m/>
    <n v="36783"/>
    <n v="44811"/>
    <n v="19220"/>
    <n v="19717"/>
    <n v="39047"/>
    <n v="47080"/>
    <n v="95050"/>
    <n v="3960.4166666666665"/>
    <n v="111608"/>
    <n v="4650.333333333333"/>
    <n v="23736.350000000002"/>
    <n v="24460.833333333332"/>
  </r>
  <r>
    <x v="0"/>
    <s v="University of Alabama "/>
    <m/>
    <n v="100751"/>
    <x v="0"/>
    <s v="sem"/>
    <m/>
    <m/>
    <m/>
    <n v="316793"/>
    <n v="335465"/>
    <n v="60132"/>
    <n v="65235"/>
    <n v="353356"/>
    <n v="378743"/>
    <n v="730281"/>
    <n v="24342.7"/>
    <n v="779443"/>
    <n v="25981.433333333334"/>
    <n v="1685"/>
    <n v="2270"/>
    <n v="730281"/>
    <n v="779443"/>
    <m/>
    <m/>
    <m/>
    <m/>
    <m/>
    <m/>
    <m/>
    <m/>
    <n v="0"/>
    <n v="0"/>
    <n v="0"/>
    <n v="0"/>
    <m/>
    <m/>
    <n v="0"/>
    <n v="0"/>
    <m/>
    <m/>
    <n v="42753"/>
    <n v="44097"/>
    <n v="12218"/>
    <n v="11779"/>
    <n v="44057"/>
    <n v="42685"/>
    <n v="99028"/>
    <n v="4126.166666666667"/>
    <n v="98561"/>
    <n v="4106.708333333333"/>
    <n v="28468.866666666669"/>
    <n v="30088.141666666666"/>
  </r>
  <r>
    <x v="0"/>
    <s v="University of Alabama at Birmingham"/>
    <s v="Reclassified: met the criteria for Four-Year 2 in 2010-11, 2011-12, and 2012-13."/>
    <n v="100663"/>
    <x v="1"/>
    <s v="sem"/>
    <m/>
    <m/>
    <m/>
    <n v="113224"/>
    <n v="114176"/>
    <n v="28982"/>
    <n v="27236"/>
    <n v="122877"/>
    <n v="125808"/>
    <n v="265083"/>
    <n v="8836.1"/>
    <n v="267220"/>
    <n v="8907.3333333333339"/>
    <n v="55"/>
    <n v="53"/>
    <n v="265083"/>
    <n v="267220"/>
    <m/>
    <m/>
    <m/>
    <m/>
    <m/>
    <m/>
    <m/>
    <m/>
    <n v="0"/>
    <n v="0"/>
    <n v="0"/>
    <n v="0"/>
    <m/>
    <m/>
    <n v="0"/>
    <n v="0"/>
    <m/>
    <m/>
    <n v="17547"/>
    <n v="17419"/>
    <n v="11619"/>
    <n v="10686"/>
    <n v="17378"/>
    <n v="17307"/>
    <n v="46544"/>
    <n v="1939.3333333333333"/>
    <n v="45412"/>
    <n v="1892.1666666666667"/>
    <n v="10775.433333333334"/>
    <n v="10799.5"/>
  </r>
  <r>
    <x v="0"/>
    <s v="University of Alabama in Huntsville"/>
    <m/>
    <n v="100706"/>
    <x v="1"/>
    <s v="sem"/>
    <m/>
    <m/>
    <m/>
    <n v="66744"/>
    <n v="67235"/>
    <n v="17137"/>
    <n v="16673"/>
    <n v="71501"/>
    <n v="70916"/>
    <n v="155382"/>
    <n v="5179.3999999999996"/>
    <n v="154824"/>
    <n v="5160.8"/>
    <n v="416"/>
    <n v="429"/>
    <n v="155382"/>
    <n v="154824"/>
    <m/>
    <m/>
    <m/>
    <m/>
    <m/>
    <m/>
    <m/>
    <m/>
    <n v="0"/>
    <n v="0"/>
    <n v="0"/>
    <n v="0"/>
    <m/>
    <m/>
    <n v="0"/>
    <n v="0"/>
    <m/>
    <m/>
    <n v="8799"/>
    <n v="9641"/>
    <n v="4219"/>
    <n v="4718"/>
    <n v="10158"/>
    <n v="10609"/>
    <n v="23176"/>
    <n v="965.66666666666663"/>
    <n v="24968"/>
    <n v="1040.3333333333333"/>
    <n v="6145.0666666666666"/>
    <n v="6201.1333333333332"/>
  </r>
  <r>
    <x v="0"/>
    <s v="Alabama Agricultural &amp; Mechanical University"/>
    <m/>
    <n v="100654"/>
    <x v="2"/>
    <s v="sem"/>
    <m/>
    <m/>
    <m/>
    <n v="60071"/>
    <n v="51589"/>
    <n v="21464"/>
    <n v="5098"/>
    <n v="59381"/>
    <n v="56726"/>
    <n v="140916"/>
    <n v="4697.2"/>
    <n v="113413"/>
    <n v="3780.4333333333334"/>
    <n v="9"/>
    <n v="0"/>
    <n v="140916"/>
    <n v="113413"/>
    <m/>
    <m/>
    <m/>
    <m/>
    <m/>
    <m/>
    <m/>
    <m/>
    <n v="0"/>
    <n v="0"/>
    <n v="0"/>
    <n v="0"/>
    <m/>
    <m/>
    <n v="0"/>
    <n v="0"/>
    <m/>
    <m/>
    <n v="6287"/>
    <n v="5570"/>
    <n v="4889"/>
    <n v="2533"/>
    <n v="6123"/>
    <n v="6049"/>
    <n v="17299"/>
    <n v="720.79166666666663"/>
    <n v="14152"/>
    <n v="589.66666666666663"/>
    <n v="5417.9916666666668"/>
    <n v="4370.1000000000004"/>
  </r>
  <r>
    <x v="0"/>
    <s v="Jacksonville State University "/>
    <m/>
    <n v="101480"/>
    <x v="2"/>
    <s v="sem"/>
    <m/>
    <m/>
    <m/>
    <n v="88230"/>
    <n v="90905"/>
    <n v="27021"/>
    <n v="24046"/>
    <n v="98584"/>
    <n v="96360"/>
    <n v="213835"/>
    <n v="7127.833333333333"/>
    <n v="211311"/>
    <n v="7043.7"/>
    <n v="1906"/>
    <n v="842"/>
    <n v="213835"/>
    <n v="211311"/>
    <m/>
    <m/>
    <m/>
    <m/>
    <m/>
    <m/>
    <m/>
    <m/>
    <n v="0"/>
    <n v="0"/>
    <n v="0"/>
    <n v="0"/>
    <m/>
    <m/>
    <n v="0"/>
    <n v="0"/>
    <m/>
    <m/>
    <n v="8484"/>
    <n v="6595"/>
    <n v="6173"/>
    <n v="4374"/>
    <n v="7178"/>
    <n v="6726"/>
    <n v="21835"/>
    <n v="909.79166666666663"/>
    <n v="17695"/>
    <n v="737.29166666666663"/>
    <n v="8037.625"/>
    <n v="7780.9916666666668"/>
  </r>
  <r>
    <x v="0"/>
    <s v="Troy University"/>
    <m/>
    <n v="102368"/>
    <x v="2"/>
    <s v="sem"/>
    <m/>
    <m/>
    <m/>
    <n v="146595"/>
    <n v="132577"/>
    <n v="38268"/>
    <n v="29852"/>
    <n v="197682"/>
    <n v="133008"/>
    <n v="382545"/>
    <n v="12751.5"/>
    <n v="295437"/>
    <n v="9847.9"/>
    <n v="286"/>
    <n v="509"/>
    <n v="382545"/>
    <n v="295437"/>
    <m/>
    <m/>
    <m/>
    <m/>
    <m/>
    <m/>
    <m/>
    <m/>
    <n v="0"/>
    <n v="0"/>
    <n v="0"/>
    <n v="0"/>
    <m/>
    <m/>
    <n v="0"/>
    <n v="0"/>
    <m/>
    <m/>
    <n v="18084"/>
    <n v="16623"/>
    <n v="7411"/>
    <n v="6676"/>
    <n v="28115"/>
    <n v="16194"/>
    <n v="53610"/>
    <n v="2233.75"/>
    <n v="39493"/>
    <n v="1645.5416666666667"/>
    <n v="14985.25"/>
    <n v="11493.441666666666"/>
  </r>
  <r>
    <x v="0"/>
    <s v="University of South Alabama"/>
    <m/>
    <n v="102094"/>
    <x v="2"/>
    <s v="sem"/>
    <m/>
    <m/>
    <m/>
    <n v="115521"/>
    <n v="115368"/>
    <n v="28710"/>
    <n v="24909"/>
    <n v="128593"/>
    <n v="128798"/>
    <n v="272824"/>
    <n v="9094.1333333333332"/>
    <n v="269075"/>
    <n v="8969.1666666666661"/>
    <n v="384"/>
    <n v="266"/>
    <n v="272824"/>
    <n v="269075"/>
    <m/>
    <m/>
    <m/>
    <m/>
    <m/>
    <m/>
    <m/>
    <m/>
    <n v="0"/>
    <n v="0"/>
    <n v="0"/>
    <n v="0"/>
    <m/>
    <m/>
    <n v="0"/>
    <n v="0"/>
    <m/>
    <m/>
    <n v="6658"/>
    <n v="6102"/>
    <n v="3757"/>
    <n v="3231"/>
    <n v="6428"/>
    <n v="5916"/>
    <n v="16843"/>
    <n v="701.79166666666663"/>
    <n v="15249"/>
    <n v="635.375"/>
    <n v="9795.9249999999993"/>
    <n v="9604.5416666666661"/>
  </r>
  <r>
    <x v="0"/>
    <s v="Alabama State University "/>
    <m/>
    <n v="100724"/>
    <x v="3"/>
    <s v="sem"/>
    <m/>
    <m/>
    <m/>
    <n v="70196"/>
    <n v="64284"/>
    <n v="16252"/>
    <n v="15082"/>
    <n v="69893"/>
    <n v="74906"/>
    <n v="156341"/>
    <n v="5211.3666666666668"/>
    <n v="154272"/>
    <n v="5142.3999999999996"/>
    <n v="0"/>
    <n v="0"/>
    <n v="156341"/>
    <n v="154272"/>
    <m/>
    <m/>
    <m/>
    <m/>
    <m/>
    <m/>
    <m/>
    <m/>
    <n v="0"/>
    <n v="0"/>
    <n v="0"/>
    <n v="0"/>
    <m/>
    <m/>
    <n v="0"/>
    <n v="0"/>
    <m/>
    <m/>
    <n v="5886"/>
    <n v="5871"/>
    <n v="3448"/>
    <n v="3658"/>
    <n v="6108"/>
    <n v="4534"/>
    <n v="15442"/>
    <n v="643.41666666666663"/>
    <n v="14063"/>
    <n v="585.95833333333337"/>
    <n v="5854.7833333333338"/>
    <n v="5728.3583333333327"/>
  </r>
  <r>
    <x v="0"/>
    <s v="Auburn University at Montgomery"/>
    <m/>
    <n v="100830"/>
    <x v="3"/>
    <s v="sem"/>
    <m/>
    <m/>
    <m/>
    <n v="50147"/>
    <n v="44134"/>
    <n v="15040"/>
    <n v="13607"/>
    <n v="49118"/>
    <n v="51295"/>
    <n v="114305"/>
    <n v="3810.1666666666665"/>
    <n v="109036"/>
    <n v="3634.5333333333333"/>
    <n v="77"/>
    <n v="159"/>
    <n v="114305"/>
    <n v="109036"/>
    <m/>
    <m/>
    <m/>
    <m/>
    <m/>
    <m/>
    <m/>
    <m/>
    <n v="0"/>
    <n v="0"/>
    <n v="0"/>
    <n v="0"/>
    <m/>
    <m/>
    <n v="0"/>
    <n v="0"/>
    <m/>
    <m/>
    <n v="6140"/>
    <n v="5482"/>
    <n v="2740"/>
    <n v="2655"/>
    <n v="5581"/>
    <n v="4907"/>
    <n v="14461"/>
    <n v="602.54166666666663"/>
    <n v="13044"/>
    <n v="543.5"/>
    <n v="4412.708333333333"/>
    <n v="4178.0333333333328"/>
  </r>
  <r>
    <x v="0"/>
    <s v="University of North Alabama"/>
    <m/>
    <n v="101879"/>
    <x v="3"/>
    <s v="sem"/>
    <m/>
    <m/>
    <m/>
    <n v="70318"/>
    <n v="69517"/>
    <n v="15907"/>
    <n v="13695"/>
    <n v="75370"/>
    <n v="75503"/>
    <n v="161595"/>
    <n v="5386.5"/>
    <n v="158715"/>
    <n v="5290.5"/>
    <n v="2573"/>
    <n v="2843"/>
    <n v="161595"/>
    <n v="158715"/>
    <m/>
    <m/>
    <m/>
    <m/>
    <m/>
    <m/>
    <m/>
    <m/>
    <n v="0"/>
    <n v="0"/>
    <n v="0"/>
    <n v="0"/>
    <m/>
    <m/>
    <n v="0"/>
    <n v="0"/>
    <m/>
    <m/>
    <n v="6629"/>
    <n v="6294"/>
    <n v="2994"/>
    <n v="3167"/>
    <n v="5698"/>
    <n v="5777"/>
    <n v="15321"/>
    <n v="638.375"/>
    <n v="15238"/>
    <n v="634.91666666666663"/>
    <n v="6024.875"/>
    <n v="5925.416666666667"/>
  </r>
  <r>
    <x v="0"/>
    <s v="University of Montevallo"/>
    <m/>
    <n v="101709"/>
    <x v="4"/>
    <s v="sem"/>
    <m/>
    <m/>
    <m/>
    <n v="31500"/>
    <n v="31661"/>
    <n v="6846"/>
    <n v="5829"/>
    <n v="34130"/>
    <n v="35251"/>
    <n v="72476"/>
    <n v="2415.8666666666668"/>
    <n v="72741"/>
    <n v="2424.6999999999998"/>
    <n v="71"/>
    <n v="52"/>
    <n v="72476"/>
    <n v="72741"/>
    <m/>
    <m/>
    <m/>
    <m/>
    <m/>
    <m/>
    <m/>
    <m/>
    <n v="0"/>
    <n v="0"/>
    <n v="0"/>
    <n v="0"/>
    <m/>
    <m/>
    <n v="0"/>
    <n v="0"/>
    <m/>
    <m/>
    <n v="3514"/>
    <n v="3422"/>
    <n v="2488"/>
    <n v="2367"/>
    <n v="5698"/>
    <n v="3425"/>
    <n v="11700"/>
    <n v="487.5"/>
    <n v="9214"/>
    <n v="383.91666666666669"/>
    <n v="2903.3666666666668"/>
    <n v="2808.6166666666663"/>
  </r>
  <r>
    <x v="0"/>
    <s v="University of West Alabama"/>
    <m/>
    <n v="101587"/>
    <x v="4"/>
    <s v="sem"/>
    <m/>
    <m/>
    <m/>
    <n v="21131"/>
    <n v="23498"/>
    <n v="6056"/>
    <n v="4215"/>
    <n v="25093"/>
    <n v="25288"/>
    <n v="52280"/>
    <n v="1742.6666666666667"/>
    <n v="53001"/>
    <n v="1766.7"/>
    <n v="87"/>
    <n v="139"/>
    <n v="52280"/>
    <n v="53001"/>
    <m/>
    <m/>
    <m/>
    <m/>
    <m/>
    <m/>
    <m/>
    <m/>
    <n v="0"/>
    <n v="0"/>
    <n v="0"/>
    <n v="0"/>
    <m/>
    <m/>
    <n v="0"/>
    <n v="0"/>
    <m/>
    <m/>
    <n v="18582"/>
    <n v="18625"/>
    <n v="10252"/>
    <n v="10100"/>
    <n v="17751"/>
    <n v="15711"/>
    <n v="46585"/>
    <n v="1941.0416666666667"/>
    <n v="44436"/>
    <n v="1851.5"/>
    <n v="3683.7083333333335"/>
    <n v="3618.2"/>
  </r>
  <r>
    <x v="0"/>
    <s v="Athens State University"/>
    <m/>
    <n v="100812"/>
    <x v="5"/>
    <s v="sem"/>
    <m/>
    <m/>
    <m/>
    <n v="32522"/>
    <n v="31712"/>
    <n v="20842"/>
    <n v="19256"/>
    <n v="32338"/>
    <n v="32618"/>
    <n v="85702"/>
    <n v="2856.7333333333331"/>
    <n v="83586"/>
    <n v="2786.2"/>
    <n v="0"/>
    <n v="0"/>
    <n v="85702"/>
    <n v="83586"/>
    <m/>
    <m/>
    <m/>
    <m/>
    <m/>
    <m/>
    <m/>
    <m/>
    <n v="0"/>
    <n v="0"/>
    <n v="0"/>
    <n v="0"/>
    <m/>
    <m/>
    <n v="0"/>
    <n v="0"/>
    <m/>
    <m/>
    <m/>
    <m/>
    <m/>
    <m/>
    <m/>
    <m/>
    <n v="0"/>
    <n v="0"/>
    <n v="0"/>
    <n v="0"/>
    <n v="2856.7333333333331"/>
    <n v="2786.2"/>
  </r>
  <r>
    <x v="0"/>
    <s v="Gadsden State Community College"/>
    <m/>
    <n v="101240"/>
    <x v="6"/>
    <s v="sem"/>
    <m/>
    <m/>
    <m/>
    <n v="70362"/>
    <n v="65629"/>
    <n v="34759"/>
    <n v="25636"/>
    <n v="70491"/>
    <n v="60162"/>
    <n v="175612"/>
    <n v="5853.7333333333336"/>
    <n v="151427"/>
    <n v="5047.5666666666666"/>
    <n v="2689"/>
    <n v="2848"/>
    <n v="175612"/>
    <n v="151427"/>
    <m/>
    <m/>
    <m/>
    <m/>
    <m/>
    <m/>
    <m/>
    <m/>
    <n v="0"/>
    <n v="0"/>
    <n v="0"/>
    <n v="0"/>
    <m/>
    <m/>
    <n v="0"/>
    <n v="0"/>
    <m/>
    <m/>
    <m/>
    <m/>
    <m/>
    <m/>
    <m/>
    <m/>
    <n v="0"/>
    <n v="0"/>
    <n v="0"/>
    <n v="0"/>
    <n v="5853.7333333333336"/>
    <n v="5047.5666666666666"/>
  </r>
  <r>
    <x v="0"/>
    <s v="Jefferson State Community College"/>
    <m/>
    <n v="101505"/>
    <x v="6"/>
    <s v="sem"/>
    <m/>
    <m/>
    <m/>
    <n v="78960"/>
    <n v="74288"/>
    <n v="41971"/>
    <n v="39473"/>
    <n v="81990"/>
    <n v="75268"/>
    <n v="202921"/>
    <n v="6764.0333333333338"/>
    <n v="189029"/>
    <n v="6300.9666666666662"/>
    <n v="5753"/>
    <n v="4722"/>
    <n v="202921"/>
    <n v="189029"/>
    <m/>
    <m/>
    <m/>
    <m/>
    <m/>
    <m/>
    <m/>
    <m/>
    <n v="0"/>
    <n v="0"/>
    <n v="0"/>
    <n v="0"/>
    <m/>
    <m/>
    <n v="0"/>
    <n v="0"/>
    <m/>
    <m/>
    <m/>
    <m/>
    <m/>
    <m/>
    <m/>
    <m/>
    <n v="0"/>
    <n v="0"/>
    <n v="0"/>
    <n v="0"/>
    <n v="6764.0333333333338"/>
    <n v="6300.9666666666662"/>
  </r>
  <r>
    <x v="0"/>
    <s v="John C. Calhoun State Community College "/>
    <m/>
    <n v="101514"/>
    <x v="6"/>
    <s v="sem"/>
    <m/>
    <m/>
    <m/>
    <n v="105691"/>
    <n v="101146"/>
    <n v="46471"/>
    <n v="43406"/>
    <n v="109962"/>
    <n v="102046"/>
    <n v="262124"/>
    <n v="8737.4666666666672"/>
    <n v="246598"/>
    <n v="8219.9333333333325"/>
    <n v="9688"/>
    <n v="9766"/>
    <n v="262124"/>
    <n v="246598"/>
    <m/>
    <m/>
    <m/>
    <m/>
    <m/>
    <m/>
    <m/>
    <m/>
    <n v="0"/>
    <n v="0"/>
    <n v="0"/>
    <n v="0"/>
    <m/>
    <m/>
    <n v="0"/>
    <n v="0"/>
    <m/>
    <m/>
    <m/>
    <m/>
    <m/>
    <m/>
    <m/>
    <m/>
    <n v="0"/>
    <n v="0"/>
    <n v="0"/>
    <n v="0"/>
    <n v="8737.4666666666672"/>
    <n v="8219.9333333333325"/>
  </r>
  <r>
    <x v="0"/>
    <s v="Wallace Community College - Hanceville"/>
    <s v="Met the criteria for Two-Year 2 in 2012-13."/>
    <n v="101295"/>
    <x v="6"/>
    <s v="sem"/>
    <m/>
    <m/>
    <m/>
    <n v="67685"/>
    <n v="59866"/>
    <n v="31282"/>
    <n v="27052"/>
    <n v="61700"/>
    <n v="59667"/>
    <n v="160667"/>
    <n v="5355.5666666666666"/>
    <n v="146585"/>
    <n v="4886.166666666667"/>
    <n v="4673"/>
    <n v="5314"/>
    <n v="160667"/>
    <n v="146585"/>
    <m/>
    <m/>
    <m/>
    <m/>
    <m/>
    <m/>
    <m/>
    <m/>
    <n v="0"/>
    <n v="0"/>
    <n v="0"/>
    <n v="0"/>
    <m/>
    <m/>
    <n v="0"/>
    <n v="0"/>
    <m/>
    <m/>
    <m/>
    <m/>
    <m/>
    <m/>
    <m/>
    <m/>
    <n v="0"/>
    <n v="0"/>
    <n v="0"/>
    <n v="0"/>
    <n v="5355.5666666666666"/>
    <n v="4886.166666666667"/>
  </r>
  <r>
    <x v="0"/>
    <s v="Bevill State Community College"/>
    <m/>
    <n v="102429"/>
    <x v="7"/>
    <s v="sem"/>
    <m/>
    <m/>
    <m/>
    <n v="45434"/>
    <n v="37298"/>
    <n v="19403"/>
    <n v="16306"/>
    <n v="43114"/>
    <n v="38890"/>
    <n v="107951"/>
    <n v="3598.3666666666668"/>
    <n v="92494"/>
    <n v="3083.1333333333332"/>
    <n v="1406"/>
    <n v="2066"/>
    <n v="107951"/>
    <n v="92494"/>
    <m/>
    <m/>
    <m/>
    <m/>
    <m/>
    <m/>
    <m/>
    <m/>
    <n v="0"/>
    <n v="0"/>
    <n v="0"/>
    <n v="0"/>
    <m/>
    <m/>
    <n v="0"/>
    <n v="0"/>
    <m/>
    <m/>
    <m/>
    <m/>
    <m/>
    <m/>
    <m/>
    <m/>
    <n v="0"/>
    <n v="0"/>
    <n v="0"/>
    <n v="0"/>
    <n v="3598.3666666666668"/>
    <n v="3083.1333333333332"/>
  </r>
  <r>
    <x v="0"/>
    <s v="Bishop State Community College"/>
    <m/>
    <n v="102030"/>
    <x v="7"/>
    <s v="sem"/>
    <m/>
    <m/>
    <m/>
    <n v="36750"/>
    <n v="36732"/>
    <n v="16077"/>
    <n v="12916"/>
    <n v="37535"/>
    <n v="37181"/>
    <n v="90362"/>
    <n v="3012.0666666666666"/>
    <n v="86829"/>
    <n v="2894.3"/>
    <n v="3808"/>
    <n v="3231"/>
    <n v="90362"/>
    <n v="86829"/>
    <m/>
    <m/>
    <m/>
    <m/>
    <m/>
    <m/>
    <m/>
    <m/>
    <n v="0"/>
    <n v="0"/>
    <n v="0"/>
    <n v="0"/>
    <m/>
    <m/>
    <n v="0"/>
    <n v="0"/>
    <m/>
    <m/>
    <m/>
    <m/>
    <m/>
    <m/>
    <m/>
    <m/>
    <n v="0"/>
    <n v="0"/>
    <n v="0"/>
    <n v="0"/>
    <n v="3012.0666666666666"/>
    <n v="2894.3"/>
  </r>
  <r>
    <x v="0"/>
    <s v="Central Alabama Community College"/>
    <s v="Met the criteria for Two-Year 3 in 2012-13."/>
    <n v="100760"/>
    <x v="7"/>
    <s v="sem"/>
    <m/>
    <m/>
    <m/>
    <n v="23564"/>
    <n v="23002"/>
    <n v="12652"/>
    <n v="8636"/>
    <n v="26211"/>
    <n v="20219"/>
    <n v="62427"/>
    <n v="2080.9"/>
    <n v="51857"/>
    <n v="1728.5666666666666"/>
    <n v="870"/>
    <n v="455"/>
    <n v="62427"/>
    <n v="51857"/>
    <m/>
    <m/>
    <m/>
    <m/>
    <m/>
    <m/>
    <m/>
    <m/>
    <n v="0"/>
    <n v="0"/>
    <n v="0"/>
    <n v="0"/>
    <m/>
    <m/>
    <n v="0"/>
    <n v="0"/>
    <m/>
    <m/>
    <m/>
    <m/>
    <m/>
    <m/>
    <m/>
    <m/>
    <n v="0"/>
    <n v="0"/>
    <n v="0"/>
    <n v="0"/>
    <n v="2080.9"/>
    <n v="1728.5666666666666"/>
  </r>
  <r>
    <x v="0"/>
    <s v="Enterprise State Community College"/>
    <m/>
    <n v="101143"/>
    <x v="7"/>
    <s v="sem"/>
    <m/>
    <m/>
    <m/>
    <n v="32701"/>
    <n v="29240"/>
    <n v="17224"/>
    <n v="12862"/>
    <n v="31824"/>
    <n v="27961"/>
    <n v="81749"/>
    <n v="2724.9666666666667"/>
    <n v="70063"/>
    <n v="2335.4333333333334"/>
    <n v="2660"/>
    <n v="3088"/>
    <n v="81749"/>
    <n v="70063"/>
    <m/>
    <m/>
    <m/>
    <m/>
    <m/>
    <m/>
    <m/>
    <m/>
    <n v="0"/>
    <n v="0"/>
    <n v="0"/>
    <n v="0"/>
    <m/>
    <m/>
    <n v="0"/>
    <n v="0"/>
    <m/>
    <m/>
    <m/>
    <m/>
    <m/>
    <m/>
    <m/>
    <m/>
    <n v="0"/>
    <n v="0"/>
    <n v="0"/>
    <n v="0"/>
    <n v="2724.9666666666667"/>
    <n v="2335.4333333333334"/>
  </r>
  <r>
    <x v="0"/>
    <s v="George C. Wallace State Community College - Dothan"/>
    <m/>
    <n v="101286"/>
    <x v="7"/>
    <s v="sem"/>
    <m/>
    <m/>
    <m/>
    <n v="48365"/>
    <n v="43429"/>
    <n v="27326"/>
    <n v="21192"/>
    <n v="49568"/>
    <n v="45168"/>
    <n v="125259"/>
    <n v="4175.3"/>
    <n v="109789"/>
    <n v="3659.6333333333332"/>
    <n v="1953"/>
    <n v="2666"/>
    <n v="125259"/>
    <n v="109789"/>
    <m/>
    <m/>
    <m/>
    <m/>
    <m/>
    <m/>
    <m/>
    <m/>
    <n v="0"/>
    <n v="0"/>
    <n v="0"/>
    <n v="0"/>
    <m/>
    <m/>
    <n v="0"/>
    <n v="0"/>
    <m/>
    <m/>
    <m/>
    <m/>
    <m/>
    <m/>
    <m/>
    <m/>
    <n v="0"/>
    <n v="0"/>
    <n v="0"/>
    <n v="0"/>
    <n v="4175.3"/>
    <n v="3659.6333333333332"/>
  </r>
  <r>
    <x v="0"/>
    <s v="James H. Faulkner State Community College"/>
    <m/>
    <n v="101161"/>
    <x v="7"/>
    <s v="sem"/>
    <m/>
    <m/>
    <m/>
    <n v="48165"/>
    <n v="48541"/>
    <n v="22353"/>
    <n v="20014"/>
    <n v="47216"/>
    <n v="47713"/>
    <n v="117734"/>
    <n v="3924.4666666666667"/>
    <n v="116268"/>
    <n v="3875.6"/>
    <n v="2833"/>
    <n v="2813"/>
    <n v="117734"/>
    <n v="116268"/>
    <m/>
    <m/>
    <m/>
    <m/>
    <m/>
    <m/>
    <m/>
    <m/>
    <n v="0"/>
    <n v="0"/>
    <n v="0"/>
    <n v="0"/>
    <m/>
    <m/>
    <n v="0"/>
    <n v="0"/>
    <m/>
    <m/>
    <m/>
    <m/>
    <m/>
    <m/>
    <m/>
    <m/>
    <n v="0"/>
    <n v="0"/>
    <n v="0"/>
    <n v="0"/>
    <n v="3924.4666666666667"/>
    <n v="3875.6"/>
  </r>
  <r>
    <x v="0"/>
    <s v="Lawson State Community College "/>
    <m/>
    <n v="101569"/>
    <x v="7"/>
    <s v="sem"/>
    <m/>
    <m/>
    <m/>
    <n v="46382"/>
    <n v="39365"/>
    <n v="22575"/>
    <n v="12916"/>
    <n v="45440"/>
    <n v="35848"/>
    <n v="114397"/>
    <n v="3813.2333333333331"/>
    <n v="88129"/>
    <n v="2937.6333333333332"/>
    <n v="825"/>
    <n v="840"/>
    <n v="114397"/>
    <n v="88129"/>
    <m/>
    <m/>
    <m/>
    <m/>
    <m/>
    <m/>
    <m/>
    <m/>
    <n v="0"/>
    <n v="0"/>
    <n v="0"/>
    <n v="0"/>
    <m/>
    <m/>
    <n v="0"/>
    <n v="0"/>
    <m/>
    <m/>
    <m/>
    <m/>
    <m/>
    <m/>
    <m/>
    <m/>
    <n v="0"/>
    <n v="0"/>
    <n v="0"/>
    <n v="0"/>
    <n v="3813.2333333333331"/>
    <n v="2937.6333333333332"/>
  </r>
  <r>
    <x v="0"/>
    <s v="Northeast Alabama State Community College "/>
    <m/>
    <n v="101897"/>
    <x v="7"/>
    <s v="sem"/>
    <m/>
    <m/>
    <m/>
    <n v="33700"/>
    <n v="30649"/>
    <n v="17668"/>
    <n v="13647"/>
    <n v="33253"/>
    <n v="31300"/>
    <n v="84621"/>
    <n v="2820.7"/>
    <n v="75596"/>
    <n v="2519.8666666666668"/>
    <n v="3830"/>
    <n v="3917"/>
    <n v="84621"/>
    <n v="75596"/>
    <m/>
    <m/>
    <m/>
    <m/>
    <m/>
    <m/>
    <m/>
    <m/>
    <n v="0"/>
    <n v="0"/>
    <n v="0"/>
    <n v="0"/>
    <m/>
    <m/>
    <n v="0"/>
    <n v="0"/>
    <m/>
    <m/>
    <m/>
    <m/>
    <m/>
    <m/>
    <m/>
    <m/>
    <n v="0"/>
    <n v="0"/>
    <n v="0"/>
    <n v="0"/>
    <n v="2820.7"/>
    <n v="2519.8666666666668"/>
  </r>
  <r>
    <x v="0"/>
    <s v="Northwest-Shoals Community College"/>
    <m/>
    <n v="101736"/>
    <x v="7"/>
    <s v="sem"/>
    <m/>
    <m/>
    <m/>
    <n v="40076"/>
    <n v="34653"/>
    <n v="15184"/>
    <n v="13315"/>
    <n v="38579"/>
    <n v="36130"/>
    <n v="93839"/>
    <n v="3127.9666666666667"/>
    <n v="84098"/>
    <n v="2803.2666666666669"/>
    <n v="4701"/>
    <n v="4002"/>
    <n v="93839"/>
    <n v="84098"/>
    <m/>
    <m/>
    <m/>
    <m/>
    <m/>
    <m/>
    <m/>
    <m/>
    <n v="0"/>
    <n v="0"/>
    <n v="0"/>
    <n v="0"/>
    <m/>
    <m/>
    <n v="0"/>
    <n v="0"/>
    <m/>
    <m/>
    <m/>
    <m/>
    <m/>
    <m/>
    <m/>
    <m/>
    <n v="0"/>
    <n v="0"/>
    <n v="0"/>
    <n v="0"/>
    <n v="3127.9666666666667"/>
    <n v="2803.2666666666669"/>
  </r>
  <r>
    <x v="0"/>
    <s v="Shelton State Community College"/>
    <m/>
    <n v="102067"/>
    <x v="7"/>
    <s v="sem"/>
    <m/>
    <m/>
    <m/>
    <n v="56989"/>
    <n v="48990"/>
    <n v="27055"/>
    <n v="22752"/>
    <n v="54601"/>
    <n v="52247"/>
    <n v="138645"/>
    <n v="4621.5"/>
    <n v="123989"/>
    <n v="4132.9666666666662"/>
    <n v="607"/>
    <n v="501"/>
    <n v="138645"/>
    <n v="123989"/>
    <m/>
    <m/>
    <m/>
    <m/>
    <m/>
    <m/>
    <m/>
    <m/>
    <n v="0"/>
    <n v="0"/>
    <n v="0"/>
    <n v="0"/>
    <m/>
    <m/>
    <n v="0"/>
    <n v="0"/>
    <m/>
    <m/>
    <m/>
    <m/>
    <m/>
    <m/>
    <m/>
    <m/>
    <n v="0"/>
    <n v="0"/>
    <n v="0"/>
    <n v="0"/>
    <n v="4621.5"/>
    <n v="4132.9666666666662"/>
  </r>
  <r>
    <x v="0"/>
    <s v="Southern Union State Community College"/>
    <m/>
    <n v="251260"/>
    <x v="7"/>
    <s v="sem"/>
    <m/>
    <m/>
    <m/>
    <n v="52183"/>
    <n v="52038"/>
    <n v="25024"/>
    <n v="21824"/>
    <n v="56156"/>
    <n v="54079"/>
    <n v="133363"/>
    <n v="4445.4333333333334"/>
    <n v="127941"/>
    <n v="4264.7"/>
    <n v="179"/>
    <n v="799"/>
    <n v="133363"/>
    <n v="127941"/>
    <m/>
    <m/>
    <m/>
    <m/>
    <m/>
    <m/>
    <m/>
    <m/>
    <n v="0"/>
    <n v="0"/>
    <n v="0"/>
    <n v="0"/>
    <m/>
    <m/>
    <n v="0"/>
    <n v="0"/>
    <m/>
    <m/>
    <m/>
    <m/>
    <m/>
    <m/>
    <m/>
    <m/>
    <n v="0"/>
    <n v="0"/>
    <n v="0"/>
    <n v="0"/>
    <n v="4445.4333333333334"/>
    <n v="4264.7"/>
  </r>
  <r>
    <x v="0"/>
    <s v="Alabama Southern Community College"/>
    <m/>
    <n v="101949"/>
    <x v="8"/>
    <s v="sem"/>
    <m/>
    <m/>
    <m/>
    <n v="16644"/>
    <n v="14934"/>
    <n v="7840"/>
    <n v="5146"/>
    <n v="16224"/>
    <n v="14698"/>
    <n v="40708"/>
    <n v="1356.9333333333334"/>
    <n v="34778"/>
    <n v="1159.2666666666667"/>
    <n v="838"/>
    <n v="1146"/>
    <n v="40708"/>
    <n v="34778"/>
    <m/>
    <m/>
    <m/>
    <m/>
    <m/>
    <m/>
    <m/>
    <m/>
    <n v="0"/>
    <n v="0"/>
    <n v="0"/>
    <n v="0"/>
    <m/>
    <m/>
    <n v="0"/>
    <n v="0"/>
    <m/>
    <m/>
    <m/>
    <m/>
    <m/>
    <m/>
    <m/>
    <m/>
    <n v="0"/>
    <n v="0"/>
    <n v="0"/>
    <n v="0"/>
    <n v="1356.9333333333334"/>
    <n v="1159.2666666666667"/>
  </r>
  <r>
    <x v="0"/>
    <s v="Chattahoochee Valley State Community College "/>
    <m/>
    <n v="101028"/>
    <x v="8"/>
    <s v="sem"/>
    <m/>
    <m/>
    <m/>
    <n v="17390"/>
    <n v="16736"/>
    <n v="7473"/>
    <n v="5926"/>
    <n v="17305"/>
    <n v="17951"/>
    <n v="42168"/>
    <n v="1405.6"/>
    <n v="40613"/>
    <n v="1353.7666666666667"/>
    <n v="1103"/>
    <n v="980"/>
    <n v="42168"/>
    <n v="40613"/>
    <m/>
    <m/>
    <m/>
    <m/>
    <m/>
    <m/>
    <m/>
    <m/>
    <n v="0"/>
    <n v="0"/>
    <n v="0"/>
    <n v="0"/>
    <m/>
    <m/>
    <n v="0"/>
    <n v="0"/>
    <m/>
    <m/>
    <m/>
    <m/>
    <m/>
    <m/>
    <m/>
    <m/>
    <n v="0"/>
    <n v="0"/>
    <n v="0"/>
    <n v="0"/>
    <n v="1405.6"/>
    <n v="1353.7666666666667"/>
  </r>
  <r>
    <x v="0"/>
    <s v="George Corley Wallace State Community College - Selma"/>
    <m/>
    <n v="101301"/>
    <x v="8"/>
    <s v="sem"/>
    <m/>
    <m/>
    <m/>
    <n v="20969"/>
    <n v="20519"/>
    <n v="17749"/>
    <n v="10681"/>
    <n v="22129"/>
    <n v="19796"/>
    <n v="60847"/>
    <n v="2028.2333333333333"/>
    <n v="50996"/>
    <n v="1699.8666666666666"/>
    <n v="3352"/>
    <n v="1437"/>
    <n v="60847"/>
    <n v="50996"/>
    <m/>
    <m/>
    <m/>
    <m/>
    <m/>
    <m/>
    <m/>
    <m/>
    <n v="0"/>
    <n v="0"/>
    <n v="0"/>
    <n v="0"/>
    <m/>
    <m/>
    <n v="0"/>
    <n v="0"/>
    <m/>
    <m/>
    <m/>
    <m/>
    <m/>
    <m/>
    <m/>
    <m/>
    <n v="0"/>
    <n v="0"/>
    <n v="0"/>
    <n v="0"/>
    <n v="2028.2333333333333"/>
    <n v="1699.8666666666666"/>
  </r>
  <r>
    <x v="0"/>
    <s v="Jefferson Davis Community College"/>
    <m/>
    <n v="101499"/>
    <x v="8"/>
    <s v="sem"/>
    <m/>
    <m/>
    <m/>
    <n v="13054"/>
    <n v="11575"/>
    <n v="6189"/>
    <n v="4902"/>
    <n v="13058"/>
    <n v="11707"/>
    <n v="32301"/>
    <n v="1076.7"/>
    <n v="28184"/>
    <n v="939.4666666666667"/>
    <n v="335"/>
    <n v="328"/>
    <n v="32301"/>
    <n v="28184"/>
    <m/>
    <m/>
    <m/>
    <m/>
    <m/>
    <m/>
    <m/>
    <m/>
    <n v="0"/>
    <n v="0"/>
    <n v="0"/>
    <n v="0"/>
    <m/>
    <m/>
    <n v="0"/>
    <n v="0"/>
    <m/>
    <m/>
    <m/>
    <m/>
    <m/>
    <m/>
    <m/>
    <m/>
    <n v="0"/>
    <n v="0"/>
    <n v="0"/>
    <n v="0"/>
    <n v="1076.7"/>
    <n v="939.4666666666667"/>
  </r>
  <r>
    <x v="0"/>
    <s v="Lurleen B. Wallace Community College "/>
    <m/>
    <n v="101602"/>
    <x v="8"/>
    <s v="sem"/>
    <m/>
    <m/>
    <m/>
    <n v="18987"/>
    <n v="16461"/>
    <n v="9795"/>
    <n v="7584"/>
    <n v="18627"/>
    <n v="17522"/>
    <n v="47409"/>
    <n v="1580.3"/>
    <n v="41567"/>
    <n v="1385.5666666666666"/>
    <n v="1806"/>
    <n v="1870"/>
    <n v="47409"/>
    <n v="41567"/>
    <m/>
    <m/>
    <m/>
    <m/>
    <m/>
    <m/>
    <m/>
    <m/>
    <n v="0"/>
    <n v="0"/>
    <n v="0"/>
    <n v="0"/>
    <m/>
    <m/>
    <n v="0"/>
    <n v="0"/>
    <m/>
    <m/>
    <m/>
    <m/>
    <m/>
    <m/>
    <m/>
    <m/>
    <n v="0"/>
    <n v="0"/>
    <n v="0"/>
    <n v="0"/>
    <n v="1580.3"/>
    <n v="1385.5666666666666"/>
  </r>
  <r>
    <x v="0"/>
    <s v="Snead State Community College "/>
    <s v="Met the criteria for Two-Year 2 in 2012-13."/>
    <n v="102076"/>
    <x v="8"/>
    <s v="sem"/>
    <m/>
    <m/>
    <m/>
    <n v="24519"/>
    <n v="23965"/>
    <n v="9191"/>
    <n v="8221"/>
    <n v="26027"/>
    <n v="27919"/>
    <n v="59737"/>
    <n v="1991.2333333333333"/>
    <n v="60105"/>
    <n v="2003.5"/>
    <n v="1619"/>
    <n v="1432"/>
    <n v="59737"/>
    <n v="60105"/>
    <m/>
    <m/>
    <m/>
    <m/>
    <m/>
    <m/>
    <m/>
    <m/>
    <n v="0"/>
    <n v="0"/>
    <n v="0"/>
    <n v="0"/>
    <m/>
    <m/>
    <n v="0"/>
    <n v="0"/>
    <m/>
    <m/>
    <m/>
    <m/>
    <m/>
    <m/>
    <m/>
    <m/>
    <n v="0"/>
    <n v="0"/>
    <n v="0"/>
    <n v="0"/>
    <n v="1991.2333333333333"/>
    <n v="2003.5"/>
  </r>
  <r>
    <x v="0"/>
    <s v="Trenholm State Technical College "/>
    <m/>
    <n v="102313"/>
    <x v="9"/>
    <s v="sem"/>
    <m/>
    <m/>
    <m/>
    <n v="18967"/>
    <n v="17016"/>
    <n v="12725"/>
    <n v="8628"/>
    <n v="17810"/>
    <n v="14834"/>
    <n v="49502"/>
    <n v="1650.0666666666666"/>
    <n v="40478"/>
    <n v="1349.2666666666667"/>
    <n v="93"/>
    <n v="210"/>
    <n v="49502"/>
    <n v="40478"/>
    <m/>
    <m/>
    <m/>
    <m/>
    <m/>
    <m/>
    <m/>
    <m/>
    <n v="0"/>
    <n v="0"/>
    <n v="0"/>
    <n v="0"/>
    <m/>
    <m/>
    <n v="0"/>
    <n v="0"/>
    <m/>
    <m/>
    <m/>
    <m/>
    <m/>
    <m/>
    <m/>
    <m/>
    <n v="0"/>
    <n v="0"/>
    <n v="0"/>
    <n v="0"/>
    <n v="1650.0666666666666"/>
    <n v="1349.2666666666667"/>
  </r>
  <r>
    <x v="0"/>
    <s v="J.F. Drake State Technical College "/>
    <m/>
    <n v="101462"/>
    <x v="10"/>
    <s v="sem"/>
    <m/>
    <m/>
    <m/>
    <n v="12358"/>
    <n v="11982"/>
    <n v="7822"/>
    <n v="5837"/>
    <n v="11966"/>
    <n v="11230"/>
    <n v="32146"/>
    <n v="1071.5333333333333"/>
    <n v="29049"/>
    <n v="968.3"/>
    <n v="494"/>
    <n v="2649"/>
    <n v="32146"/>
    <n v="29049"/>
    <m/>
    <m/>
    <m/>
    <m/>
    <m/>
    <m/>
    <m/>
    <m/>
    <n v="0"/>
    <n v="0"/>
    <n v="0"/>
    <n v="0"/>
    <m/>
    <m/>
    <n v="0"/>
    <n v="0"/>
    <m/>
    <m/>
    <m/>
    <m/>
    <m/>
    <m/>
    <m/>
    <m/>
    <n v="0"/>
    <n v="0"/>
    <n v="0"/>
    <n v="0"/>
    <n v="1071.5333333333333"/>
    <n v="968.3"/>
  </r>
  <r>
    <x v="0"/>
    <s v="J.F. Ingram State Technical College "/>
    <m/>
    <n v="101471"/>
    <x v="10"/>
    <s v="sem"/>
    <m/>
    <m/>
    <m/>
    <n v="6793"/>
    <n v="6532"/>
    <n v="6510"/>
    <n v="6591"/>
    <n v="6833"/>
    <n v="5330"/>
    <n v="20136"/>
    <n v="671.2"/>
    <n v="18453"/>
    <n v="615.1"/>
    <n v="0"/>
    <n v="18"/>
    <n v="20136"/>
    <n v="18453"/>
    <m/>
    <m/>
    <m/>
    <m/>
    <m/>
    <m/>
    <m/>
    <m/>
    <n v="0"/>
    <n v="0"/>
    <n v="0"/>
    <n v="0"/>
    <m/>
    <m/>
    <n v="0"/>
    <n v="0"/>
    <m/>
    <m/>
    <m/>
    <m/>
    <m/>
    <m/>
    <m/>
    <m/>
    <n v="0"/>
    <n v="0"/>
    <n v="0"/>
    <n v="0"/>
    <n v="671.2"/>
    <n v="615.1"/>
  </r>
  <r>
    <x v="0"/>
    <s v="Reid State Technical College "/>
    <m/>
    <n v="101994"/>
    <x v="10"/>
    <s v="sem"/>
    <m/>
    <m/>
    <m/>
    <n v="8016"/>
    <n v="6330"/>
    <n v="5670"/>
    <n v="3648"/>
    <n v="8087"/>
    <n v="5584"/>
    <n v="21773"/>
    <n v="725.76666666666665"/>
    <n v="15562"/>
    <n v="518.73333333333335"/>
    <n v="1072"/>
    <n v="704"/>
    <n v="21773"/>
    <n v="15562"/>
    <m/>
    <m/>
    <m/>
    <m/>
    <m/>
    <m/>
    <m/>
    <m/>
    <n v="0"/>
    <n v="0"/>
    <n v="0"/>
    <n v="0"/>
    <m/>
    <m/>
    <n v="0"/>
    <n v="0"/>
    <m/>
    <m/>
    <m/>
    <m/>
    <m/>
    <m/>
    <m/>
    <m/>
    <n v="0"/>
    <n v="0"/>
    <n v="0"/>
    <n v="0"/>
    <n v="725.76666666666665"/>
    <n v="518.73333333333335"/>
  </r>
  <r>
    <x v="1"/>
    <s v="University of Arkansas, Fayetteville"/>
    <m/>
    <n v="106397"/>
    <x v="0"/>
    <s v="sem"/>
    <m/>
    <m/>
    <m/>
    <n v="223699"/>
    <n v="246316"/>
    <n v="40511"/>
    <n v="42076"/>
    <n v="261683"/>
    <n v="281242"/>
    <n v="525893"/>
    <n v="17529.766666666666"/>
    <n v="569634"/>
    <n v="18987.8"/>
    <n v="98"/>
    <n v="129"/>
    <n v="525893"/>
    <n v="569634"/>
    <m/>
    <m/>
    <m/>
    <m/>
    <m/>
    <m/>
    <m/>
    <m/>
    <n v="0"/>
    <n v="0"/>
    <n v="0"/>
    <n v="0"/>
    <m/>
    <m/>
    <n v="0"/>
    <n v="0"/>
    <m/>
    <m/>
    <n v="33004"/>
    <n v="32580"/>
    <n v="11213"/>
    <n v="11596"/>
    <n v="32966"/>
    <n v="33033"/>
    <n v="77183"/>
    <n v="3215.9583333333335"/>
    <n v="77209"/>
    <n v="3217.0416666666665"/>
    <n v="20745.724999999999"/>
    <n v="22204.841666666667"/>
  </r>
  <r>
    <x v="1"/>
    <s v="Arkansas State University"/>
    <m/>
    <n v="106458"/>
    <x v="2"/>
    <s v="sem"/>
    <m/>
    <m/>
    <m/>
    <n v="121311"/>
    <n v="122334"/>
    <n v="24842"/>
    <n v="23610"/>
    <n v="130144"/>
    <n v="131785"/>
    <n v="276297"/>
    <n v="9209.9"/>
    <n v="277729"/>
    <n v="9257.6333333333332"/>
    <n v="3258"/>
    <n v="3670"/>
    <n v="276297"/>
    <n v="277729"/>
    <m/>
    <m/>
    <m/>
    <m/>
    <m/>
    <m/>
    <m/>
    <m/>
    <n v="0"/>
    <n v="0"/>
    <n v="0"/>
    <n v="0"/>
    <m/>
    <m/>
    <n v="0"/>
    <n v="0"/>
    <m/>
    <m/>
    <n v="32427"/>
    <n v="30065"/>
    <n v="18831"/>
    <n v="18372"/>
    <n v="31621"/>
    <n v="30058"/>
    <n v="82879"/>
    <n v="3453.2916666666665"/>
    <n v="78495"/>
    <n v="3270.625"/>
    <n v="12663.191666666666"/>
    <n v="12528.258333333333"/>
  </r>
  <r>
    <x v="1"/>
    <s v="Arkansas Tech University"/>
    <s v="Reclassified: met the criteria for Four-Year 3 in 2010-11, 2011-12 and 2012-13."/>
    <n v="106467"/>
    <x v="2"/>
    <s v="sem"/>
    <m/>
    <m/>
    <m/>
    <n v="95372"/>
    <n v="98931"/>
    <n v="15748"/>
    <n v="15630"/>
    <n v="106982"/>
    <n v="108145"/>
    <n v="218102"/>
    <n v="7270.0666666666666"/>
    <n v="222706"/>
    <n v="7423.5333333333338"/>
    <n v="5942"/>
    <n v="5994"/>
    <n v="218102"/>
    <n v="222706"/>
    <m/>
    <m/>
    <m/>
    <m/>
    <m/>
    <m/>
    <m/>
    <m/>
    <n v="0"/>
    <n v="0"/>
    <n v="0"/>
    <n v="0"/>
    <m/>
    <m/>
    <n v="0"/>
    <n v="0"/>
    <m/>
    <m/>
    <n v="4287"/>
    <n v="4819"/>
    <n v="4221"/>
    <n v="4911"/>
    <n v="4800"/>
    <n v="5179"/>
    <n v="13308"/>
    <n v="554.5"/>
    <n v="14909"/>
    <n v="621.20833333333337"/>
    <n v="7824.5666666666666"/>
    <n v="8044.7416666666668"/>
  </r>
  <r>
    <x v="1"/>
    <s v="University of Arkansas at Little Rock"/>
    <s v="Met the criteria for Four-Year 2 in 2012-13."/>
    <n v="106245"/>
    <x v="2"/>
    <s v="sem"/>
    <m/>
    <m/>
    <m/>
    <n v="103304"/>
    <n v="104543"/>
    <n v="23400"/>
    <n v="22237"/>
    <n v="110459"/>
    <n v="110450"/>
    <n v="237163"/>
    <n v="7905.4333333333334"/>
    <n v="237230"/>
    <n v="7907.666666666667"/>
    <n v="12669"/>
    <n v="15191"/>
    <n v="237163"/>
    <n v="237230"/>
    <m/>
    <m/>
    <m/>
    <m/>
    <m/>
    <m/>
    <m/>
    <m/>
    <n v="0"/>
    <n v="0"/>
    <n v="0"/>
    <n v="0"/>
    <m/>
    <m/>
    <n v="0"/>
    <n v="0"/>
    <m/>
    <m/>
    <n v="21406"/>
    <n v="19512"/>
    <n v="7059"/>
    <n v="6389"/>
    <n v="21847"/>
    <n v="20809"/>
    <n v="50312"/>
    <n v="2096.3333333333335"/>
    <n v="46710"/>
    <n v="1946.25"/>
    <n v="10001.766666666666"/>
    <n v="9853.9166666666679"/>
  </r>
  <r>
    <x v="1"/>
    <s v="University of Central Arkansas "/>
    <m/>
    <n v="106704"/>
    <x v="2"/>
    <s v="sem"/>
    <m/>
    <m/>
    <m/>
    <n v="120795"/>
    <n v="114123"/>
    <n v="19771"/>
    <n v="17883"/>
    <n v="128853"/>
    <n v="129238"/>
    <n v="269419"/>
    <n v="8980.6333333333332"/>
    <n v="261244"/>
    <n v="8708.1333333333332"/>
    <n v="3989"/>
    <n v="2287"/>
    <n v="269419"/>
    <n v="261244"/>
    <m/>
    <m/>
    <m/>
    <m/>
    <m/>
    <m/>
    <m/>
    <m/>
    <n v="0"/>
    <n v="0"/>
    <n v="0"/>
    <n v="0"/>
    <m/>
    <m/>
    <n v="0"/>
    <n v="0"/>
    <m/>
    <m/>
    <n v="12640"/>
    <n v="12195"/>
    <n v="8081"/>
    <n v="7867"/>
    <n v="12286"/>
    <n v="11968"/>
    <n v="33007"/>
    <n v="1375.2916666666667"/>
    <n v="32030"/>
    <n v="1334.5833333333333"/>
    <n v="10355.924999999999"/>
    <n v="10042.716666666667"/>
  </r>
  <r>
    <x v="1"/>
    <s v="Henderson State University"/>
    <m/>
    <n v="107071"/>
    <x v="3"/>
    <s v="sem"/>
    <m/>
    <m/>
    <m/>
    <n v="43590"/>
    <n v="43169"/>
    <n v="7129"/>
    <n v="5624"/>
    <n v="47323"/>
    <n v="47196"/>
    <n v="98042"/>
    <n v="3268.0666666666666"/>
    <n v="95989"/>
    <n v="3199.6333333333332"/>
    <n v="30"/>
    <n v="35"/>
    <n v="98042"/>
    <n v="95989"/>
    <m/>
    <m/>
    <m/>
    <m/>
    <m/>
    <m/>
    <m/>
    <m/>
    <n v="0"/>
    <n v="0"/>
    <n v="0"/>
    <n v="0"/>
    <m/>
    <m/>
    <n v="0"/>
    <n v="0"/>
    <m/>
    <m/>
    <n v="2408"/>
    <n v="2586"/>
    <n v="3238"/>
    <n v="3120"/>
    <n v="2334"/>
    <n v="2498"/>
    <n v="7980"/>
    <n v="332.5"/>
    <n v="8204"/>
    <n v="341.83333333333331"/>
    <n v="3600.5666666666666"/>
    <n v="3541.4666666666667"/>
  </r>
  <r>
    <x v="1"/>
    <s v="Southern Arkansas University"/>
    <m/>
    <n v="107983"/>
    <x v="3"/>
    <s v="sem"/>
    <m/>
    <m/>
    <m/>
    <n v="37068"/>
    <n v="36593"/>
    <n v="5367"/>
    <n v="4813"/>
    <n v="41110"/>
    <n v="39975"/>
    <n v="83545"/>
    <n v="2784.8333333333335"/>
    <n v="81381"/>
    <n v="2712.7"/>
    <n v="694"/>
    <n v="1008"/>
    <n v="83545"/>
    <n v="81381"/>
    <m/>
    <m/>
    <m/>
    <m/>
    <m/>
    <m/>
    <m/>
    <m/>
    <n v="0"/>
    <n v="0"/>
    <n v="0"/>
    <n v="0"/>
    <m/>
    <m/>
    <n v="0"/>
    <n v="0"/>
    <m/>
    <m/>
    <n v="2813"/>
    <n v="2750"/>
    <n v="2013"/>
    <n v="2344"/>
    <n v="2722"/>
    <n v="2737"/>
    <n v="7548"/>
    <n v="314.5"/>
    <n v="7831"/>
    <n v="326.29166666666669"/>
    <n v="3099.3333333333335"/>
    <n v="3038.9916666666663"/>
  </r>
  <r>
    <x v="1"/>
    <s v="University of Arkansas at Monticello"/>
    <m/>
    <n v="106485"/>
    <x v="4"/>
    <s v="sem"/>
    <m/>
    <m/>
    <m/>
    <n v="30307"/>
    <n v="31870"/>
    <n v="6430"/>
    <n v="4622"/>
    <n v="35265"/>
    <n v="34112"/>
    <n v="72002"/>
    <n v="2400.0666666666666"/>
    <n v="70604"/>
    <n v="2353.4666666666667"/>
    <n v="3921"/>
    <n v="4390"/>
    <n v="72002"/>
    <n v="70604"/>
    <m/>
    <m/>
    <m/>
    <m/>
    <m/>
    <m/>
    <m/>
    <m/>
    <n v="0"/>
    <n v="0"/>
    <n v="0"/>
    <n v="0"/>
    <m/>
    <m/>
    <n v="0"/>
    <n v="0"/>
    <m/>
    <m/>
    <n v="805"/>
    <n v="618"/>
    <n v="616"/>
    <n v="828"/>
    <n v="658"/>
    <n v="696"/>
    <n v="2079"/>
    <n v="86.625"/>
    <n v="2142"/>
    <n v="89.25"/>
    <n v="2486.6916666666666"/>
    <n v="2442.7166666666667"/>
  </r>
  <r>
    <x v="1"/>
    <s v="University of Arkansas at Fort Smith"/>
    <m/>
    <n v="108092"/>
    <x v="5"/>
    <s v="sem"/>
    <m/>
    <m/>
    <m/>
    <n v="81617"/>
    <n v="78825"/>
    <n v="16468"/>
    <n v="14723"/>
    <n v="87010"/>
    <n v="84807"/>
    <n v="185095"/>
    <n v="6169.833333333333"/>
    <n v="178355"/>
    <n v="5945.166666666667"/>
    <n v="1796"/>
    <n v="1530"/>
    <n v="185095"/>
    <n v="178355"/>
    <m/>
    <m/>
    <m/>
    <m/>
    <m/>
    <m/>
    <m/>
    <m/>
    <n v="0"/>
    <n v="0"/>
    <n v="0"/>
    <n v="0"/>
    <m/>
    <m/>
    <n v="0"/>
    <n v="0"/>
    <m/>
    <m/>
    <n v="0"/>
    <n v="0"/>
    <n v="0"/>
    <n v="0"/>
    <n v="0"/>
    <n v="0"/>
    <n v="0"/>
    <n v="0"/>
    <n v="0"/>
    <n v="0"/>
    <n v="6169.833333333333"/>
    <n v="5945.166666666667"/>
  </r>
  <r>
    <x v="1"/>
    <s v="University of Arkansas at Pine Bluff"/>
    <s v="Met the criteria for Four-Year 5 in 2012-13."/>
    <n v="106412"/>
    <x v="5"/>
    <s v="sem"/>
    <m/>
    <m/>
    <m/>
    <n v="39816"/>
    <n v="37521"/>
    <n v="6408"/>
    <n v="5110"/>
    <n v="42531"/>
    <n v="37638"/>
    <n v="88755"/>
    <n v="2958.5"/>
    <n v="80269"/>
    <n v="2675.6333333333332"/>
    <n v="9"/>
    <n v="0"/>
    <n v="88755"/>
    <n v="80269"/>
    <m/>
    <m/>
    <m/>
    <m/>
    <m/>
    <m/>
    <m/>
    <m/>
    <n v="0"/>
    <n v="0"/>
    <n v="0"/>
    <n v="0"/>
    <m/>
    <m/>
    <n v="0"/>
    <n v="0"/>
    <m/>
    <m/>
    <n v="821"/>
    <n v="732"/>
    <n v="296"/>
    <n v="277"/>
    <n v="768"/>
    <n v="623"/>
    <n v="1885"/>
    <n v="78.541666666666671"/>
    <n v="1632"/>
    <n v="68"/>
    <n v="3037.0416666666665"/>
    <n v="2743.6333333333332"/>
  </r>
  <r>
    <x v="1"/>
    <s v="Northwest Arkansas Community College "/>
    <m/>
    <n v="367459"/>
    <x v="6"/>
    <s v="sem"/>
    <m/>
    <m/>
    <m/>
    <n v="75886"/>
    <n v="74726"/>
    <n v="18386"/>
    <n v="16520"/>
    <n v="79810"/>
    <n v="78348"/>
    <n v="174082"/>
    <n v="5802.7333333333336"/>
    <n v="169594"/>
    <n v="5653.1333333333332"/>
    <n v="5733"/>
    <n v="6400"/>
    <n v="174082"/>
    <n v="169594"/>
    <m/>
    <m/>
    <m/>
    <m/>
    <m/>
    <m/>
    <m/>
    <m/>
    <n v="0"/>
    <n v="0"/>
    <n v="0"/>
    <n v="0"/>
    <m/>
    <m/>
    <n v="0"/>
    <n v="0"/>
    <m/>
    <m/>
    <m/>
    <m/>
    <m/>
    <m/>
    <m/>
    <m/>
    <n v="0"/>
    <n v="0"/>
    <n v="0"/>
    <n v="0"/>
    <n v="5802.7333333333336"/>
    <n v="5653.1333333333332"/>
  </r>
  <r>
    <x v="1"/>
    <s v="Pulaski Technical College"/>
    <m/>
    <n v="107664"/>
    <x v="6"/>
    <s v="sem"/>
    <m/>
    <m/>
    <m/>
    <n v="114525"/>
    <n v="118448"/>
    <n v="27409"/>
    <n v="21689"/>
    <n v="119230"/>
    <n v="116649"/>
    <n v="261164"/>
    <n v="8705.4666666666672"/>
    <n v="256786"/>
    <n v="8559.5333333333328"/>
    <n v="3008"/>
    <n v="1261"/>
    <n v="261164"/>
    <n v="256786"/>
    <m/>
    <m/>
    <m/>
    <m/>
    <m/>
    <m/>
    <m/>
    <m/>
    <n v="0"/>
    <n v="0"/>
    <n v="0"/>
    <n v="0"/>
    <m/>
    <m/>
    <n v="0"/>
    <n v="0"/>
    <m/>
    <m/>
    <m/>
    <m/>
    <m/>
    <m/>
    <m/>
    <m/>
    <n v="0"/>
    <n v="0"/>
    <n v="0"/>
    <n v="0"/>
    <n v="8705.4666666666672"/>
    <n v="8559.5333333333328"/>
  </r>
  <r>
    <x v="1"/>
    <s v="Arkansas State University-Beebe"/>
    <m/>
    <n v="106449"/>
    <x v="7"/>
    <s v="sem"/>
    <m/>
    <m/>
    <m/>
    <n v="47248"/>
    <n v="45198"/>
    <n v="10143"/>
    <n v="9675"/>
    <n v="48016"/>
    <n v="47448"/>
    <n v="105407"/>
    <n v="3513.5666666666666"/>
    <n v="102321"/>
    <n v="3410.7"/>
    <n v="6115"/>
    <n v="5744"/>
    <n v="105407"/>
    <n v="102321"/>
    <m/>
    <m/>
    <m/>
    <m/>
    <m/>
    <m/>
    <m/>
    <m/>
    <n v="0"/>
    <n v="0"/>
    <n v="0"/>
    <n v="0"/>
    <m/>
    <m/>
    <n v="0"/>
    <n v="0"/>
    <m/>
    <m/>
    <m/>
    <m/>
    <m/>
    <m/>
    <m/>
    <m/>
    <n v="0"/>
    <n v="0"/>
    <n v="0"/>
    <n v="0"/>
    <n v="3513.5666666666666"/>
    <n v="3410.7"/>
  </r>
  <r>
    <x v="1"/>
    <s v="National Park Community College"/>
    <m/>
    <n v="106980"/>
    <x v="7"/>
    <s v="sem"/>
    <m/>
    <m/>
    <m/>
    <n v="37006"/>
    <n v="36294"/>
    <n v="8939"/>
    <n v="5944"/>
    <n v="40368"/>
    <n v="33758"/>
    <n v="86313"/>
    <n v="2877.1"/>
    <n v="75996"/>
    <n v="2533.1999999999998"/>
    <n v="5369"/>
    <n v="5339"/>
    <n v="86313"/>
    <n v="75996"/>
    <m/>
    <m/>
    <m/>
    <m/>
    <m/>
    <m/>
    <m/>
    <m/>
    <n v="0"/>
    <n v="0"/>
    <n v="0"/>
    <n v="0"/>
    <m/>
    <m/>
    <n v="0"/>
    <n v="0"/>
    <m/>
    <m/>
    <m/>
    <m/>
    <m/>
    <m/>
    <m/>
    <m/>
    <n v="0"/>
    <n v="0"/>
    <n v="0"/>
    <n v="0"/>
    <n v="2877.1"/>
    <n v="2533.1999999999998"/>
  </r>
  <r>
    <x v="1"/>
    <s v="Arkansas Northeastern College"/>
    <m/>
    <n v="107327"/>
    <x v="8"/>
    <s v="sem"/>
    <m/>
    <m/>
    <m/>
    <n v="18136"/>
    <n v="16635"/>
    <n v="4353"/>
    <n v="3987"/>
    <n v="18526"/>
    <n v="16099"/>
    <n v="41015"/>
    <n v="1367.1666666666667"/>
    <n v="36721"/>
    <n v="1224.0333333333333"/>
    <n v="1315"/>
    <n v="893"/>
    <n v="41015"/>
    <n v="36721"/>
    <m/>
    <m/>
    <m/>
    <m/>
    <m/>
    <m/>
    <m/>
    <m/>
    <n v="0"/>
    <n v="0"/>
    <n v="0"/>
    <n v="0"/>
    <m/>
    <m/>
    <n v="0"/>
    <n v="0"/>
    <m/>
    <m/>
    <m/>
    <m/>
    <m/>
    <m/>
    <m/>
    <m/>
    <n v="0"/>
    <n v="0"/>
    <n v="0"/>
    <n v="0"/>
    <n v="1367.1666666666667"/>
    <n v="1224.0333333333333"/>
  </r>
  <r>
    <x v="1"/>
    <s v="Arkansas State University Mountain Home"/>
    <m/>
    <n v="420538"/>
    <x v="8"/>
    <s v="sem"/>
    <m/>
    <m/>
    <m/>
    <n v="15864"/>
    <n v="16307"/>
    <n v="3293"/>
    <n v="2857"/>
    <n v="16415"/>
    <n v="16162"/>
    <n v="35572"/>
    <n v="1185.7333333333333"/>
    <n v="35326"/>
    <n v="1177.5333333333333"/>
    <n v="535"/>
    <n v="554"/>
    <n v="35572"/>
    <n v="35326"/>
    <m/>
    <m/>
    <m/>
    <m/>
    <m/>
    <m/>
    <m/>
    <m/>
    <n v="0"/>
    <n v="0"/>
    <n v="0"/>
    <n v="0"/>
    <m/>
    <m/>
    <n v="0"/>
    <n v="0"/>
    <m/>
    <m/>
    <m/>
    <m/>
    <m/>
    <m/>
    <m/>
    <m/>
    <n v="0"/>
    <n v="0"/>
    <n v="0"/>
    <n v="0"/>
    <n v="1185.7333333333333"/>
    <n v="1177.5333333333333"/>
  </r>
  <r>
    <x v="1"/>
    <s v="Arkansas State University-Newport"/>
    <m/>
    <n v="440402"/>
    <x v="8"/>
    <s v="sem"/>
    <m/>
    <m/>
    <m/>
    <n v="16402"/>
    <n v="16455"/>
    <n v="7597"/>
    <n v="7850"/>
    <n v="18492"/>
    <n v="15713"/>
    <n v="42491"/>
    <n v="1416.3666666666666"/>
    <n v="40018"/>
    <n v="1333.9333333333334"/>
    <n v="3734"/>
    <n v="2129"/>
    <n v="42491"/>
    <n v="40018"/>
    <m/>
    <m/>
    <m/>
    <m/>
    <m/>
    <m/>
    <m/>
    <m/>
    <n v="0"/>
    <n v="0"/>
    <n v="0"/>
    <n v="0"/>
    <m/>
    <m/>
    <n v="0"/>
    <n v="0"/>
    <m/>
    <m/>
    <m/>
    <m/>
    <m/>
    <m/>
    <m/>
    <m/>
    <n v="0"/>
    <n v="0"/>
    <n v="0"/>
    <n v="0"/>
    <n v="1416.3666666666666"/>
    <n v="1333.9333333333334"/>
  </r>
  <r>
    <x v="1"/>
    <s v="Black River Technical College"/>
    <m/>
    <n v="106625"/>
    <x v="8"/>
    <s v="sem"/>
    <m/>
    <m/>
    <m/>
    <n v="28136"/>
    <n v="26678"/>
    <n v="6566"/>
    <n v="5370"/>
    <n v="28259"/>
    <n v="27189"/>
    <n v="62961"/>
    <n v="2098.6999999999998"/>
    <n v="59237"/>
    <n v="1974.5666666666666"/>
    <n v="2325"/>
    <n v="2681"/>
    <n v="62961"/>
    <n v="59237"/>
    <m/>
    <m/>
    <m/>
    <m/>
    <m/>
    <m/>
    <m/>
    <m/>
    <n v="0"/>
    <n v="0"/>
    <n v="0"/>
    <n v="0"/>
    <m/>
    <m/>
    <n v="0"/>
    <n v="0"/>
    <m/>
    <m/>
    <m/>
    <m/>
    <m/>
    <m/>
    <m/>
    <m/>
    <n v="0"/>
    <n v="0"/>
    <n v="0"/>
    <n v="0"/>
    <n v="2098.6999999999998"/>
    <n v="1974.5666666666666"/>
  </r>
  <r>
    <x v="1"/>
    <s v="College of the Ouachitas"/>
    <m/>
    <n v="107521"/>
    <x v="8"/>
    <s v="sem"/>
    <m/>
    <m/>
    <m/>
    <n v="11877"/>
    <n v="10597"/>
    <n v="2590"/>
    <n v="2342"/>
    <n v="11276"/>
    <n v="11431"/>
    <n v="25743"/>
    <n v="858.1"/>
    <n v="24370"/>
    <n v="812.33333333333337"/>
    <n v="2047"/>
    <n v="2393"/>
    <n v="25743"/>
    <n v="24370"/>
    <m/>
    <m/>
    <m/>
    <m/>
    <m/>
    <m/>
    <m/>
    <m/>
    <n v="0"/>
    <n v="0"/>
    <n v="0"/>
    <n v="0"/>
    <m/>
    <m/>
    <n v="0"/>
    <n v="0"/>
    <m/>
    <m/>
    <m/>
    <m/>
    <m/>
    <m/>
    <m/>
    <m/>
    <n v="0"/>
    <n v="0"/>
    <n v="0"/>
    <n v="0"/>
    <n v="858.1"/>
    <n v="812.33333333333337"/>
  </r>
  <r>
    <x v="1"/>
    <s v="Cossatot Community College of the University of Arkansas"/>
    <m/>
    <n v="106795"/>
    <x v="8"/>
    <s v="sem"/>
    <m/>
    <m/>
    <m/>
    <n v="14067"/>
    <n v="12387"/>
    <n v="3942"/>
    <n v="2973"/>
    <n v="13642"/>
    <n v="14313"/>
    <n v="31651"/>
    <n v="1055.0333333333333"/>
    <n v="29673"/>
    <n v="989.1"/>
    <n v="3366"/>
    <n v="3561"/>
    <n v="31651"/>
    <n v="29673"/>
    <m/>
    <m/>
    <m/>
    <m/>
    <m/>
    <m/>
    <m/>
    <m/>
    <n v="0"/>
    <n v="0"/>
    <n v="0"/>
    <n v="0"/>
    <m/>
    <m/>
    <n v="0"/>
    <n v="0"/>
    <m/>
    <m/>
    <m/>
    <m/>
    <m/>
    <m/>
    <m/>
    <m/>
    <n v="0"/>
    <n v="0"/>
    <n v="0"/>
    <n v="0"/>
    <n v="1055.0333333333333"/>
    <n v="989.1"/>
  </r>
  <r>
    <x v="1"/>
    <s v="East Arkansas Community College "/>
    <m/>
    <n v="106883"/>
    <x v="8"/>
    <s v="sem"/>
    <m/>
    <m/>
    <m/>
    <n v="12789"/>
    <n v="11239"/>
    <n v="4393"/>
    <n v="3415"/>
    <n v="12236"/>
    <n v="13468"/>
    <n v="29418"/>
    <n v="980.6"/>
    <n v="28122"/>
    <n v="937.4"/>
    <n v="1021"/>
    <n v="2030"/>
    <n v="29418"/>
    <n v="28122"/>
    <m/>
    <m/>
    <m/>
    <m/>
    <m/>
    <m/>
    <m/>
    <m/>
    <n v="0"/>
    <n v="0"/>
    <n v="0"/>
    <n v="0"/>
    <m/>
    <m/>
    <n v="0"/>
    <n v="0"/>
    <m/>
    <m/>
    <m/>
    <m/>
    <m/>
    <m/>
    <m/>
    <m/>
    <n v="0"/>
    <n v="0"/>
    <n v="0"/>
    <n v="0"/>
    <n v="980.6"/>
    <n v="937.4"/>
  </r>
  <r>
    <x v="1"/>
    <s v="Mid-South Community College "/>
    <m/>
    <n v="107318"/>
    <x v="8"/>
    <s v="sem"/>
    <m/>
    <m/>
    <m/>
    <n v="16776"/>
    <n v="17322"/>
    <n v="3003"/>
    <n v="2726"/>
    <n v="18875"/>
    <n v="17703"/>
    <n v="38654"/>
    <n v="1288.4666666666667"/>
    <n v="37751"/>
    <n v="1258.3666666666666"/>
    <n v="4612"/>
    <n v="4902"/>
    <n v="38654"/>
    <n v="37751"/>
    <m/>
    <m/>
    <m/>
    <m/>
    <m/>
    <m/>
    <m/>
    <m/>
    <n v="0"/>
    <n v="0"/>
    <n v="0"/>
    <n v="0"/>
    <m/>
    <m/>
    <n v="0"/>
    <n v="0"/>
    <m/>
    <m/>
    <m/>
    <m/>
    <m/>
    <m/>
    <m/>
    <m/>
    <n v="0"/>
    <n v="0"/>
    <n v="0"/>
    <n v="0"/>
    <n v="1288.4666666666667"/>
    <n v="1258.3666666666666"/>
  </r>
  <r>
    <x v="1"/>
    <s v="North Arkansas College"/>
    <m/>
    <n v="107460"/>
    <x v="8"/>
    <s v="sem"/>
    <m/>
    <m/>
    <m/>
    <n v="25665"/>
    <n v="24309"/>
    <n v="4023"/>
    <n v="2910"/>
    <n v="25315"/>
    <n v="24390"/>
    <n v="55003"/>
    <n v="1833.4333333333334"/>
    <n v="51609"/>
    <n v="1720.3"/>
    <n v="579"/>
    <n v="791"/>
    <n v="55003"/>
    <n v="51609"/>
    <m/>
    <m/>
    <m/>
    <m/>
    <m/>
    <m/>
    <m/>
    <m/>
    <n v="0"/>
    <n v="0"/>
    <n v="0"/>
    <n v="0"/>
    <m/>
    <m/>
    <n v="0"/>
    <n v="0"/>
    <m/>
    <m/>
    <m/>
    <m/>
    <m/>
    <m/>
    <m/>
    <m/>
    <n v="0"/>
    <n v="0"/>
    <n v="0"/>
    <n v="0"/>
    <n v="1833.4333333333334"/>
    <n v="1720.3"/>
  </r>
  <r>
    <x v="1"/>
    <s v="Ozarka College "/>
    <m/>
    <n v="107549"/>
    <x v="8"/>
    <s v="sem"/>
    <m/>
    <m/>
    <m/>
    <n v="17169"/>
    <n v="16870"/>
    <n v="3965"/>
    <n v="3635"/>
    <n v="17576"/>
    <n v="16710"/>
    <n v="38710"/>
    <n v="1290.3333333333333"/>
    <n v="37215"/>
    <n v="1240.5"/>
    <n v="1020"/>
    <n v="1519"/>
    <n v="38710"/>
    <n v="37215"/>
    <m/>
    <m/>
    <m/>
    <m/>
    <m/>
    <m/>
    <m/>
    <m/>
    <n v="0"/>
    <n v="0"/>
    <n v="0"/>
    <n v="0"/>
    <m/>
    <m/>
    <n v="0"/>
    <n v="0"/>
    <m/>
    <m/>
    <m/>
    <m/>
    <m/>
    <m/>
    <m/>
    <m/>
    <n v="0"/>
    <n v="0"/>
    <n v="0"/>
    <n v="0"/>
    <n v="1290.3333333333333"/>
    <n v="1240.5"/>
  </r>
  <r>
    <x v="1"/>
    <s v="Phillips Community College of the Univ of Arkansas"/>
    <m/>
    <n v="107619"/>
    <x v="8"/>
    <s v="sem"/>
    <m/>
    <m/>
    <m/>
    <n v="17287"/>
    <n v="15618"/>
    <n v="3844"/>
    <n v="2799"/>
    <n v="18885"/>
    <n v="16978"/>
    <n v="40016"/>
    <n v="1333.8666666666666"/>
    <n v="35395"/>
    <n v="1179.8333333333333"/>
    <n v="6604"/>
    <n v="7104"/>
    <n v="40016"/>
    <n v="35395"/>
    <m/>
    <m/>
    <m/>
    <m/>
    <m/>
    <m/>
    <m/>
    <m/>
    <n v="0"/>
    <n v="0"/>
    <n v="0"/>
    <n v="0"/>
    <m/>
    <m/>
    <n v="0"/>
    <n v="0"/>
    <m/>
    <m/>
    <m/>
    <m/>
    <m/>
    <m/>
    <m/>
    <m/>
    <n v="0"/>
    <n v="0"/>
    <n v="0"/>
    <n v="0"/>
    <n v="1333.8666666666666"/>
    <n v="1179.8333333333333"/>
  </r>
  <r>
    <x v="1"/>
    <s v="Rich Mountain Community College "/>
    <m/>
    <n v="107743"/>
    <x v="8"/>
    <s v="sem"/>
    <m/>
    <m/>
    <m/>
    <n v="8658"/>
    <n v="7202"/>
    <n v="1459"/>
    <n v="1540"/>
    <n v="8434"/>
    <n v="8950"/>
    <n v="18551"/>
    <n v="618.36666666666667"/>
    <n v="17692"/>
    <n v="589.73333333333335"/>
    <n v="386"/>
    <n v="1379"/>
    <n v="18551"/>
    <n v="17692"/>
    <m/>
    <m/>
    <m/>
    <m/>
    <m/>
    <m/>
    <m/>
    <m/>
    <n v="0"/>
    <n v="0"/>
    <n v="0"/>
    <n v="0"/>
    <m/>
    <m/>
    <n v="0"/>
    <n v="0"/>
    <m/>
    <m/>
    <m/>
    <m/>
    <m/>
    <m/>
    <m/>
    <m/>
    <n v="0"/>
    <n v="0"/>
    <n v="0"/>
    <n v="0"/>
    <n v="618.36666666666667"/>
    <n v="589.73333333333335"/>
  </r>
  <r>
    <x v="1"/>
    <s v="South Arkansas Community College"/>
    <m/>
    <n v="107974"/>
    <x v="8"/>
    <s v="sem"/>
    <m/>
    <m/>
    <m/>
    <n v="17047"/>
    <n v="17434"/>
    <n v="7185"/>
    <n v="6320"/>
    <n v="17513"/>
    <n v="15924"/>
    <n v="41745"/>
    <n v="1391.5"/>
    <n v="39678"/>
    <n v="1322.6"/>
    <n v="2397"/>
    <n v="2752"/>
    <n v="41745"/>
    <n v="39678"/>
    <m/>
    <m/>
    <m/>
    <m/>
    <m/>
    <m/>
    <m/>
    <m/>
    <n v="0"/>
    <n v="0"/>
    <n v="0"/>
    <n v="0"/>
    <m/>
    <m/>
    <n v="0"/>
    <n v="0"/>
    <m/>
    <m/>
    <m/>
    <m/>
    <m/>
    <m/>
    <m/>
    <m/>
    <n v="0"/>
    <n v="0"/>
    <n v="0"/>
    <n v="0"/>
    <n v="1391.5"/>
    <n v="1322.6"/>
  </r>
  <r>
    <x v="1"/>
    <s v="Southeast Arkansas College"/>
    <m/>
    <n v="107637"/>
    <x v="8"/>
    <s v="sem"/>
    <m/>
    <m/>
    <m/>
    <n v="19519"/>
    <n v="19112"/>
    <n v="6006"/>
    <n v="4901"/>
    <n v="21341"/>
    <n v="17863"/>
    <n v="46866"/>
    <n v="1562.2"/>
    <n v="41876"/>
    <n v="1395.8666666666666"/>
    <n v="2111"/>
    <n v="2325"/>
    <n v="46866"/>
    <n v="41876"/>
    <m/>
    <m/>
    <m/>
    <m/>
    <m/>
    <m/>
    <m/>
    <m/>
    <n v="0"/>
    <n v="0"/>
    <n v="0"/>
    <n v="0"/>
    <m/>
    <m/>
    <n v="0"/>
    <n v="0"/>
    <m/>
    <m/>
    <m/>
    <m/>
    <m/>
    <m/>
    <m/>
    <m/>
    <n v="0"/>
    <n v="0"/>
    <n v="0"/>
    <n v="0"/>
    <n v="1562.2"/>
    <n v="1395.8666666666666"/>
  </r>
  <r>
    <x v="1"/>
    <s v="Southern Arkansas University Tech"/>
    <m/>
    <n v="107992"/>
    <x v="8"/>
    <s v="sem"/>
    <m/>
    <m/>
    <m/>
    <n v="13632"/>
    <n v="13869"/>
    <n v="5377"/>
    <n v="4264"/>
    <n v="14888"/>
    <n v="14467"/>
    <n v="33897"/>
    <n v="1129.9000000000001"/>
    <n v="32600"/>
    <n v="1086.6666666666667"/>
    <n v="2441"/>
    <n v="2852"/>
    <n v="33897"/>
    <n v="32600"/>
    <m/>
    <m/>
    <m/>
    <m/>
    <m/>
    <m/>
    <m/>
    <m/>
    <n v="0"/>
    <n v="0"/>
    <n v="0"/>
    <n v="0"/>
    <m/>
    <m/>
    <n v="0"/>
    <n v="0"/>
    <m/>
    <m/>
    <m/>
    <m/>
    <m/>
    <m/>
    <m/>
    <m/>
    <n v="0"/>
    <n v="0"/>
    <n v="0"/>
    <n v="0"/>
    <n v="1129.9000000000001"/>
    <n v="1086.6666666666667"/>
  </r>
  <r>
    <x v="1"/>
    <s v="University of Arkansas Community College at Batesville"/>
    <m/>
    <n v="106999"/>
    <x v="8"/>
    <s v="sem"/>
    <m/>
    <m/>
    <m/>
    <n v="18090"/>
    <n v="14935"/>
    <n v="3530"/>
    <n v="3158"/>
    <n v="17006"/>
    <n v="15348"/>
    <n v="38626"/>
    <n v="1287.5333333333333"/>
    <n v="33441"/>
    <n v="1114.7"/>
    <n v="924"/>
    <n v="1252"/>
    <n v="38626"/>
    <n v="33441"/>
    <m/>
    <m/>
    <m/>
    <m/>
    <m/>
    <m/>
    <m/>
    <m/>
    <n v="0"/>
    <n v="0"/>
    <n v="0"/>
    <n v="0"/>
    <m/>
    <m/>
    <n v="0"/>
    <n v="0"/>
    <m/>
    <m/>
    <m/>
    <m/>
    <m/>
    <m/>
    <m/>
    <m/>
    <n v="0"/>
    <n v="0"/>
    <n v="0"/>
    <n v="0"/>
    <n v="1287.5333333333333"/>
    <n v="1114.7"/>
  </r>
  <r>
    <x v="1"/>
    <s v="University of Arkansas Community College at Hope"/>
    <m/>
    <n v="107725"/>
    <x v="8"/>
    <s v="sem"/>
    <m/>
    <m/>
    <m/>
    <n v="14520"/>
    <n v="12230"/>
    <n v="2923"/>
    <n v="2191"/>
    <n v="13999"/>
    <n v="14714"/>
    <n v="31442"/>
    <n v="1048.0666666666666"/>
    <n v="29135"/>
    <n v="971.16666666666663"/>
    <n v="1664"/>
    <n v="1805"/>
    <n v="31442"/>
    <n v="29135"/>
    <m/>
    <m/>
    <m/>
    <m/>
    <m/>
    <m/>
    <m/>
    <m/>
    <n v="0"/>
    <n v="0"/>
    <n v="0"/>
    <n v="0"/>
    <m/>
    <m/>
    <n v="0"/>
    <n v="0"/>
    <m/>
    <m/>
    <m/>
    <m/>
    <m/>
    <m/>
    <m/>
    <m/>
    <n v="0"/>
    <n v="0"/>
    <n v="0"/>
    <n v="0"/>
    <n v="1048.0666666666666"/>
    <n v="971.16666666666663"/>
  </r>
  <r>
    <x v="1"/>
    <s v="University of Arkansas Community College at Morrilton"/>
    <m/>
    <n v="107585"/>
    <x v="8"/>
    <s v="sem"/>
    <m/>
    <m/>
    <m/>
    <n v="26522"/>
    <n v="23858"/>
    <n v="4265"/>
    <n v="3265"/>
    <n v="26847"/>
    <n v="24088"/>
    <n v="57634"/>
    <n v="1921.1333333333334"/>
    <n v="51211"/>
    <n v="1707.0333333333333"/>
    <n v="545"/>
    <n v="444"/>
    <n v="57634"/>
    <n v="51211"/>
    <m/>
    <m/>
    <m/>
    <m/>
    <m/>
    <m/>
    <m/>
    <m/>
    <n v="0"/>
    <n v="0"/>
    <n v="0"/>
    <n v="0"/>
    <m/>
    <m/>
    <n v="0"/>
    <n v="0"/>
    <m/>
    <m/>
    <m/>
    <m/>
    <m/>
    <m/>
    <m/>
    <m/>
    <n v="0"/>
    <n v="0"/>
    <n v="0"/>
    <n v="0"/>
    <n v="1921.1333333333334"/>
    <n v="1707.0333333333333"/>
  </r>
  <r>
    <x v="2"/>
    <s v="University of Delaware"/>
    <m/>
    <n v="130943"/>
    <x v="0"/>
    <s v="sem"/>
    <s v="sem"/>
    <n v="32358"/>
    <n v="30784"/>
    <n v="227549"/>
    <n v="234969"/>
    <n v="14925"/>
    <n v="15364"/>
    <n v="250767"/>
    <n v="257692"/>
    <n v="525599"/>
    <n v="17519.966666666667"/>
    <n v="538809"/>
    <n v="17960.3"/>
    <m/>
    <m/>
    <n v="0"/>
    <n v="0"/>
    <m/>
    <m/>
    <m/>
    <m/>
    <m/>
    <m/>
    <m/>
    <m/>
    <n v="0"/>
    <n v="0"/>
    <n v="0"/>
    <n v="0"/>
    <m/>
    <m/>
    <n v="0"/>
    <n v="0"/>
    <n v="1643"/>
    <n v="1401"/>
    <n v="21789"/>
    <n v="21140"/>
    <n v="5100"/>
    <n v="4351"/>
    <n v="23212"/>
    <n v="24064"/>
    <n v="51744"/>
    <n v="2156"/>
    <n v="50956"/>
    <n v="2123.1666666666665"/>
    <n v="19675.966666666667"/>
    <n v="20083.466666666667"/>
  </r>
  <r>
    <x v="2"/>
    <s v="Delaware State University"/>
    <s v="Reclassified: met the criteria for Four-Year 3 in 2010-11, 2011-12 and 2012-13."/>
    <n v="130934"/>
    <x v="2"/>
    <s v="sem"/>
    <s v="sem"/>
    <m/>
    <m/>
    <n v="43388"/>
    <n v="49398"/>
    <n v="4723"/>
    <n v="4005"/>
    <n v="55120"/>
    <n v="56630"/>
    <n v="103231"/>
    <n v="3441.0333333333333"/>
    <n v="110033"/>
    <n v="3667.7666666666669"/>
    <m/>
    <m/>
    <n v="0"/>
    <n v="0"/>
    <m/>
    <m/>
    <m/>
    <m/>
    <m/>
    <m/>
    <m/>
    <m/>
    <n v="0"/>
    <n v="0"/>
    <n v="0"/>
    <n v="0"/>
    <m/>
    <m/>
    <n v="0"/>
    <n v="0"/>
    <m/>
    <m/>
    <n v="3701"/>
    <n v="1786"/>
    <n v="1178"/>
    <n v="556"/>
    <n v="3236"/>
    <n v="2195"/>
    <n v="8115"/>
    <n v="338.125"/>
    <n v="4537"/>
    <n v="189.04166666666666"/>
    <n v="3779.1583333333333"/>
    <n v="3856.8083333333334"/>
  </r>
  <r>
    <x v="2"/>
    <s v="Delaware Technical and Community College--Stanton-Wilmington"/>
    <m/>
    <n v="130916"/>
    <x v="6"/>
    <s v="sem"/>
    <s v="sem"/>
    <m/>
    <m/>
    <n v="67910"/>
    <n v="66323"/>
    <n v="18232"/>
    <n v="16560"/>
    <n v="71610"/>
    <n v="70523"/>
    <n v="157752"/>
    <n v="5258.4"/>
    <n v="153406"/>
    <n v="5113.5333333333338"/>
    <m/>
    <m/>
    <n v="0"/>
    <n v="0"/>
    <m/>
    <m/>
    <m/>
    <m/>
    <m/>
    <m/>
    <m/>
    <m/>
    <n v="0"/>
    <n v="0"/>
    <n v="0"/>
    <n v="0"/>
    <m/>
    <m/>
    <n v="0"/>
    <n v="0"/>
    <m/>
    <m/>
    <m/>
    <m/>
    <m/>
    <m/>
    <m/>
    <m/>
    <n v="0"/>
    <n v="0"/>
    <n v="0"/>
    <n v="0"/>
    <n v="5258.4"/>
    <n v="5113.5333333333338"/>
  </r>
  <r>
    <x v="2"/>
    <s v="Delaware Technical and Community College--Owens"/>
    <m/>
    <n v="130891"/>
    <x v="7"/>
    <s v="sem"/>
    <s v="sem"/>
    <m/>
    <m/>
    <n v="46550"/>
    <n v="44367"/>
    <n v="8819"/>
    <n v="8406"/>
    <n v="48806"/>
    <n v="46165"/>
    <n v="104175"/>
    <n v="3472.5"/>
    <n v="98938"/>
    <n v="3297.9333333333334"/>
    <m/>
    <m/>
    <n v="0"/>
    <n v="0"/>
    <m/>
    <m/>
    <m/>
    <m/>
    <m/>
    <m/>
    <m/>
    <m/>
    <n v="0"/>
    <n v="0"/>
    <n v="0"/>
    <n v="0"/>
    <m/>
    <m/>
    <n v="0"/>
    <n v="0"/>
    <m/>
    <m/>
    <m/>
    <m/>
    <m/>
    <m/>
    <m/>
    <m/>
    <n v="0"/>
    <n v="0"/>
    <n v="0"/>
    <n v="0"/>
    <n v="3472.5"/>
    <n v="3297.9333333333334"/>
  </r>
  <r>
    <x v="2"/>
    <s v="Delaware Technical and Community College--Terry"/>
    <m/>
    <n v="130907"/>
    <x v="7"/>
    <s v="sem"/>
    <s v="sem"/>
    <m/>
    <m/>
    <n v="32418"/>
    <n v="31712"/>
    <n v="8310"/>
    <n v="7569"/>
    <n v="33865"/>
    <n v="31624"/>
    <n v="74593"/>
    <n v="2486.4333333333334"/>
    <n v="70905"/>
    <n v="2363.5"/>
    <m/>
    <m/>
    <n v="0"/>
    <n v="0"/>
    <m/>
    <m/>
    <m/>
    <m/>
    <m/>
    <m/>
    <m/>
    <m/>
    <n v="0"/>
    <n v="0"/>
    <n v="0"/>
    <n v="0"/>
    <m/>
    <m/>
    <n v="0"/>
    <n v="0"/>
    <m/>
    <m/>
    <m/>
    <m/>
    <m/>
    <m/>
    <m/>
    <m/>
    <n v="0"/>
    <n v="0"/>
    <n v="0"/>
    <n v="0"/>
    <n v="2486.4333333333334"/>
    <n v="2363.5"/>
  </r>
  <r>
    <x v="3"/>
    <s v="Florida International University"/>
    <m/>
    <n v="133951"/>
    <x v="0"/>
    <s v="sem"/>
    <m/>
    <m/>
    <m/>
    <n v="374465"/>
    <n v="400944"/>
    <n v="191233"/>
    <n v="179559"/>
    <n v="414320"/>
    <n v="433470"/>
    <n v="980018"/>
    <n v="32667.266666666666"/>
    <n v="1013973"/>
    <n v="33799.1"/>
    <n v="25737"/>
    <n v="33744"/>
    <n v="980018"/>
    <n v="1013973"/>
    <m/>
    <m/>
    <m/>
    <m/>
    <m/>
    <m/>
    <m/>
    <m/>
    <n v="0"/>
    <n v="0"/>
    <n v="0"/>
    <n v="0"/>
    <m/>
    <m/>
    <n v="0"/>
    <n v="0"/>
    <m/>
    <m/>
    <n v="72710"/>
    <n v="74163"/>
    <n v="39887"/>
    <n v="39909"/>
    <n v="75630"/>
    <n v="77091"/>
    <n v="188227"/>
    <n v="7842.791666666667"/>
    <n v="191163"/>
    <n v="7965.125"/>
    <n v="40510.058333333334"/>
    <n v="41764.224999999999"/>
  </r>
  <r>
    <x v="3"/>
    <s v="Florida State University "/>
    <m/>
    <n v="134097"/>
    <x v="0"/>
    <s v="sem"/>
    <m/>
    <m/>
    <m/>
    <n v="399536"/>
    <n v="405780"/>
    <n v="130933"/>
    <n v="127490"/>
    <n v="477741"/>
    <n v="471701"/>
    <n v="1008210"/>
    <n v="33607"/>
    <n v="1004971"/>
    <n v="33499.033333333333"/>
    <n v="467"/>
    <n v="1116"/>
    <n v="1008210"/>
    <n v="1004971"/>
    <m/>
    <m/>
    <m/>
    <m/>
    <m/>
    <m/>
    <m/>
    <m/>
    <n v="0"/>
    <n v="0"/>
    <n v="0"/>
    <n v="0"/>
    <m/>
    <m/>
    <n v="0"/>
    <n v="0"/>
    <m/>
    <m/>
    <n v="70882"/>
    <n v="71970"/>
    <n v="39693"/>
    <n v="39507"/>
    <n v="74859"/>
    <n v="72063"/>
    <n v="185434"/>
    <n v="7726.416666666667"/>
    <n v="183540"/>
    <n v="7647.5"/>
    <n v="41333.416666666664"/>
    <n v="41146.533333333333"/>
  </r>
  <r>
    <x v="3"/>
    <s v="University of Central Florida "/>
    <m/>
    <n v="132903"/>
    <x v="0"/>
    <s v="sem"/>
    <m/>
    <m/>
    <m/>
    <n v="550424"/>
    <n v="570430"/>
    <n v="203060"/>
    <n v="206207"/>
    <n v="589882"/>
    <n v="591832"/>
    <n v="1343366"/>
    <n v="44778.866666666669"/>
    <n v="1368469"/>
    <n v="45615.633333333331"/>
    <n v="684"/>
    <n v="771"/>
    <n v="1343366"/>
    <n v="1368469"/>
    <m/>
    <m/>
    <m/>
    <m/>
    <m/>
    <m/>
    <m/>
    <m/>
    <n v="0"/>
    <n v="0"/>
    <n v="0"/>
    <n v="0"/>
    <m/>
    <m/>
    <n v="0"/>
    <n v="0"/>
    <m/>
    <m/>
    <n v="56071"/>
    <n v="54049"/>
    <n v="29048"/>
    <n v="29598"/>
    <n v="57339"/>
    <n v="58091"/>
    <n v="142458"/>
    <n v="5935.75"/>
    <n v="141738"/>
    <n v="5905.75"/>
    <n v="50714.616666666669"/>
    <n v="51521.383333333331"/>
  </r>
  <r>
    <x v="3"/>
    <s v="University of Florida"/>
    <m/>
    <n v="134130"/>
    <x v="0"/>
    <s v="sem"/>
    <m/>
    <m/>
    <m/>
    <n v="420487"/>
    <n v="420313"/>
    <n v="117007"/>
    <n v="116093"/>
    <n v="436376"/>
    <n v="435297"/>
    <n v="973870"/>
    <n v="32462.333333333332"/>
    <n v="971703"/>
    <n v="32390.1"/>
    <n v="1306"/>
    <n v="1487"/>
    <n v="973870"/>
    <n v="971703"/>
    <m/>
    <m/>
    <m/>
    <m/>
    <m/>
    <m/>
    <m/>
    <m/>
    <n v="0"/>
    <n v="0"/>
    <n v="0"/>
    <n v="0"/>
    <m/>
    <m/>
    <n v="0"/>
    <n v="0"/>
    <m/>
    <m/>
    <n v="143499"/>
    <n v="140200"/>
    <n v="60534"/>
    <n v="59745"/>
    <n v="149877"/>
    <n v="148986"/>
    <n v="353910"/>
    <n v="14746.25"/>
    <n v="348931"/>
    <n v="14538.791666666666"/>
    <n v="47208.583333333328"/>
    <n v="46928.891666666663"/>
  </r>
  <r>
    <x v="3"/>
    <s v="University of South Florida "/>
    <m/>
    <n v="137351"/>
    <x v="0"/>
    <s v="sem"/>
    <m/>
    <m/>
    <m/>
    <n v="416310"/>
    <n v="421127"/>
    <n v="157950"/>
    <n v="153540"/>
    <n v="443707"/>
    <n v="450005"/>
    <n v="1017967"/>
    <n v="33932.23333333333"/>
    <n v="1024672"/>
    <n v="34155.73333333333"/>
    <n v="657"/>
    <n v="733"/>
    <n v="1017967"/>
    <n v="1024672"/>
    <m/>
    <m/>
    <m/>
    <m/>
    <m/>
    <m/>
    <m/>
    <m/>
    <n v="0"/>
    <n v="0"/>
    <n v="0"/>
    <n v="0"/>
    <m/>
    <m/>
    <n v="0"/>
    <n v="0"/>
    <m/>
    <m/>
    <n v="71983"/>
    <n v="73440"/>
    <n v="37175"/>
    <n v="37636"/>
    <n v="76736"/>
    <n v="78767"/>
    <n v="185894"/>
    <n v="7745.583333333333"/>
    <n v="189843"/>
    <n v="7910.125"/>
    <n v="41677.816666666666"/>
    <n v="42065.85833333333"/>
  </r>
  <r>
    <x v="3"/>
    <s v="Florida Atlantic University "/>
    <s v="Met the criteria for Four-Year 1 in 2012-13."/>
    <n v="133669"/>
    <x v="1"/>
    <s v="sem"/>
    <m/>
    <m/>
    <m/>
    <n v="236722"/>
    <n v="249063"/>
    <n v="96196"/>
    <n v="91973"/>
    <n v="266759"/>
    <n v="275769"/>
    <n v="599677"/>
    <n v="19989.233333333334"/>
    <n v="616805"/>
    <n v="20560.166666666668"/>
    <n v="6185"/>
    <n v="8071"/>
    <n v="599677"/>
    <n v="616805"/>
    <m/>
    <m/>
    <m/>
    <m/>
    <m/>
    <m/>
    <m/>
    <m/>
    <n v="0"/>
    <n v="0"/>
    <n v="0"/>
    <n v="0"/>
    <m/>
    <m/>
    <n v="0"/>
    <n v="0"/>
    <m/>
    <m/>
    <n v="30766"/>
    <n v="30525"/>
    <n v="17396"/>
    <n v="17242"/>
    <n v="30396"/>
    <n v="31731"/>
    <n v="78558"/>
    <n v="3273.25"/>
    <n v="79498"/>
    <n v="3312.4166666666665"/>
    <n v="23262.483333333334"/>
    <n v="23872.583333333336"/>
  </r>
  <r>
    <x v="3"/>
    <s v="Florida Agricultural &amp; Mechanical University "/>
    <s v="Met the criteria for Four-Year 2 in 2011-12 and 2012-13."/>
    <n v="133650"/>
    <x v="2"/>
    <s v="sem"/>
    <m/>
    <m/>
    <m/>
    <n v="143196"/>
    <n v="138674"/>
    <n v="29446"/>
    <n v="27241"/>
    <n v="151544"/>
    <n v="136531"/>
    <n v="324186"/>
    <n v="10806.2"/>
    <n v="302446"/>
    <n v="10081.533333333333"/>
    <n v="139"/>
    <n v="189"/>
    <n v="324186"/>
    <n v="302446"/>
    <m/>
    <m/>
    <m/>
    <m/>
    <m/>
    <m/>
    <m/>
    <m/>
    <n v="0"/>
    <n v="0"/>
    <n v="0"/>
    <n v="0"/>
    <m/>
    <m/>
    <n v="0"/>
    <n v="0"/>
    <m/>
    <m/>
    <n v="20888"/>
    <n v="21590"/>
    <n v="6725"/>
    <n v="7420"/>
    <n v="22547"/>
    <n v="21789"/>
    <n v="50160"/>
    <n v="2090"/>
    <n v="50799"/>
    <n v="2116.625"/>
    <n v="12896.2"/>
    <n v="12198.158333333333"/>
  </r>
  <r>
    <x v="3"/>
    <s v="University of North Florida"/>
    <m/>
    <n v="136172"/>
    <x v="2"/>
    <s v="sem"/>
    <m/>
    <m/>
    <m/>
    <n v="156495"/>
    <n v="156989"/>
    <n v="57248"/>
    <n v="53389"/>
    <n v="168733"/>
    <n v="168167"/>
    <n v="382476"/>
    <n v="12749.2"/>
    <n v="378545"/>
    <n v="12618.166666666666"/>
    <n v="825"/>
    <n v="744"/>
    <n v="382476"/>
    <n v="378545"/>
    <m/>
    <m/>
    <m/>
    <m/>
    <m/>
    <m/>
    <m/>
    <m/>
    <n v="0"/>
    <n v="0"/>
    <n v="0"/>
    <n v="0"/>
    <m/>
    <m/>
    <n v="0"/>
    <n v="0"/>
    <m/>
    <m/>
    <n v="12422"/>
    <n v="11923"/>
    <n v="6947"/>
    <n v="6524"/>
    <n v="13175"/>
    <n v="12699"/>
    <n v="32544"/>
    <n v="1356"/>
    <n v="31146"/>
    <n v="1297.75"/>
    <n v="14105.2"/>
    <n v="13915.916666666666"/>
  </r>
  <r>
    <x v="3"/>
    <s v="University of West Florida"/>
    <m/>
    <n v="138354"/>
    <x v="2"/>
    <s v="sem"/>
    <m/>
    <m/>
    <m/>
    <n v="103175"/>
    <n v="106062"/>
    <n v="40268"/>
    <n v="34663"/>
    <n v="112277"/>
    <n v="119021"/>
    <n v="255720"/>
    <n v="8524"/>
    <n v="259746"/>
    <n v="8658.2000000000007"/>
    <n v="585"/>
    <n v="614"/>
    <n v="255720"/>
    <n v="259746"/>
    <m/>
    <m/>
    <m/>
    <m/>
    <m/>
    <m/>
    <m/>
    <m/>
    <n v="0"/>
    <n v="0"/>
    <n v="0"/>
    <n v="0"/>
    <m/>
    <m/>
    <n v="0"/>
    <n v="0"/>
    <m/>
    <m/>
    <n v="11396"/>
    <n v="11984"/>
    <n v="8434"/>
    <n v="8453.5"/>
    <n v="12054"/>
    <n v="12972"/>
    <n v="31884"/>
    <n v="1328.5"/>
    <n v="33409.5"/>
    <n v="1392.0625"/>
    <n v="9852.5"/>
    <n v="10050.262500000001"/>
  </r>
  <r>
    <x v="3"/>
    <s v="Florida Gulf Coast University"/>
    <m/>
    <n v="433660"/>
    <x v="3"/>
    <s v="sem"/>
    <m/>
    <m/>
    <m/>
    <n v="119973"/>
    <n v="128362"/>
    <n v="30408"/>
    <n v="29430"/>
    <n v="138182"/>
    <n v="146619"/>
    <n v="288563"/>
    <n v="9618.7666666666664"/>
    <n v="304411"/>
    <n v="10147.033333333333"/>
    <n v="2373"/>
    <n v="3235"/>
    <n v="288563"/>
    <n v="304411"/>
    <m/>
    <m/>
    <m/>
    <m/>
    <m/>
    <m/>
    <m/>
    <m/>
    <n v="0"/>
    <n v="0"/>
    <n v="0"/>
    <n v="0"/>
    <m/>
    <m/>
    <n v="0"/>
    <n v="0"/>
    <m/>
    <m/>
    <n v="9588"/>
    <n v="9165"/>
    <n v="4999"/>
    <n v="4744"/>
    <n v="9376"/>
    <n v="8612"/>
    <n v="23963"/>
    <n v="998.45833333333337"/>
    <n v="22521"/>
    <n v="938.375"/>
    <n v="10617.225"/>
    <n v="11085.408333333333"/>
  </r>
  <r>
    <x v="3"/>
    <s v="New College of Florida"/>
    <m/>
    <n v="262129"/>
    <x v="5"/>
    <s v="sem"/>
    <m/>
    <m/>
    <m/>
    <n v="12144"/>
    <n v="12752"/>
    <m/>
    <n v="0"/>
    <n v="16064"/>
    <n v="15768"/>
    <n v="28208"/>
    <n v="940.26666666666665"/>
    <n v="28520"/>
    <n v="950.66666666666663"/>
    <m/>
    <n v="20"/>
    <n v="0"/>
    <n v="28520"/>
    <m/>
    <m/>
    <m/>
    <m/>
    <m/>
    <m/>
    <m/>
    <m/>
    <n v="0"/>
    <n v="0"/>
    <n v="0"/>
    <n v="0"/>
    <m/>
    <m/>
    <n v="0"/>
    <n v="0"/>
    <m/>
    <m/>
    <m/>
    <m/>
    <m/>
    <m/>
    <m/>
    <m/>
    <n v="0"/>
    <n v="0"/>
    <n v="0"/>
    <n v="0"/>
    <n v="940.26666666666665"/>
    <n v="950.66666666666663"/>
  </r>
  <r>
    <x v="3"/>
    <s v="Chipola College "/>
    <m/>
    <n v="133021"/>
    <x v="11"/>
    <s v="sem"/>
    <m/>
    <m/>
    <m/>
    <n v="19257"/>
    <n v="19100"/>
    <n v="5980"/>
    <n v="5901"/>
    <n v="20842"/>
    <n v="20255"/>
    <n v="46079"/>
    <n v="1535.9666666666667"/>
    <n v="45256"/>
    <n v="1508.5333333333333"/>
    <n v="4503"/>
    <n v="5469"/>
    <n v="46079"/>
    <n v="45256"/>
    <m/>
    <m/>
    <n v="49087"/>
    <n v="42203"/>
    <n v="16451"/>
    <n v="13777"/>
    <n v="46361"/>
    <n v="49304"/>
    <n v="111899"/>
    <n v="124.33222222222223"/>
    <n v="105284"/>
    <n v="116.98222222222222"/>
    <n v="2730"/>
    <n v="1785"/>
    <n v="111899"/>
    <n v="105284"/>
    <m/>
    <m/>
    <m/>
    <m/>
    <m/>
    <m/>
    <m/>
    <m/>
    <n v="0"/>
    <n v="0"/>
    <n v="0"/>
    <n v="0"/>
    <n v="1660.298888888889"/>
    <n v="1625.5155555555555"/>
  </r>
  <r>
    <x v="3"/>
    <s v="Daytona State College "/>
    <m/>
    <n v="133386"/>
    <x v="11"/>
    <s v="sem"/>
    <m/>
    <m/>
    <m/>
    <n v="168080"/>
    <n v="144792"/>
    <n v="52875"/>
    <n v="44520"/>
    <n v="156632"/>
    <n v="140532"/>
    <n v="377587"/>
    <n v="12586.233333333334"/>
    <n v="329844"/>
    <n v="10994.8"/>
    <n v="24883"/>
    <n v="27072"/>
    <n v="377587"/>
    <n v="329844"/>
    <m/>
    <m/>
    <n v="1139373"/>
    <n v="847829"/>
    <n v="646883"/>
    <n v="450015"/>
    <n v="859415"/>
    <n v="816179"/>
    <n v="2645671"/>
    <n v="2939.6344444444444"/>
    <n v="2114023"/>
    <n v="2348.9144444444446"/>
    <n v="5580"/>
    <n v="4940"/>
    <n v="2645671"/>
    <n v="2114023"/>
    <m/>
    <m/>
    <m/>
    <m/>
    <m/>
    <m/>
    <m/>
    <m/>
    <n v="0"/>
    <n v="0"/>
    <n v="0"/>
    <n v="0"/>
    <n v="15525.867777777778"/>
    <n v="13343.714444444444"/>
  </r>
  <r>
    <x v="3"/>
    <s v="Edison State College "/>
    <m/>
    <n v="133508"/>
    <x v="11"/>
    <s v="sem"/>
    <m/>
    <m/>
    <m/>
    <n v="150475"/>
    <n v="141156"/>
    <n v="63150"/>
    <n v="52499"/>
    <n v="151732"/>
    <n v="136807"/>
    <n v="365357"/>
    <n v="12178.566666666668"/>
    <n v="330462"/>
    <n v="11015.4"/>
    <n v="26397"/>
    <n v="26406"/>
    <n v="365357"/>
    <n v="330462"/>
    <m/>
    <m/>
    <n v="7020"/>
    <n v="3990"/>
    <n v="11760"/>
    <n v="3900"/>
    <n v="4800"/>
    <n v="0"/>
    <n v="23580"/>
    <n v="26.2"/>
    <n v="7890"/>
    <n v="8.7666666666666675"/>
    <n v="0"/>
    <n v="0"/>
    <n v="23580"/>
    <n v="7890"/>
    <m/>
    <m/>
    <m/>
    <m/>
    <m/>
    <m/>
    <m/>
    <m/>
    <n v="0"/>
    <n v="0"/>
    <n v="0"/>
    <n v="0"/>
    <n v="12204.766666666668"/>
    <n v="11024.166666666666"/>
  </r>
  <r>
    <x v="3"/>
    <s v="Florida State College at Jacksonville"/>
    <m/>
    <n v="133702"/>
    <x v="11"/>
    <s v="sem"/>
    <m/>
    <m/>
    <m/>
    <n v="265115"/>
    <n v="259025"/>
    <n v="144070"/>
    <n v="129952"/>
    <n v="273768"/>
    <n v="248614"/>
    <n v="682953"/>
    <n v="22765.1"/>
    <n v="637591"/>
    <n v="21253.033333333333"/>
    <n v="31742"/>
    <n v="32881"/>
    <n v="682953"/>
    <n v="637591"/>
    <m/>
    <m/>
    <n v="990157"/>
    <n v="873495"/>
    <n v="770279"/>
    <n v="535059"/>
    <n v="838246"/>
    <n v="799377"/>
    <n v="2598682"/>
    <n v="2887.4244444444444"/>
    <n v="2207931"/>
    <n v="2453.2566666666667"/>
    <n v="39231"/>
    <n v="34827"/>
    <n v="2598682"/>
    <n v="2207931"/>
    <m/>
    <m/>
    <m/>
    <m/>
    <m/>
    <m/>
    <m/>
    <m/>
    <n v="0"/>
    <n v="0"/>
    <n v="0"/>
    <n v="0"/>
    <n v="25652.524444444443"/>
    <n v="23706.29"/>
  </r>
  <r>
    <x v="3"/>
    <s v="Indian River State College "/>
    <m/>
    <n v="134608"/>
    <x v="11"/>
    <s v="sem"/>
    <m/>
    <m/>
    <m/>
    <n v="133258"/>
    <n v="133118"/>
    <n v="67639"/>
    <n v="63072"/>
    <n v="140421"/>
    <n v="143137"/>
    <n v="341318"/>
    <n v="11377.266666666666"/>
    <n v="339327"/>
    <n v="11310.9"/>
    <n v="31606"/>
    <n v="36630"/>
    <n v="341318"/>
    <n v="339327"/>
    <m/>
    <m/>
    <n v="933053"/>
    <n v="722970"/>
    <n v="650630"/>
    <n v="490692"/>
    <n v="770013"/>
    <n v="724338"/>
    <n v="2353696"/>
    <n v="2615.2177777777779"/>
    <n v="1938000"/>
    <n v="2153.3333333333335"/>
    <n v="35757"/>
    <n v="41440"/>
    <n v="2353696"/>
    <n v="1938000"/>
    <m/>
    <m/>
    <m/>
    <m/>
    <m/>
    <m/>
    <m/>
    <m/>
    <n v="0"/>
    <n v="0"/>
    <n v="0"/>
    <n v="0"/>
    <n v="13992.484444444444"/>
    <n v="13464.233333333334"/>
  </r>
  <r>
    <x v="3"/>
    <s v="Miami Dade College "/>
    <m/>
    <n v="135717"/>
    <x v="11"/>
    <s v="sem"/>
    <m/>
    <m/>
    <m/>
    <n v="639453"/>
    <n v="650249"/>
    <n v="344344"/>
    <n v="295176"/>
    <n v="670327"/>
    <n v="650690"/>
    <n v="1654124"/>
    <n v="55137.466666666667"/>
    <n v="1596115"/>
    <n v="53203.833333333336"/>
    <n v="26532"/>
    <n v="35022"/>
    <n v="1654124"/>
    <n v="1596115"/>
    <m/>
    <m/>
    <n v="1971917"/>
    <n v="1233420"/>
    <n v="1484804"/>
    <n v="921686"/>
    <n v="1100943"/>
    <n v="1108304"/>
    <n v="4557664"/>
    <n v="5064.0711111111113"/>
    <n v="3263410"/>
    <n v="3626.0111111111109"/>
    <n v="0"/>
    <n v="0"/>
    <n v="4557664"/>
    <n v="3263410"/>
    <m/>
    <m/>
    <m/>
    <m/>
    <m/>
    <m/>
    <m/>
    <m/>
    <n v="0"/>
    <n v="0"/>
    <n v="0"/>
    <n v="0"/>
    <n v="60201.537777777776"/>
    <n v="56829.844444444447"/>
  </r>
  <r>
    <x v="3"/>
    <s v="Northwest Florida State College"/>
    <m/>
    <n v="136233"/>
    <x v="11"/>
    <s v="sem"/>
    <m/>
    <m/>
    <m/>
    <n v="67037"/>
    <n v="63434"/>
    <n v="29849"/>
    <n v="26154"/>
    <n v="65510"/>
    <n v="62508"/>
    <n v="162396"/>
    <n v="5413.2"/>
    <n v="152096"/>
    <n v="5069.8666666666668"/>
    <n v="8400"/>
    <n v="8870"/>
    <n v="162396"/>
    <n v="152096"/>
    <m/>
    <m/>
    <n v="108168"/>
    <n v="109611"/>
    <n v="63392"/>
    <n v="60497"/>
    <n v="98506"/>
    <n v="107642"/>
    <n v="270066"/>
    <n v="300.07333333333332"/>
    <n v="277750"/>
    <n v="308.61111111111109"/>
    <n v="0"/>
    <n v="0"/>
    <n v="270066"/>
    <n v="277750"/>
    <m/>
    <m/>
    <m/>
    <m/>
    <m/>
    <m/>
    <m/>
    <m/>
    <n v="0"/>
    <n v="0"/>
    <n v="0"/>
    <n v="0"/>
    <n v="5713.2733333333335"/>
    <n v="5378.4777777777781"/>
  </r>
  <r>
    <x v="3"/>
    <s v="St. Petersburg College "/>
    <m/>
    <n v="137078"/>
    <x v="11"/>
    <s v="sem"/>
    <m/>
    <m/>
    <m/>
    <n v="279908"/>
    <n v="271911"/>
    <n v="108608"/>
    <n v="96285"/>
    <n v="291178"/>
    <n v="276141"/>
    <n v="679694"/>
    <n v="22656.466666666667"/>
    <n v="644337"/>
    <n v="21477.9"/>
    <n v="33428"/>
    <n v="37452"/>
    <n v="679694"/>
    <n v="644337"/>
    <m/>
    <m/>
    <n v="59075"/>
    <n v="47140"/>
    <n v="25397"/>
    <n v="26277"/>
    <n v="60834"/>
    <n v="62940"/>
    <n v="145306"/>
    <n v="161.45111111111112"/>
    <n v="136357"/>
    <n v="151.50777777777779"/>
    <n v="0"/>
    <n v="0"/>
    <n v="145306"/>
    <n v="136357"/>
    <m/>
    <m/>
    <m/>
    <m/>
    <m/>
    <m/>
    <m/>
    <m/>
    <n v="0"/>
    <n v="0"/>
    <n v="0"/>
    <n v="0"/>
    <n v="22817.917777777777"/>
    <n v="21629.407777777778"/>
  </r>
  <r>
    <x v="3"/>
    <s v="Brevard Community College "/>
    <m/>
    <n v="132693"/>
    <x v="6"/>
    <s v="sem"/>
    <m/>
    <m/>
    <m/>
    <n v="155633"/>
    <n v="150391"/>
    <n v="57150"/>
    <n v="48875"/>
    <n v="160161"/>
    <n v="147500"/>
    <n v="372944"/>
    <n v="12431.466666666667"/>
    <n v="346766"/>
    <n v="11558.866666666667"/>
    <n v="50287"/>
    <n v="54984"/>
    <n v="372944"/>
    <n v="346766"/>
    <m/>
    <m/>
    <n v="705107"/>
    <n v="452940"/>
    <n v="121528"/>
    <n v="129757"/>
    <n v="492401"/>
    <n v="362364"/>
    <n v="1319036"/>
    <n v="1465.5955555555556"/>
    <n v="945061"/>
    <n v="1050.0677777777778"/>
    <n v="91770"/>
    <n v="92565"/>
    <n v="1319036"/>
    <n v="945061"/>
    <m/>
    <m/>
    <m/>
    <m/>
    <m/>
    <m/>
    <m/>
    <m/>
    <n v="0"/>
    <n v="0"/>
    <n v="0"/>
    <n v="0"/>
    <n v="13897.062222222223"/>
    <n v="12608.934444444445"/>
  </r>
  <r>
    <x v="3"/>
    <s v="Broward College "/>
    <s v="Met the criteria for Two-Year with Bachelor's in 2011-12 and 2012-13."/>
    <n v="132709"/>
    <x v="6"/>
    <s v="sem"/>
    <m/>
    <m/>
    <m/>
    <n v="364923"/>
    <n v="363645"/>
    <n v="187684"/>
    <n v="171912"/>
    <n v="369074"/>
    <n v="365871"/>
    <n v="921681"/>
    <n v="30722.7"/>
    <n v="901428"/>
    <n v="30047.599999999999"/>
    <n v="40449"/>
    <n v="45262"/>
    <n v="921681"/>
    <n v="901428"/>
    <m/>
    <m/>
    <n v="147620"/>
    <n v="163204"/>
    <n v="109605"/>
    <n v="97091"/>
    <n v="164154"/>
    <n v="149838"/>
    <n v="421379"/>
    <n v="468.19888888888892"/>
    <n v="410133"/>
    <n v="455.70333333333332"/>
    <n v="0"/>
    <n v="225"/>
    <n v="421379"/>
    <n v="410133"/>
    <m/>
    <m/>
    <m/>
    <m/>
    <m/>
    <m/>
    <m/>
    <m/>
    <n v="0"/>
    <n v="0"/>
    <n v="0"/>
    <n v="0"/>
    <n v="31190.898888888889"/>
    <n v="30503.303333333333"/>
  </r>
  <r>
    <x v="3"/>
    <s v="College of Central Florida"/>
    <m/>
    <n v="132851"/>
    <x v="6"/>
    <s v="sem"/>
    <m/>
    <m/>
    <m/>
    <n v="76838"/>
    <n v="74341"/>
    <n v="28700"/>
    <n v="26395"/>
    <n v="78593"/>
    <n v="74213"/>
    <n v="184131"/>
    <n v="6137.7"/>
    <n v="174949"/>
    <n v="5831.6333333333332"/>
    <n v="11671"/>
    <n v="13023"/>
    <n v="184131"/>
    <n v="174949"/>
    <m/>
    <m/>
    <n v="190618"/>
    <n v="146424"/>
    <n v="118329"/>
    <n v="84648"/>
    <n v="155787"/>
    <n v="117024"/>
    <n v="464734"/>
    <n v="516.37111111111108"/>
    <n v="348096"/>
    <n v="386.77333333333331"/>
    <n v="1860"/>
    <n v="1050"/>
    <n v="464734"/>
    <n v="348096"/>
    <m/>
    <m/>
    <m/>
    <m/>
    <m/>
    <m/>
    <m/>
    <m/>
    <n v="0"/>
    <n v="0"/>
    <n v="0"/>
    <n v="0"/>
    <n v="6654.0711111111104"/>
    <n v="6218.4066666666668"/>
  </r>
  <r>
    <x v="3"/>
    <s v="Hillsborough Community College "/>
    <m/>
    <n v="134495"/>
    <x v="6"/>
    <s v="sem"/>
    <m/>
    <m/>
    <m/>
    <n v="253680"/>
    <n v="250281"/>
    <n v="94010"/>
    <n v="87131"/>
    <n v="256082"/>
    <n v="249249"/>
    <n v="603772"/>
    <n v="20125.733333333334"/>
    <n v="586661"/>
    <n v="19555.366666666665"/>
    <n v="11877"/>
    <n v="15384"/>
    <n v="603772"/>
    <n v="586661"/>
    <m/>
    <m/>
    <n v="610533"/>
    <n v="558295"/>
    <n v="121009"/>
    <n v="99500"/>
    <n v="632269"/>
    <n v="634802"/>
    <n v="1363811"/>
    <n v="1515.3455555555556"/>
    <n v="1292597"/>
    <n v="1436.2188888888888"/>
    <n v="0"/>
    <n v="0"/>
    <n v="1363811"/>
    <n v="1292597"/>
    <m/>
    <m/>
    <m/>
    <m/>
    <m/>
    <m/>
    <m/>
    <m/>
    <n v="0"/>
    <n v="0"/>
    <n v="0"/>
    <n v="0"/>
    <n v="21641.078888888889"/>
    <n v="20991.585555555554"/>
  </r>
  <r>
    <x v="3"/>
    <s v="Palm Beach State College "/>
    <s v="Met the criteria for Two-Year with Bachelor's in 2011-12 and 2012-13."/>
    <n v="136358"/>
    <x v="6"/>
    <s v="sem"/>
    <m/>
    <m/>
    <m/>
    <n v="236663"/>
    <n v="235834"/>
    <n v="103022"/>
    <n v="90121"/>
    <n v="252774"/>
    <n v="244928"/>
    <n v="592459"/>
    <n v="19748.633333333335"/>
    <n v="570883"/>
    <n v="19029.433333333334"/>
    <n v="25471"/>
    <n v="22540"/>
    <n v="592459"/>
    <n v="570883"/>
    <m/>
    <m/>
    <n v="554691"/>
    <n v="470037"/>
    <n v="311300"/>
    <n v="269345"/>
    <n v="458036"/>
    <n v="479213"/>
    <n v="1324027"/>
    <n v="1471.1411111111111"/>
    <n v="1218595"/>
    <n v="1353.9944444444445"/>
    <n v="15000"/>
    <n v="4080"/>
    <n v="1324027"/>
    <n v="1218595"/>
    <m/>
    <m/>
    <m/>
    <m/>
    <m/>
    <m/>
    <m/>
    <m/>
    <n v="0"/>
    <n v="0"/>
    <n v="0"/>
    <n v="0"/>
    <n v="21219.774444444447"/>
    <n v="20383.427777777779"/>
  </r>
  <r>
    <x v="3"/>
    <s v="Pasco-Hernando Community College "/>
    <m/>
    <n v="136400"/>
    <x v="6"/>
    <s v="sem"/>
    <m/>
    <m/>
    <m/>
    <n v="93566"/>
    <n v="92204"/>
    <n v="30868"/>
    <n v="27620"/>
    <n v="98347"/>
    <n v="89575"/>
    <n v="222781"/>
    <n v="7426.0333333333338"/>
    <n v="209399"/>
    <n v="6979.9666666666662"/>
    <n v="24342"/>
    <n v="24399"/>
    <n v="222781"/>
    <n v="209399"/>
    <m/>
    <m/>
    <n v="206440"/>
    <n v="168953"/>
    <n v="82670"/>
    <n v="79855"/>
    <n v="170272"/>
    <n v="114863"/>
    <n v="459382"/>
    <n v="510.42444444444442"/>
    <n v="363671"/>
    <n v="404.07888888888891"/>
    <n v="480"/>
    <n v="805"/>
    <n v="459382"/>
    <n v="363671"/>
    <m/>
    <m/>
    <m/>
    <m/>
    <m/>
    <m/>
    <m/>
    <m/>
    <n v="0"/>
    <n v="0"/>
    <n v="0"/>
    <n v="0"/>
    <n v="7936.4577777777786"/>
    <n v="7384.0455555555554"/>
  </r>
  <r>
    <x v="3"/>
    <s v="Pensacola State College "/>
    <s v="Met the criteria for Two-Year with Bachelor's in 2012-13."/>
    <n v="136473"/>
    <x v="6"/>
    <s v="sem"/>
    <m/>
    <m/>
    <m/>
    <n v="102411"/>
    <n v="102456"/>
    <n v="42531"/>
    <n v="40266"/>
    <n v="107693"/>
    <n v="106379"/>
    <n v="252635"/>
    <n v="8421.1666666666661"/>
    <n v="249101"/>
    <n v="8303.3666666666668"/>
    <n v="26172"/>
    <n v="27988"/>
    <n v="252635"/>
    <n v="249101"/>
    <m/>
    <m/>
    <n v="387822"/>
    <n v="379700"/>
    <n v="234222"/>
    <n v="220774"/>
    <n v="383605"/>
    <n v="409685"/>
    <n v="1005649"/>
    <n v="1117.3877777777777"/>
    <n v="1010159"/>
    <n v="1122.3988888888889"/>
    <n v="2160"/>
    <n v="1170"/>
    <n v="1005649"/>
    <n v="1010159"/>
    <m/>
    <m/>
    <m/>
    <m/>
    <m/>
    <m/>
    <m/>
    <m/>
    <n v="0"/>
    <n v="0"/>
    <n v="0"/>
    <n v="0"/>
    <n v="9538.554444444444"/>
    <n v="9425.7655555555557"/>
  </r>
  <r>
    <x v="3"/>
    <s v="Polk State College "/>
    <s v="Met the criteria for Two-Year with Bachelor's in 2011-12 and 2012-13."/>
    <n v="136516"/>
    <x v="6"/>
    <s v="sem"/>
    <m/>
    <m/>
    <m/>
    <n v="87435"/>
    <n v="95577"/>
    <n v="33282"/>
    <n v="35442"/>
    <n v="98313"/>
    <n v="100190"/>
    <n v="219030"/>
    <n v="7301"/>
    <n v="231209"/>
    <n v="7706.9666666666662"/>
    <n v="23256"/>
    <n v="29544"/>
    <n v="219030"/>
    <n v="231209"/>
    <m/>
    <m/>
    <n v="40784"/>
    <n v="27397"/>
    <n v="24268"/>
    <n v="24121"/>
    <n v="35946"/>
    <n v="29361"/>
    <n v="100998"/>
    <n v="112.22"/>
    <n v="80879"/>
    <n v="89.865555555555559"/>
    <n v="0"/>
    <n v="0"/>
    <n v="100998"/>
    <n v="80879"/>
    <m/>
    <m/>
    <m/>
    <m/>
    <m/>
    <m/>
    <m/>
    <m/>
    <n v="0"/>
    <n v="0"/>
    <n v="0"/>
    <n v="0"/>
    <n v="7413.22"/>
    <n v="7796.8322222222214"/>
  </r>
  <r>
    <x v="3"/>
    <s v="Santa Fe College "/>
    <s v="Met the criteria for Two-Year with Bachelor's in 2012-13."/>
    <n v="137096"/>
    <x v="6"/>
    <s v="sem"/>
    <m/>
    <m/>
    <m/>
    <n v="145105"/>
    <n v="142534"/>
    <n v="67496"/>
    <n v="60253"/>
    <n v="151359"/>
    <n v="146754"/>
    <n v="363960"/>
    <n v="12132"/>
    <n v="349541"/>
    <n v="11651.366666666667"/>
    <n v="14020"/>
    <n v="15659"/>
    <n v="363960"/>
    <n v="349541"/>
    <m/>
    <m/>
    <n v="214465"/>
    <n v="195473"/>
    <n v="144304"/>
    <n v="126062"/>
    <n v="191013"/>
    <n v="211324"/>
    <n v="549782"/>
    <n v="610.86888888888893"/>
    <n v="532859"/>
    <n v="592.06555555555553"/>
    <n v="525"/>
    <n v="1080"/>
    <n v="549782"/>
    <n v="532859"/>
    <m/>
    <m/>
    <m/>
    <m/>
    <m/>
    <m/>
    <m/>
    <m/>
    <n v="0"/>
    <n v="0"/>
    <n v="0"/>
    <n v="0"/>
    <n v="12742.868888888888"/>
    <n v="12243.432222222222"/>
  </r>
  <r>
    <x v="3"/>
    <s v="Seminole State College of Florida"/>
    <s v="Met the criteria for Two-Year with Bachelor's in 2012-13."/>
    <n v="137209"/>
    <x v="6"/>
    <s v="sem"/>
    <m/>
    <m/>
    <m/>
    <n v="169869"/>
    <n v="167812"/>
    <n v="75855"/>
    <n v="71447"/>
    <n v="169432"/>
    <n v="175798"/>
    <n v="415156"/>
    <n v="13838.533333333333"/>
    <n v="415057"/>
    <n v="13835.233333333334"/>
    <n v="5883"/>
    <n v="6881"/>
    <n v="415156"/>
    <n v="415057"/>
    <m/>
    <m/>
    <n v="542141"/>
    <n v="470402"/>
    <n v="344890"/>
    <n v="321229"/>
    <n v="496784"/>
    <n v="441055"/>
    <n v="1383815"/>
    <n v="1537.5722222222223"/>
    <n v="1232686"/>
    <n v="1369.651111111111"/>
    <n v="4680"/>
    <n v="6120"/>
    <n v="1383815"/>
    <n v="1232686"/>
    <m/>
    <m/>
    <m/>
    <m/>
    <m/>
    <m/>
    <m/>
    <m/>
    <n v="0"/>
    <n v="0"/>
    <n v="0"/>
    <n v="0"/>
    <n v="15376.105555555556"/>
    <n v="15204.884444444444"/>
  </r>
  <r>
    <x v="3"/>
    <s v="State College of Florida, Manatee-Sarasota"/>
    <s v="Met the criteria for Two-Year with Bachelor's in 2011-12 and 2012-13."/>
    <n v="135391"/>
    <x v="6"/>
    <s v="sem"/>
    <m/>
    <m/>
    <m/>
    <n v="109231"/>
    <n v="104680"/>
    <n v="36876"/>
    <n v="32779"/>
    <n v="112326"/>
    <n v="108096"/>
    <n v="258433"/>
    <n v="8614.4333333333325"/>
    <n v="245555"/>
    <n v="8185.166666666667"/>
    <n v="16709"/>
    <n v="18340"/>
    <n v="258433"/>
    <n v="245555"/>
    <m/>
    <m/>
    <n v="10805"/>
    <n v="0"/>
    <n v="4708"/>
    <n v="0"/>
    <n v="0"/>
    <n v="0"/>
    <n v="15513"/>
    <n v="17.236666666666668"/>
    <n v="0"/>
    <n v="0"/>
    <n v="0"/>
    <n v="0"/>
    <n v="15513"/>
    <n v="0"/>
    <m/>
    <m/>
    <m/>
    <m/>
    <m/>
    <m/>
    <m/>
    <m/>
    <n v="0"/>
    <n v="0"/>
    <n v="0"/>
    <n v="0"/>
    <n v="8631.6699999999983"/>
    <n v="8185.166666666667"/>
  </r>
  <r>
    <x v="3"/>
    <s v="Tallahassee Community College "/>
    <m/>
    <n v="137759"/>
    <x v="6"/>
    <s v="sem"/>
    <m/>
    <m/>
    <m/>
    <n v="133652"/>
    <n v="135595"/>
    <n v="70124"/>
    <n v="61101"/>
    <n v="148741"/>
    <n v="135376"/>
    <n v="352517"/>
    <n v="11750.566666666668"/>
    <n v="332072"/>
    <n v="11069.066666666668"/>
    <n v="8663"/>
    <n v="8082"/>
    <n v="352517"/>
    <n v="332072"/>
    <m/>
    <m/>
    <n v="228984"/>
    <n v="186962"/>
    <n v="40015"/>
    <n v="43974"/>
    <n v="142710"/>
    <n v="152595"/>
    <n v="411709"/>
    <n v="457.45444444444445"/>
    <n v="383531"/>
    <n v="426.14555555555557"/>
    <n v="7028"/>
    <n v="692"/>
    <n v="411709"/>
    <n v="383531"/>
    <m/>
    <m/>
    <m/>
    <m/>
    <m/>
    <m/>
    <m/>
    <m/>
    <n v="0"/>
    <n v="0"/>
    <n v="0"/>
    <n v="0"/>
    <n v="12208.021111111111"/>
    <n v="11495.212222222222"/>
  </r>
  <r>
    <x v="3"/>
    <s v="Valencia Community College "/>
    <m/>
    <n v="138187"/>
    <x v="6"/>
    <s v="sem"/>
    <m/>
    <m/>
    <m/>
    <n v="367512"/>
    <n v="364963"/>
    <n v="187193"/>
    <n v="165729"/>
    <n v="388537"/>
    <n v="380499"/>
    <n v="943242"/>
    <n v="31441.4"/>
    <n v="911191"/>
    <n v="30373.033333333333"/>
    <n v="37913"/>
    <n v="37708"/>
    <n v="943242"/>
    <n v="911191"/>
    <m/>
    <m/>
    <n v="96784"/>
    <n v="106522"/>
    <n v="55258"/>
    <n v="35864"/>
    <n v="39296"/>
    <n v="42650"/>
    <n v="191338"/>
    <n v="212.59777777777776"/>
    <n v="185036"/>
    <n v="205.59555555555556"/>
    <n v="0"/>
    <n v="0"/>
    <n v="191338"/>
    <n v="185036"/>
    <m/>
    <m/>
    <m/>
    <m/>
    <m/>
    <m/>
    <m/>
    <m/>
    <n v="0"/>
    <n v="0"/>
    <n v="0"/>
    <n v="0"/>
    <n v="31653.997777777779"/>
    <n v="30578.628888888888"/>
  </r>
  <r>
    <x v="3"/>
    <s v="Florida Gateway College"/>
    <m/>
    <n v="135160"/>
    <x v="7"/>
    <s v="sem"/>
    <m/>
    <m/>
    <m/>
    <n v="23834"/>
    <n v="24508"/>
    <n v="10470"/>
    <n v="9472"/>
    <n v="25526"/>
    <n v="24083"/>
    <n v="59830"/>
    <n v="1994.3333333333333"/>
    <n v="58063"/>
    <n v="1935.4333333333334"/>
    <n v="10042"/>
    <n v="13166"/>
    <n v="59830"/>
    <n v="58063"/>
    <m/>
    <m/>
    <n v="129183"/>
    <n v="105997"/>
    <n v="62678"/>
    <n v="65806"/>
    <n v="121412"/>
    <n v="100505"/>
    <n v="313273"/>
    <n v="348.08111111111111"/>
    <n v="272308"/>
    <n v="302.56444444444446"/>
    <n v="5316"/>
    <n v="9095"/>
    <n v="313273"/>
    <n v="272308"/>
    <m/>
    <m/>
    <m/>
    <m/>
    <m/>
    <m/>
    <m/>
    <m/>
    <n v="0"/>
    <n v="0"/>
    <n v="0"/>
    <n v="0"/>
    <n v="2342.4144444444446"/>
    <n v="2237.9977777777776"/>
  </r>
  <r>
    <x v="3"/>
    <s v="Gulf Coast Community College "/>
    <s v="Met the criteria for Two-Year with Bachelor's in 2012-13."/>
    <n v="134343"/>
    <x v="7"/>
    <s v="sem"/>
    <m/>
    <m/>
    <m/>
    <n v="57781"/>
    <n v="57995"/>
    <n v="18136"/>
    <n v="17122"/>
    <n v="62384"/>
    <n v="57451"/>
    <n v="138301"/>
    <n v="4610.0333333333338"/>
    <n v="132568"/>
    <n v="4418.9333333333334"/>
    <n v="15203"/>
    <n v="14090"/>
    <n v="138301"/>
    <n v="132568"/>
    <m/>
    <m/>
    <n v="111116"/>
    <n v="75812"/>
    <n v="66384"/>
    <n v="47721"/>
    <n v="74222"/>
    <n v="58552"/>
    <n v="251722"/>
    <n v="279.69111111111113"/>
    <n v="182085"/>
    <n v="202.31666666666666"/>
    <n v="0"/>
    <n v="0"/>
    <n v="251722"/>
    <n v="182085"/>
    <m/>
    <m/>
    <m/>
    <m/>
    <m/>
    <m/>
    <m/>
    <m/>
    <n v="0"/>
    <n v="0"/>
    <n v="0"/>
    <n v="0"/>
    <n v="4889.724444444445"/>
    <n v="4621.25"/>
  </r>
  <r>
    <x v="3"/>
    <s v="Lake-Sumter Community College "/>
    <m/>
    <n v="135188"/>
    <x v="7"/>
    <s v="sem"/>
    <m/>
    <m/>
    <m/>
    <n v="40603"/>
    <n v="40492"/>
    <n v="13943"/>
    <n v="12836"/>
    <n v="42677"/>
    <n v="39424"/>
    <n v="97223"/>
    <n v="3240.7666666666669"/>
    <n v="92752"/>
    <n v="3091.7333333333331"/>
    <n v="13580"/>
    <n v="13282"/>
    <n v="97223"/>
    <n v="92752"/>
    <m/>
    <m/>
    <n v="979"/>
    <n v="798"/>
    <n v="207"/>
    <n v="105"/>
    <n v="654"/>
    <n v="1031"/>
    <n v="1840"/>
    <n v="2.0444444444444443"/>
    <n v="1934"/>
    <n v="2.1488888888888891"/>
    <n v="0"/>
    <n v="0"/>
    <n v="1840"/>
    <n v="1934"/>
    <m/>
    <m/>
    <m/>
    <m/>
    <m/>
    <m/>
    <m/>
    <m/>
    <n v="0"/>
    <n v="0"/>
    <n v="0"/>
    <n v="0"/>
    <n v="3242.8111111111111"/>
    <n v="3093.882222222222"/>
  </r>
  <r>
    <x v="3"/>
    <s v="South Florida Community College "/>
    <m/>
    <n v="137315"/>
    <x v="7"/>
    <s v="sem"/>
    <m/>
    <m/>
    <m/>
    <n v="20029"/>
    <n v="19548"/>
    <n v="6394"/>
    <n v="5808"/>
    <n v="20933"/>
    <n v="21291"/>
    <n v="47356"/>
    <n v="1578.5333333333333"/>
    <n v="46647"/>
    <n v="1554.9"/>
    <n v="5311"/>
    <n v="5711"/>
    <n v="47356"/>
    <n v="46647"/>
    <m/>
    <m/>
    <n v="387106"/>
    <n v="284820"/>
    <n v="179605"/>
    <n v="131551"/>
    <n v="307704"/>
    <n v="290221"/>
    <n v="874415"/>
    <n v="971.57222222222219"/>
    <n v="706592"/>
    <n v="785.10222222222217"/>
    <n v="90138"/>
    <n v="82194"/>
    <n v="874415"/>
    <n v="706592"/>
    <m/>
    <m/>
    <m/>
    <m/>
    <m/>
    <m/>
    <m/>
    <m/>
    <n v="0"/>
    <n v="0"/>
    <n v="0"/>
    <n v="0"/>
    <n v="2550.1055555555554"/>
    <n v="2340.0022222222224"/>
  </r>
  <r>
    <x v="3"/>
    <s v="St. Johns River Community College "/>
    <s v="Met the criteria for Two-Year with Bachelor's in 2011-12 and 2012-13."/>
    <n v="137281"/>
    <x v="7"/>
    <s v="sem"/>
    <m/>
    <m/>
    <m/>
    <n v="55862"/>
    <n v="56675"/>
    <n v="28011"/>
    <n v="23696"/>
    <n v="59157"/>
    <n v="57468"/>
    <n v="143030"/>
    <n v="4767.666666666667"/>
    <n v="137839"/>
    <n v="4594.6333333333332"/>
    <n v="14774"/>
    <n v="14555"/>
    <n v="143030"/>
    <n v="137839"/>
    <m/>
    <m/>
    <n v="117431"/>
    <n v="104943"/>
    <n v="65403"/>
    <n v="55933"/>
    <n v="110790"/>
    <n v="125073"/>
    <n v="293624"/>
    <n v="326.24888888888887"/>
    <n v="285949"/>
    <n v="317.7211111111111"/>
    <n v="0"/>
    <n v="0"/>
    <n v="293624"/>
    <n v="285949"/>
    <m/>
    <m/>
    <m/>
    <m/>
    <m/>
    <m/>
    <m/>
    <m/>
    <n v="0"/>
    <n v="0"/>
    <n v="0"/>
    <n v="0"/>
    <n v="5093.9155555555562"/>
    <n v="4912.3544444444442"/>
  </r>
  <r>
    <x v="3"/>
    <s v="Florida Keys Community College "/>
    <m/>
    <n v="133960"/>
    <x v="8"/>
    <s v="sem"/>
    <m/>
    <m/>
    <m/>
    <n v="11322"/>
    <n v="10149"/>
    <n v="4743"/>
    <n v="4030"/>
    <n v="11470"/>
    <n v="10605"/>
    <n v="27535"/>
    <n v="917.83333333333337"/>
    <n v="24784"/>
    <n v="826.13333333333333"/>
    <n v="1914"/>
    <n v="1927"/>
    <n v="27535"/>
    <n v="24784"/>
    <m/>
    <m/>
    <n v="6750"/>
    <n v="12920"/>
    <n v="8057"/>
    <n v="6386"/>
    <n v="7251"/>
    <n v="12789"/>
    <n v="22058"/>
    <n v="24.50888888888889"/>
    <n v="32095"/>
    <n v="35.661111111111111"/>
    <n v="0"/>
    <n v="0"/>
    <n v="22058"/>
    <n v="32095"/>
    <m/>
    <m/>
    <m/>
    <m/>
    <m/>
    <m/>
    <m/>
    <m/>
    <n v="0"/>
    <n v="0"/>
    <n v="0"/>
    <n v="0"/>
    <n v="942.34222222222229"/>
    <n v="861.79444444444448"/>
  </r>
  <r>
    <x v="3"/>
    <s v="North Florida Community College "/>
    <m/>
    <n v="136145"/>
    <x v="8"/>
    <s v="sem"/>
    <m/>
    <m/>
    <m/>
    <n v="10776"/>
    <n v="10272"/>
    <n v="3901"/>
    <n v="3504"/>
    <n v="11642"/>
    <n v="10710"/>
    <n v="26319"/>
    <n v="877.3"/>
    <n v="24486"/>
    <n v="816.2"/>
    <n v="3712"/>
    <n v="3467"/>
    <n v="26319"/>
    <n v="24486"/>
    <m/>
    <m/>
    <n v="58213"/>
    <n v="36952"/>
    <n v="21125"/>
    <n v="6448"/>
    <n v="36927"/>
    <n v="46441"/>
    <n v="116265"/>
    <n v="129.18333333333334"/>
    <n v="89841"/>
    <n v="99.823333333333338"/>
    <n v="590"/>
    <n v="0"/>
    <n v="116265"/>
    <n v="89841"/>
    <m/>
    <m/>
    <m/>
    <m/>
    <m/>
    <m/>
    <m/>
    <m/>
    <n v="0"/>
    <n v="0"/>
    <n v="0"/>
    <n v="0"/>
    <n v="1006.4833333333333"/>
    <n v="916.02333333333343"/>
  </r>
  <r>
    <x v="4"/>
    <s v="Georgia State University "/>
    <m/>
    <n v="139940"/>
    <x v="0"/>
    <s v="sem"/>
    <s v="sem"/>
    <m/>
    <m/>
    <n v="275402"/>
    <n v="280797"/>
    <n v="78791"/>
    <n v="69622"/>
    <n v="294405"/>
    <n v="302084.5"/>
    <n v="648598"/>
    <n v="21619.933333333334"/>
    <n v="652503.5"/>
    <n v="21750.116666666665"/>
    <n v="1532.5"/>
    <n v="2134"/>
    <n v="648598"/>
    <n v="652503.5"/>
    <m/>
    <m/>
    <m/>
    <m/>
    <m/>
    <m/>
    <m/>
    <m/>
    <n v="0"/>
    <n v="0"/>
    <n v="0"/>
    <n v="0"/>
    <m/>
    <m/>
    <n v="0"/>
    <n v="0"/>
    <m/>
    <m/>
    <n v="87459.5"/>
    <n v="87306"/>
    <n v="49381"/>
    <n v="49229.5"/>
    <n v="90191"/>
    <n v="88354"/>
    <n v="227031.5"/>
    <n v="9459.6458333333339"/>
    <n v="224889.5"/>
    <n v="9370.3958333333339"/>
    <n v="31079.57916666667"/>
    <n v="31120.512499999997"/>
  </r>
  <r>
    <x v="4"/>
    <s v="University of Georgia"/>
    <m/>
    <n v="139959"/>
    <x v="0"/>
    <s v="sem"/>
    <s v="sem"/>
    <m/>
    <m/>
    <n v="334519"/>
    <n v="341933.4"/>
    <n v="56768.5"/>
    <n v="52137"/>
    <n v="359771.6"/>
    <n v="358004.5"/>
    <n v="751059.1"/>
    <n v="25035.303333333333"/>
    <n v="752074.9"/>
    <n v="25069.163333333334"/>
    <n v="245"/>
    <n v="303"/>
    <n v="751059.1"/>
    <n v="752074.9"/>
    <m/>
    <m/>
    <m/>
    <m/>
    <m/>
    <m/>
    <m/>
    <m/>
    <n v="0"/>
    <n v="0"/>
    <n v="0"/>
    <n v="0"/>
    <m/>
    <m/>
    <n v="0"/>
    <n v="0"/>
    <m/>
    <m/>
    <n v="99386.2"/>
    <n v="100842.9"/>
    <n v="39236"/>
    <n v="39846.6"/>
    <n v="104179.8"/>
    <n v="103033"/>
    <n v="242802"/>
    <n v="10116.75"/>
    <n v="243722.5"/>
    <n v="10155.104166666666"/>
    <n v="35152.05333333333"/>
    <n v="35224.267500000002"/>
  </r>
  <r>
    <x v="4"/>
    <s v="Georgia Institute of Technology"/>
    <m/>
    <n v="139755"/>
    <x v="1"/>
    <s v="sem"/>
    <s v="sem"/>
    <m/>
    <m/>
    <n v="174934"/>
    <n v="179762.5"/>
    <n v="45475"/>
    <n v="43581"/>
    <n v="192016"/>
    <n v="200584.5"/>
    <n v="412425"/>
    <n v="13747.5"/>
    <n v="423928"/>
    <n v="14130.933333333332"/>
    <n v="2210"/>
    <n v="2490"/>
    <n v="412425"/>
    <n v="423928"/>
    <m/>
    <m/>
    <m/>
    <m/>
    <m/>
    <m/>
    <m/>
    <m/>
    <n v="0"/>
    <n v="0"/>
    <n v="0"/>
    <n v="0"/>
    <m/>
    <m/>
    <n v="0"/>
    <n v="0"/>
    <m/>
    <m/>
    <n v="91420.5"/>
    <n v="91404"/>
    <n v="44087.5"/>
    <n v="43489.5"/>
    <n v="99332"/>
    <n v="99242"/>
    <n v="234840"/>
    <n v="9785"/>
    <n v="234135.5"/>
    <n v="9755.6458333333339"/>
    <n v="23532.5"/>
    <n v="23886.579166666666"/>
  </r>
  <r>
    <x v="4"/>
    <s v="Georgia Southern University"/>
    <m/>
    <n v="139931"/>
    <x v="2"/>
    <s v="sem"/>
    <s v="sem"/>
    <m/>
    <m/>
    <n v="211194.5"/>
    <n v="219703"/>
    <n v="61666"/>
    <n v="56580"/>
    <n v="233397"/>
    <n v="237958"/>
    <n v="506257.5"/>
    <n v="16875.25"/>
    <n v="514241"/>
    <n v="17141.366666666665"/>
    <n v="1921"/>
    <n v="2137"/>
    <n v="506257.5"/>
    <n v="514241"/>
    <m/>
    <m/>
    <m/>
    <m/>
    <m/>
    <m/>
    <m/>
    <m/>
    <n v="0"/>
    <n v="0"/>
    <n v="0"/>
    <n v="0"/>
    <m/>
    <m/>
    <n v="0"/>
    <n v="0"/>
    <m/>
    <m/>
    <n v="16343"/>
    <n v="16368"/>
    <n v="11657"/>
    <n v="10451"/>
    <n v="17673"/>
    <n v="17053"/>
    <n v="45673"/>
    <n v="1903.0416666666667"/>
    <n v="43872"/>
    <n v="1828"/>
    <n v="18778.291666666668"/>
    <n v="18969.366666666665"/>
  </r>
  <r>
    <x v="4"/>
    <s v="University of West Georgia"/>
    <m/>
    <n v="141334"/>
    <x v="2"/>
    <s v="sem"/>
    <s v="sem"/>
    <m/>
    <m/>
    <n v="116229"/>
    <n v="118814"/>
    <n v="33909"/>
    <n v="28487"/>
    <n v="128657"/>
    <n v="127540"/>
    <n v="278795"/>
    <n v="9293.1666666666661"/>
    <n v="274841"/>
    <n v="9161.3666666666668"/>
    <n v="2573"/>
    <n v="2788"/>
    <n v="278795"/>
    <n v="274841"/>
    <m/>
    <m/>
    <m/>
    <m/>
    <m/>
    <m/>
    <m/>
    <m/>
    <n v="0"/>
    <n v="0"/>
    <n v="0"/>
    <n v="0"/>
    <m/>
    <m/>
    <n v="0"/>
    <n v="0"/>
    <m/>
    <m/>
    <n v="8800"/>
    <n v="10298"/>
    <n v="6858"/>
    <n v="6802"/>
    <n v="9888"/>
    <n v="11689"/>
    <n v="25546"/>
    <n v="1064.4166666666667"/>
    <n v="28789"/>
    <n v="1199.5416666666667"/>
    <n v="10357.583333333332"/>
    <n v="10360.908333333333"/>
  </r>
  <r>
    <x v="4"/>
    <s v="Valdosta State University "/>
    <m/>
    <n v="141264"/>
    <x v="2"/>
    <s v="sem"/>
    <s v="sem"/>
    <m/>
    <m/>
    <n v="132972"/>
    <n v="130853"/>
    <n v="26870"/>
    <n v="23404"/>
    <n v="139485"/>
    <n v="133720"/>
    <n v="299327"/>
    <n v="9977.5666666666675"/>
    <n v="287977"/>
    <n v="9599.2333333333336"/>
    <n v="269"/>
    <n v="198"/>
    <n v="299327"/>
    <n v="287977"/>
    <m/>
    <m/>
    <m/>
    <m/>
    <m/>
    <m/>
    <m/>
    <m/>
    <n v="0"/>
    <n v="0"/>
    <n v="0"/>
    <n v="0"/>
    <m/>
    <m/>
    <n v="0"/>
    <n v="0"/>
    <m/>
    <m/>
    <n v="15081"/>
    <n v="15987"/>
    <n v="12012"/>
    <n v="11555"/>
    <n v="15975"/>
    <n v="15614"/>
    <n v="43068"/>
    <n v="1794.5"/>
    <n v="43156"/>
    <n v="1798.1666666666667"/>
    <n v="11772.066666666668"/>
    <n v="11397.4"/>
  </r>
  <r>
    <x v="4"/>
    <s v="Albany State University "/>
    <m/>
    <n v="138716"/>
    <x v="3"/>
    <s v="sem"/>
    <s v="sem"/>
    <m/>
    <m/>
    <n v="50803"/>
    <n v="49806"/>
    <n v="19410"/>
    <n v="8308"/>
    <n v="54183"/>
    <n v="48419"/>
    <n v="124396"/>
    <n v="4146.5333333333338"/>
    <n v="106533"/>
    <n v="3551.1"/>
    <n v="37"/>
    <n v="168"/>
    <n v="124396"/>
    <n v="106533"/>
    <m/>
    <m/>
    <m/>
    <m/>
    <m/>
    <m/>
    <m/>
    <m/>
    <n v="0"/>
    <n v="0"/>
    <n v="0"/>
    <n v="0"/>
    <m/>
    <m/>
    <n v="0"/>
    <n v="0"/>
    <m/>
    <m/>
    <n v="3017"/>
    <n v="3343"/>
    <n v="2224"/>
    <n v="1469"/>
    <n v="3327"/>
    <n v="3280"/>
    <n v="8568"/>
    <n v="357"/>
    <n v="8092"/>
    <n v="337.16666666666669"/>
    <n v="4503.5333333333338"/>
    <n v="3888.2666666666664"/>
  </r>
  <r>
    <x v="4"/>
    <s v="Armstrong Atlantic State University"/>
    <m/>
    <n v="138789"/>
    <x v="3"/>
    <s v="sem"/>
    <s v="sem"/>
    <m/>
    <m/>
    <n v="76494.399999999994"/>
    <n v="75947"/>
    <n v="22230"/>
    <n v="19748"/>
    <n v="79879"/>
    <n v="80411"/>
    <n v="178603.4"/>
    <n v="5953.4466666666667"/>
    <n v="176106"/>
    <n v="5870.2"/>
    <n v="745"/>
    <n v="745"/>
    <n v="178603.4"/>
    <n v="176106"/>
    <m/>
    <m/>
    <m/>
    <m/>
    <m/>
    <m/>
    <m/>
    <m/>
    <n v="0"/>
    <n v="0"/>
    <n v="0"/>
    <n v="0"/>
    <m/>
    <m/>
    <n v="0"/>
    <n v="0"/>
    <m/>
    <m/>
    <n v="5032"/>
    <n v="4748"/>
    <n v="3282"/>
    <n v="3403"/>
    <n v="4853"/>
    <n v="5208"/>
    <n v="13167"/>
    <n v="548.625"/>
    <n v="13359"/>
    <n v="556.625"/>
    <n v="6502.0716666666667"/>
    <n v="6426.8249999999998"/>
  </r>
  <r>
    <x v="4"/>
    <s v="Augusta State University"/>
    <s v="Reclassified: met the criteria for Four-Year 4 in 2010-11, 2011-12, and 2012-13."/>
    <n v="138983"/>
    <x v="3"/>
    <s v="sem"/>
    <s v="sem"/>
    <m/>
    <m/>
    <n v="65929"/>
    <n v="65008"/>
    <n v="17265"/>
    <n v="14796"/>
    <n v="68476"/>
    <n v="67328"/>
    <n v="151670"/>
    <n v="5055.666666666667"/>
    <n v="147132"/>
    <n v="4904.3999999999996"/>
    <n v="844"/>
    <n v="946"/>
    <n v="151670"/>
    <n v="147132"/>
    <m/>
    <m/>
    <m/>
    <m/>
    <m/>
    <m/>
    <m/>
    <m/>
    <n v="0"/>
    <n v="0"/>
    <n v="0"/>
    <n v="0"/>
    <m/>
    <m/>
    <n v="0"/>
    <n v="0"/>
    <m/>
    <m/>
    <n v="6120"/>
    <n v="5524"/>
    <n v="3620"/>
    <n v="2945"/>
    <n v="5852"/>
    <n v="5221"/>
    <n v="15592"/>
    <n v="649.66666666666663"/>
    <n v="13690"/>
    <n v="570.41666666666663"/>
    <n v="5705.3333333333339"/>
    <n v="5474.8166666666666"/>
  </r>
  <r>
    <x v="4"/>
    <s v="Columbus State University"/>
    <m/>
    <n v="139366"/>
    <x v="3"/>
    <s v="sem"/>
    <s v="sem"/>
    <m/>
    <m/>
    <n v="78366"/>
    <n v="78739"/>
    <n v="23168"/>
    <n v="18584"/>
    <n v="83177"/>
    <n v="83625"/>
    <n v="184711"/>
    <n v="6157.0333333333338"/>
    <n v="180948"/>
    <n v="6031.6"/>
    <n v="766"/>
    <n v="942"/>
    <n v="184711"/>
    <n v="180948"/>
    <m/>
    <m/>
    <m/>
    <m/>
    <m/>
    <m/>
    <m/>
    <m/>
    <n v="0"/>
    <n v="0"/>
    <n v="0"/>
    <n v="0"/>
    <m/>
    <m/>
    <n v="0"/>
    <n v="0"/>
    <m/>
    <m/>
    <n v="7799"/>
    <n v="7889"/>
    <n v="5414"/>
    <n v="4950"/>
    <n v="8343"/>
    <n v="7897"/>
    <n v="21556"/>
    <n v="898.16666666666663"/>
    <n v="20736"/>
    <n v="864"/>
    <n v="7055.2000000000007"/>
    <n v="6895.6"/>
  </r>
  <r>
    <x v="4"/>
    <s v="Georgia College and State University"/>
    <m/>
    <n v="139861"/>
    <x v="3"/>
    <s v="sem"/>
    <s v="sem"/>
    <m/>
    <m/>
    <n v="72065"/>
    <n v="73639"/>
    <n v="15575"/>
    <n v="14223"/>
    <n v="77941.5"/>
    <n v="77778.5"/>
    <n v="165581.5"/>
    <n v="5519.3833333333332"/>
    <n v="165640.5"/>
    <n v="5521.35"/>
    <n v="574"/>
    <n v="618"/>
    <n v="165581.5"/>
    <n v="165640.5"/>
    <m/>
    <m/>
    <m/>
    <m/>
    <m/>
    <m/>
    <m/>
    <m/>
    <n v="0"/>
    <n v="0"/>
    <n v="0"/>
    <n v="0"/>
    <m/>
    <m/>
    <n v="0"/>
    <n v="0"/>
    <m/>
    <m/>
    <n v="7029"/>
    <n v="7123"/>
    <n v="5101.5"/>
    <n v="4740"/>
    <n v="7359"/>
    <n v="6654"/>
    <n v="19489.5"/>
    <n v="812.0625"/>
    <n v="18517"/>
    <n v="771.54166666666663"/>
    <n v="6331.4458333333332"/>
    <n v="6292.8916666666673"/>
  </r>
  <r>
    <x v="4"/>
    <s v="Kennesaw State University"/>
    <s v="Met the criteria for Four-Year 3 in 2011-12 and 2012-13."/>
    <n v="140164"/>
    <x v="3"/>
    <s v="sem"/>
    <s v="sem"/>
    <m/>
    <m/>
    <n v="250745"/>
    <n v="256602"/>
    <n v="74469"/>
    <n v="65036"/>
    <n v="269717"/>
    <n v="273537"/>
    <n v="594931"/>
    <n v="19831.033333333333"/>
    <n v="595175"/>
    <n v="19839.166666666668"/>
    <n v="3558"/>
    <n v="3923"/>
    <n v="594931"/>
    <n v="595175"/>
    <m/>
    <m/>
    <m/>
    <m/>
    <m/>
    <m/>
    <m/>
    <m/>
    <n v="0"/>
    <n v="0"/>
    <n v="0"/>
    <n v="0"/>
    <m/>
    <m/>
    <n v="0"/>
    <n v="0"/>
    <m/>
    <m/>
    <n v="13653"/>
    <n v="13000"/>
    <n v="7801"/>
    <n v="8065"/>
    <n v="13764"/>
    <n v="14268"/>
    <n v="35218"/>
    <n v="1467.4166666666667"/>
    <n v="35333"/>
    <n v="1472.2083333333333"/>
    <n v="21298.45"/>
    <n v="21311.375"/>
  </r>
  <r>
    <x v="4"/>
    <s v="North Georgia College and State University"/>
    <s v="Reclassified: met the criteria for Four-Year 4 in 2010-11, 2011-12, and 2012-13."/>
    <n v="140669"/>
    <x v="3"/>
    <s v="sem"/>
    <s v="sem"/>
    <m/>
    <m/>
    <n v="67162"/>
    <n v="69648"/>
    <n v="14643"/>
    <n v="16529"/>
    <n v="71634"/>
    <n v="76097"/>
    <n v="153439"/>
    <n v="5114.6333333333332"/>
    <n v="162274"/>
    <n v="5409.1333333333332"/>
    <n v="210"/>
    <n v="210"/>
    <n v="153439"/>
    <n v="162274"/>
    <m/>
    <m/>
    <m/>
    <m/>
    <m/>
    <m/>
    <m/>
    <m/>
    <n v="0"/>
    <n v="0"/>
    <n v="0"/>
    <n v="0"/>
    <m/>
    <m/>
    <n v="0"/>
    <n v="0"/>
    <m/>
    <m/>
    <n v="3801"/>
    <n v="3966"/>
    <n v="3491"/>
    <n v="3378"/>
    <n v="3839"/>
    <n v="4130"/>
    <n v="11131"/>
    <n v="463.79166666666669"/>
    <n v="11474"/>
    <n v="478.08333333333331"/>
    <n v="5578.4250000000002"/>
    <n v="5887.2166666666662"/>
  </r>
  <r>
    <x v="4"/>
    <s v="Clayton State University"/>
    <s v="Met the criteria for Four-Year 4 in 2012-13."/>
    <n v="139311"/>
    <x v="4"/>
    <s v="sem"/>
    <s v="sem"/>
    <m/>
    <m/>
    <n v="70014"/>
    <n v="70640"/>
    <n v="28772"/>
    <n v="23185"/>
    <n v="70882"/>
    <n v="73336"/>
    <n v="169668"/>
    <n v="5655.6"/>
    <n v="167161"/>
    <n v="5572.0333333333338"/>
    <n v="4597"/>
    <n v="4352"/>
    <n v="169668"/>
    <n v="167161"/>
    <m/>
    <m/>
    <m/>
    <m/>
    <m/>
    <m/>
    <m/>
    <m/>
    <n v="0"/>
    <n v="0"/>
    <n v="0"/>
    <n v="0"/>
    <m/>
    <m/>
    <n v="0"/>
    <n v="0"/>
    <m/>
    <m/>
    <n v="1793"/>
    <n v="2096"/>
    <n v="1135"/>
    <n v="1316"/>
    <n v="2139"/>
    <n v="2294"/>
    <n v="5067"/>
    <n v="211.125"/>
    <n v="5706"/>
    <n v="237.75"/>
    <n v="5866.7250000000004"/>
    <n v="5809.7833333333338"/>
  </r>
  <r>
    <x v="4"/>
    <s v="Fort Valley State University"/>
    <m/>
    <n v="139719"/>
    <x v="4"/>
    <s v="sem"/>
    <s v="sem"/>
    <m/>
    <m/>
    <n v="43498"/>
    <n v="45657"/>
    <n v="10572"/>
    <n v="7184"/>
    <n v="48340"/>
    <n v="43648"/>
    <n v="102410"/>
    <n v="3413.6666666666665"/>
    <n v="96489"/>
    <n v="3216.3"/>
    <n v="265"/>
    <n v="197"/>
    <n v="102410"/>
    <n v="96489"/>
    <m/>
    <m/>
    <m/>
    <m/>
    <m/>
    <m/>
    <m/>
    <m/>
    <n v="0"/>
    <n v="0"/>
    <n v="0"/>
    <n v="0"/>
    <m/>
    <m/>
    <n v="0"/>
    <n v="0"/>
    <m/>
    <m/>
    <n v="1661"/>
    <n v="2037"/>
    <n v="920"/>
    <n v="905"/>
    <n v="1721"/>
    <n v="2100"/>
    <n v="4302"/>
    <n v="179.25"/>
    <n v="5042"/>
    <n v="210.08333333333334"/>
    <n v="3592.9166666666665"/>
    <n v="3426.3833333333337"/>
  </r>
  <r>
    <x v="4"/>
    <s v="Georgia Southwestern State University"/>
    <m/>
    <n v="139764"/>
    <x v="4"/>
    <s v="sem"/>
    <s v="sem"/>
    <m/>
    <m/>
    <n v="32215"/>
    <n v="31388"/>
    <n v="11775"/>
    <n v="10470"/>
    <n v="33474"/>
    <n v="32746"/>
    <n v="77464"/>
    <n v="2582.1333333333332"/>
    <n v="74604"/>
    <n v="2486.8000000000002"/>
    <n v="643"/>
    <n v="399"/>
    <n v="77464"/>
    <n v="74604"/>
    <m/>
    <m/>
    <m/>
    <m/>
    <m/>
    <m/>
    <m/>
    <m/>
    <n v="0"/>
    <n v="0"/>
    <n v="0"/>
    <n v="0"/>
    <m/>
    <m/>
    <n v="0"/>
    <n v="0"/>
    <m/>
    <m/>
    <n v="1623"/>
    <n v="1962"/>
    <n v="2334"/>
    <n v="1950"/>
    <n v="1860"/>
    <n v="1814"/>
    <n v="5817"/>
    <n v="242.375"/>
    <n v="5726"/>
    <n v="238.58333333333334"/>
    <n v="2824.5083333333332"/>
    <n v="2725.3833333333337"/>
  </r>
  <r>
    <x v="4"/>
    <s v="Savannah State University"/>
    <m/>
    <n v="140960"/>
    <x v="4"/>
    <s v="sem"/>
    <s v="sem"/>
    <m/>
    <m/>
    <n v="48301"/>
    <n v="52297"/>
    <n v="13000"/>
    <n v="7997"/>
    <n v="57314"/>
    <n v="57761"/>
    <n v="118615"/>
    <n v="3953.8333333333335"/>
    <n v="118055"/>
    <n v="3935.1666666666665"/>
    <n v="1034"/>
    <n v="1392"/>
    <n v="118615"/>
    <n v="118055"/>
    <m/>
    <m/>
    <m/>
    <m/>
    <m/>
    <m/>
    <m/>
    <m/>
    <n v="0"/>
    <n v="0"/>
    <n v="0"/>
    <n v="0"/>
    <m/>
    <m/>
    <n v="0"/>
    <n v="0"/>
    <m/>
    <m/>
    <n v="1239"/>
    <n v="1294"/>
    <n v="345"/>
    <n v="462"/>
    <n v="1503"/>
    <n v="1582"/>
    <n v="3087"/>
    <n v="128.625"/>
    <n v="3338"/>
    <n v="139.08333333333334"/>
    <n v="4082.4583333333335"/>
    <n v="4074.25"/>
  </r>
  <r>
    <x v="4"/>
    <s v="Georgia Gwinnett College"/>
    <m/>
    <n v="447689"/>
    <x v="5"/>
    <s v="sem"/>
    <s v="sem"/>
    <m/>
    <m/>
    <n v="67161"/>
    <n v="94939"/>
    <n v="18140"/>
    <n v="19884"/>
    <n v="92274"/>
    <n v="111197"/>
    <n v="177575"/>
    <n v="5919.166666666667"/>
    <n v="226020"/>
    <n v="7534"/>
    <n v="2408"/>
    <n v="3645"/>
    <n v="177575"/>
    <n v="226020"/>
    <m/>
    <m/>
    <m/>
    <m/>
    <m/>
    <m/>
    <m/>
    <m/>
    <n v="0"/>
    <n v="0"/>
    <n v="0"/>
    <n v="0"/>
    <m/>
    <m/>
    <n v="0"/>
    <n v="0"/>
    <m/>
    <m/>
    <m/>
    <m/>
    <m/>
    <m/>
    <m/>
    <m/>
    <n v="0"/>
    <n v="0"/>
    <n v="0"/>
    <n v="0"/>
    <n v="5919.166666666667"/>
    <n v="7534"/>
  </r>
  <r>
    <x v="4"/>
    <s v="Macon State College "/>
    <m/>
    <n v="140322"/>
    <x v="5"/>
    <s v="sem"/>
    <s v="sem"/>
    <m/>
    <m/>
    <n v="61658"/>
    <n v="58294"/>
    <n v="25609"/>
    <n v="19093"/>
    <n v="60160"/>
    <n v="60576"/>
    <n v="147427"/>
    <n v="4914.2333333333336"/>
    <n v="137963"/>
    <n v="4598.7666666666664"/>
    <n v="1203"/>
    <n v="1554"/>
    <n v="147427"/>
    <n v="137963"/>
    <m/>
    <m/>
    <m/>
    <m/>
    <m/>
    <m/>
    <m/>
    <m/>
    <n v="0"/>
    <n v="0"/>
    <n v="0"/>
    <n v="0"/>
    <m/>
    <m/>
    <n v="0"/>
    <n v="0"/>
    <m/>
    <m/>
    <m/>
    <m/>
    <m/>
    <m/>
    <m/>
    <m/>
    <n v="0"/>
    <n v="0"/>
    <n v="0"/>
    <n v="0"/>
    <n v="4914.2333333333336"/>
    <n v="4598.7666666666664"/>
  </r>
  <r>
    <x v="4"/>
    <s v="Dalton State College "/>
    <s v="Met the criteria for Four-Year 6 in 2011-12 and 2012-13."/>
    <n v="139463"/>
    <x v="11"/>
    <s v="sem"/>
    <s v="sem"/>
    <m/>
    <m/>
    <n v="60114"/>
    <n v="52243"/>
    <n v="13407"/>
    <n v="11845"/>
    <n v="58779"/>
    <n v="54418"/>
    <n v="132300"/>
    <n v="4410"/>
    <n v="118506"/>
    <n v="3950.2"/>
    <n v="991"/>
    <n v="1004"/>
    <n v="132300"/>
    <n v="118506"/>
    <m/>
    <m/>
    <m/>
    <m/>
    <m/>
    <m/>
    <m/>
    <m/>
    <n v="0"/>
    <n v="0"/>
    <n v="0"/>
    <n v="0"/>
    <m/>
    <m/>
    <n v="0"/>
    <n v="0"/>
    <m/>
    <m/>
    <m/>
    <m/>
    <m/>
    <m/>
    <m/>
    <m/>
    <n v="0"/>
    <n v="0"/>
    <n v="0"/>
    <n v="0"/>
    <n v="4410"/>
    <n v="3950.2"/>
  </r>
  <r>
    <x v="4"/>
    <s v="Gainesville State College "/>
    <m/>
    <n v="139773"/>
    <x v="11"/>
    <s v="sem"/>
    <s v="sem"/>
    <m/>
    <m/>
    <n v="87167"/>
    <n v="84213"/>
    <n v="21559"/>
    <n v="20148"/>
    <n v="92855"/>
    <n v="93808"/>
    <n v="201581"/>
    <n v="6719.3666666666668"/>
    <n v="198169"/>
    <n v="6605.6333333333332"/>
    <n v="11206"/>
    <n v="2434"/>
    <n v="201581"/>
    <n v="198169"/>
    <m/>
    <m/>
    <m/>
    <m/>
    <m/>
    <m/>
    <m/>
    <m/>
    <n v="0"/>
    <n v="0"/>
    <n v="0"/>
    <n v="0"/>
    <m/>
    <m/>
    <n v="0"/>
    <n v="0"/>
    <m/>
    <m/>
    <m/>
    <m/>
    <m/>
    <m/>
    <m/>
    <m/>
    <n v="0"/>
    <n v="0"/>
    <n v="0"/>
    <n v="0"/>
    <n v="6719.3666666666668"/>
    <n v="6605.6333333333332"/>
  </r>
  <r>
    <x v="4"/>
    <s v="Gordon College "/>
    <m/>
    <n v="139968"/>
    <x v="11"/>
    <s v="sem"/>
    <s v="sem"/>
    <m/>
    <m/>
    <n v="56296"/>
    <n v="48524"/>
    <n v="9907"/>
    <n v="6974"/>
    <n v="54394"/>
    <n v="48916"/>
    <n v="120597"/>
    <n v="4019.9"/>
    <n v="104414"/>
    <n v="3480.4666666666667"/>
    <n v="766"/>
    <n v="991"/>
    <n v="120597"/>
    <n v="104414"/>
    <m/>
    <m/>
    <m/>
    <m/>
    <m/>
    <m/>
    <m/>
    <m/>
    <n v="0"/>
    <n v="0"/>
    <n v="0"/>
    <n v="0"/>
    <m/>
    <m/>
    <n v="0"/>
    <n v="0"/>
    <m/>
    <m/>
    <m/>
    <m/>
    <m/>
    <m/>
    <m/>
    <m/>
    <n v="0"/>
    <n v="0"/>
    <n v="0"/>
    <n v="0"/>
    <n v="4019.9"/>
    <n v="3480.4666666666667"/>
  </r>
  <r>
    <x v="4"/>
    <s v="Georgia Perimeter College "/>
    <m/>
    <n v="244437"/>
    <x v="6"/>
    <s v="sem"/>
    <s v="sem"/>
    <m/>
    <m/>
    <n v="250419"/>
    <n v="244704"/>
    <n v="105024"/>
    <n v="84352"/>
    <n v="254794"/>
    <n v="222399"/>
    <n v="610237"/>
    <n v="20341.233333333334"/>
    <n v="551455"/>
    <n v="18381.833333333332"/>
    <n v="772"/>
    <n v="11740"/>
    <n v="610237"/>
    <n v="551455"/>
    <m/>
    <m/>
    <m/>
    <m/>
    <m/>
    <m/>
    <m/>
    <m/>
    <n v="0"/>
    <n v="0"/>
    <n v="0"/>
    <n v="0"/>
    <m/>
    <m/>
    <n v="0"/>
    <n v="0"/>
    <m/>
    <m/>
    <m/>
    <m/>
    <m/>
    <m/>
    <m/>
    <m/>
    <n v="0"/>
    <n v="0"/>
    <n v="0"/>
    <n v="0"/>
    <n v="20341.233333333334"/>
    <n v="18381.833333333332"/>
  </r>
  <r>
    <x v="4"/>
    <s v="Abraham Baldwin Agricultural College "/>
    <s v="Met the criteria for Two-Year with Bachelor's in 2011-12 and 2012-13. "/>
    <n v="138558"/>
    <x v="7"/>
    <s v="sem"/>
    <s v="sem"/>
    <m/>
    <m/>
    <n v="35443"/>
    <n v="34153"/>
    <n v="8028"/>
    <n v="6358"/>
    <n v="37672"/>
    <n v="37304"/>
    <n v="81143"/>
    <n v="2704.7666666666669"/>
    <n v="77815"/>
    <n v="2593.8333333333335"/>
    <n v="1241"/>
    <n v="1661"/>
    <n v="81143"/>
    <n v="77815"/>
    <m/>
    <m/>
    <m/>
    <m/>
    <m/>
    <m/>
    <m/>
    <m/>
    <n v="0"/>
    <n v="0"/>
    <n v="0"/>
    <n v="0"/>
    <m/>
    <m/>
    <n v="0"/>
    <n v="0"/>
    <m/>
    <m/>
    <m/>
    <m/>
    <m/>
    <m/>
    <m/>
    <m/>
    <n v="0"/>
    <n v="0"/>
    <n v="0"/>
    <n v="0"/>
    <n v="2704.7666666666669"/>
    <n v="2593.8333333333335"/>
  </r>
  <r>
    <x v="4"/>
    <s v="Atlanta Metropolitan College"/>
    <m/>
    <n v="138901"/>
    <x v="7"/>
    <s v="sem"/>
    <s v="sem"/>
    <m/>
    <m/>
    <n v="32533"/>
    <n v="29462"/>
    <n v="13582"/>
    <n v="11490"/>
    <n v="29816"/>
    <n v="30154"/>
    <n v="75931"/>
    <n v="2531.0333333333333"/>
    <n v="71106"/>
    <n v="2370.1999999999998"/>
    <n v="300"/>
    <n v="449"/>
    <n v="75931"/>
    <n v="71106"/>
    <m/>
    <m/>
    <m/>
    <m/>
    <m/>
    <m/>
    <m/>
    <m/>
    <n v="0"/>
    <n v="0"/>
    <n v="0"/>
    <n v="0"/>
    <m/>
    <m/>
    <n v="0"/>
    <n v="0"/>
    <m/>
    <m/>
    <m/>
    <m/>
    <m/>
    <m/>
    <m/>
    <m/>
    <n v="0"/>
    <n v="0"/>
    <n v="0"/>
    <n v="0"/>
    <n v="2531.0333333333333"/>
    <n v="2370.1999999999998"/>
  </r>
  <r>
    <x v="4"/>
    <s v="Bainbridge College "/>
    <m/>
    <n v="139010"/>
    <x v="7"/>
    <s v="sem"/>
    <s v="sem"/>
    <m/>
    <m/>
    <n v="39960"/>
    <n v="38421"/>
    <n v="23673"/>
    <n v="17742"/>
    <n v="39342"/>
    <n v="30697"/>
    <n v="102975"/>
    <n v="3432.5"/>
    <n v="86860"/>
    <n v="2895.3333333333335"/>
    <n v="873"/>
    <n v="1019"/>
    <n v="102975"/>
    <n v="86860"/>
    <m/>
    <m/>
    <m/>
    <m/>
    <m/>
    <m/>
    <m/>
    <m/>
    <n v="0"/>
    <n v="0"/>
    <n v="0"/>
    <n v="0"/>
    <m/>
    <m/>
    <n v="0"/>
    <n v="0"/>
    <m/>
    <m/>
    <m/>
    <m/>
    <m/>
    <m/>
    <m/>
    <m/>
    <n v="0"/>
    <n v="0"/>
    <n v="0"/>
    <n v="0"/>
    <n v="3432.5"/>
    <n v="2895.3333333333335"/>
  </r>
  <r>
    <x v="4"/>
    <s v="College of Coastal Georgia "/>
    <s v="Met the criteria for Two-Year with Bachelor's in 2011-12 and 2012-13. "/>
    <n v="139250"/>
    <x v="7"/>
    <s v="sem"/>
    <s v="sem"/>
    <m/>
    <m/>
    <n v="34704"/>
    <n v="33273"/>
    <n v="10136"/>
    <n v="7116"/>
    <n v="37459"/>
    <n v="34158"/>
    <n v="82299"/>
    <n v="2743.3"/>
    <n v="74547"/>
    <n v="2484.9"/>
    <n v="907.5"/>
    <n v="1449"/>
    <n v="82299"/>
    <n v="74547"/>
    <m/>
    <m/>
    <m/>
    <m/>
    <m/>
    <m/>
    <m/>
    <m/>
    <n v="0"/>
    <n v="0"/>
    <n v="0"/>
    <n v="0"/>
    <m/>
    <m/>
    <n v="0"/>
    <n v="0"/>
    <m/>
    <m/>
    <m/>
    <m/>
    <m/>
    <m/>
    <m/>
    <m/>
    <n v="0"/>
    <n v="0"/>
    <n v="0"/>
    <n v="0"/>
    <n v="2743.3"/>
    <n v="2484.9"/>
  </r>
  <r>
    <x v="4"/>
    <s v="Darton College "/>
    <m/>
    <n v="138691"/>
    <x v="7"/>
    <s v="sem"/>
    <s v="sem"/>
    <m/>
    <m/>
    <n v="52377"/>
    <n v="58391.5"/>
    <n v="28811.5"/>
    <n v="27357"/>
    <n v="60674.5"/>
    <n v="63513"/>
    <n v="141863"/>
    <n v="4728.7666666666664"/>
    <n v="149261.5"/>
    <n v="4975.3833333333332"/>
    <n v="1773"/>
    <n v="992.5"/>
    <n v="141863"/>
    <n v="149261.5"/>
    <m/>
    <m/>
    <m/>
    <m/>
    <m/>
    <m/>
    <m/>
    <m/>
    <n v="0"/>
    <n v="0"/>
    <n v="0"/>
    <n v="0"/>
    <m/>
    <m/>
    <n v="0"/>
    <n v="0"/>
    <m/>
    <m/>
    <m/>
    <m/>
    <m/>
    <m/>
    <m/>
    <m/>
    <n v="0"/>
    <n v="0"/>
    <n v="0"/>
    <n v="0"/>
    <n v="4728.7666666666664"/>
    <n v="4975.3833333333332"/>
  </r>
  <r>
    <x v="4"/>
    <s v="East Georgia College"/>
    <m/>
    <n v="139621"/>
    <x v="7"/>
    <s v="sem"/>
    <s v="sem"/>
    <m/>
    <m/>
    <n v="32742"/>
    <n v="35314"/>
    <n v="8505"/>
    <n v="6147"/>
    <n v="39921"/>
    <n v="33696"/>
    <n v="81168"/>
    <n v="2705.6"/>
    <n v="75157"/>
    <n v="2505.2333333333331"/>
    <n v="427"/>
    <n v="323"/>
    <n v="81168"/>
    <n v="75157"/>
    <m/>
    <m/>
    <m/>
    <m/>
    <m/>
    <m/>
    <m/>
    <m/>
    <n v="0"/>
    <n v="0"/>
    <n v="0"/>
    <n v="0"/>
    <m/>
    <m/>
    <n v="0"/>
    <n v="0"/>
    <m/>
    <m/>
    <m/>
    <m/>
    <m/>
    <m/>
    <m/>
    <m/>
    <n v="0"/>
    <n v="0"/>
    <n v="0"/>
    <n v="0"/>
    <n v="2705.6"/>
    <n v="2505.2333333333331"/>
  </r>
  <r>
    <x v="4"/>
    <s v="Georgia Highlands College"/>
    <m/>
    <n v="139700"/>
    <x v="7"/>
    <s v="sem"/>
    <s v="sem"/>
    <m/>
    <m/>
    <n v="54217"/>
    <n v="55157"/>
    <n v="14882"/>
    <n v="13296"/>
    <n v="57318"/>
    <n v="56389"/>
    <n v="126417"/>
    <n v="4213.8999999999996"/>
    <n v="124842"/>
    <n v="4161.3999999999996"/>
    <n v="1083"/>
    <n v="1585"/>
    <n v="126417"/>
    <n v="124842"/>
    <m/>
    <m/>
    <m/>
    <m/>
    <m/>
    <m/>
    <m/>
    <m/>
    <n v="0"/>
    <n v="0"/>
    <n v="0"/>
    <n v="0"/>
    <m/>
    <m/>
    <n v="0"/>
    <n v="0"/>
    <m/>
    <m/>
    <m/>
    <m/>
    <m/>
    <m/>
    <m/>
    <m/>
    <n v="0"/>
    <n v="0"/>
    <n v="0"/>
    <n v="0"/>
    <n v="4213.8999999999996"/>
    <n v="4161.3999999999996"/>
  </r>
  <r>
    <x v="4"/>
    <s v="Middle Georgia College "/>
    <s v="Met the criteria for Two-Year with Bachelor's in 2011-12 and 2012-13. "/>
    <n v="140483"/>
    <x v="7"/>
    <s v="sem"/>
    <s v="sem"/>
    <m/>
    <m/>
    <n v="39534"/>
    <n v="34734"/>
    <n v="12649"/>
    <n v="9176"/>
    <n v="40079"/>
    <n v="36070"/>
    <n v="92262"/>
    <n v="3075.4"/>
    <n v="79980"/>
    <n v="2666"/>
    <n v="3334"/>
    <n v="3574"/>
    <n v="92262"/>
    <n v="79980"/>
    <m/>
    <m/>
    <m/>
    <m/>
    <m/>
    <m/>
    <m/>
    <m/>
    <n v="0"/>
    <n v="0"/>
    <n v="0"/>
    <n v="0"/>
    <m/>
    <m/>
    <n v="0"/>
    <n v="0"/>
    <m/>
    <m/>
    <m/>
    <m/>
    <m/>
    <m/>
    <m/>
    <m/>
    <n v="0"/>
    <n v="0"/>
    <n v="0"/>
    <n v="0"/>
    <n v="3075.4"/>
    <n v="2666"/>
  </r>
  <r>
    <x v="4"/>
    <s v="South Georgia College "/>
    <m/>
    <n v="140997"/>
    <x v="8"/>
    <s v="sem"/>
    <s v="sem"/>
    <m/>
    <m/>
    <n v="23745"/>
    <n v="25533"/>
    <n v="7156"/>
    <n v="5554"/>
    <n v="27869"/>
    <n v="27704"/>
    <n v="58770"/>
    <n v="1959"/>
    <n v="58791"/>
    <n v="1959.7"/>
    <n v="472"/>
    <n v="676"/>
    <n v="58770"/>
    <n v="58791"/>
    <m/>
    <m/>
    <m/>
    <m/>
    <m/>
    <m/>
    <m/>
    <m/>
    <n v="0"/>
    <n v="0"/>
    <n v="0"/>
    <n v="0"/>
    <m/>
    <m/>
    <n v="0"/>
    <n v="0"/>
    <m/>
    <m/>
    <m/>
    <m/>
    <m/>
    <m/>
    <m/>
    <m/>
    <n v="0"/>
    <n v="0"/>
    <n v="0"/>
    <n v="0"/>
    <n v="1959"/>
    <n v="1959.7"/>
  </r>
  <r>
    <x v="4"/>
    <s v="Waycross College "/>
    <m/>
    <n v="141307"/>
    <x v="8"/>
    <s v="sem"/>
    <s v="sem"/>
    <m/>
    <m/>
    <n v="10389"/>
    <n v="9420"/>
    <n v="3317"/>
    <n v="2565"/>
    <n v="9159"/>
    <n v="8077"/>
    <n v="22865"/>
    <n v="762.16666666666663"/>
    <n v="20062"/>
    <n v="668.73333333333335"/>
    <n v="1091"/>
    <n v="1477"/>
    <n v="22865"/>
    <n v="20062"/>
    <m/>
    <m/>
    <m/>
    <m/>
    <m/>
    <m/>
    <m/>
    <m/>
    <n v="0"/>
    <n v="0"/>
    <n v="0"/>
    <n v="0"/>
    <m/>
    <m/>
    <n v="0"/>
    <n v="0"/>
    <m/>
    <m/>
    <m/>
    <m/>
    <m/>
    <m/>
    <m/>
    <m/>
    <n v="0"/>
    <n v="0"/>
    <n v="0"/>
    <n v="0"/>
    <n v="762.16666666666663"/>
    <n v="668.73333333333335"/>
  </r>
  <r>
    <x v="4"/>
    <s v="Albany Technical College"/>
    <m/>
    <n v="138682"/>
    <x v="9"/>
    <s v="sem"/>
    <s v="sem"/>
    <n v="37569.199999999997"/>
    <m/>
    <n v="35802.5"/>
    <n v="46658"/>
    <n v="32995"/>
    <n v="31614"/>
    <n v="51561"/>
    <n v="42038"/>
    <n v="157927.70000000001"/>
    <n v="5264.2566666666671"/>
    <n v="120310"/>
    <n v="4010.3333333333335"/>
    <n v="323"/>
    <n v="691"/>
    <n v="157927.70000000001"/>
    <n v="120310"/>
    <m/>
    <m/>
    <m/>
    <m/>
    <m/>
    <m/>
    <m/>
    <m/>
    <n v="0"/>
    <n v="0"/>
    <n v="0"/>
    <n v="0"/>
    <m/>
    <m/>
    <n v="0"/>
    <n v="0"/>
    <m/>
    <m/>
    <m/>
    <m/>
    <m/>
    <m/>
    <m/>
    <m/>
    <n v="0"/>
    <n v="0"/>
    <n v="0"/>
    <n v="0"/>
    <n v="5264.2566666666671"/>
    <n v="4010.3333333333335"/>
  </r>
  <r>
    <x v="4"/>
    <s v="Altamaha Technical College"/>
    <m/>
    <n v="366447"/>
    <x v="9"/>
    <s v="sem"/>
    <s v="sem"/>
    <n v="10602.2"/>
    <m/>
    <n v="10098.200000000001"/>
    <n v="13256"/>
    <n v="3622.2"/>
    <n v="8121"/>
    <n v="12784"/>
    <n v="12799"/>
    <n v="37106.600000000006"/>
    <n v="1236.8866666666668"/>
    <n v="34176"/>
    <n v="1139.2"/>
    <n v="1507.1"/>
    <n v="1618"/>
    <n v="37106.600000000006"/>
    <n v="34176"/>
    <m/>
    <m/>
    <m/>
    <m/>
    <m/>
    <m/>
    <m/>
    <m/>
    <n v="0"/>
    <n v="0"/>
    <n v="0"/>
    <n v="0"/>
    <m/>
    <m/>
    <n v="0"/>
    <n v="0"/>
    <m/>
    <m/>
    <m/>
    <m/>
    <m/>
    <m/>
    <m/>
    <m/>
    <n v="0"/>
    <n v="0"/>
    <n v="0"/>
    <n v="0"/>
    <n v="1236.8866666666668"/>
    <n v="1139.2"/>
  </r>
  <r>
    <x v="4"/>
    <s v="Athens Technical College"/>
    <m/>
    <n v="246813"/>
    <x v="9"/>
    <s v="sem"/>
    <s v="sem"/>
    <n v="36279.1"/>
    <m/>
    <n v="33147"/>
    <n v="39077"/>
    <n v="12104.6"/>
    <n v="19011"/>
    <n v="43959"/>
    <n v="40269"/>
    <n v="125489.70000000001"/>
    <n v="4182.9900000000007"/>
    <n v="98357"/>
    <n v="3278.5666666666666"/>
    <n v="962"/>
    <n v="1795"/>
    <n v="125489.70000000001"/>
    <n v="98357"/>
    <m/>
    <m/>
    <m/>
    <m/>
    <m/>
    <m/>
    <m/>
    <m/>
    <n v="0"/>
    <n v="0"/>
    <n v="0"/>
    <n v="0"/>
    <m/>
    <m/>
    <n v="0"/>
    <n v="0"/>
    <m/>
    <m/>
    <m/>
    <m/>
    <m/>
    <m/>
    <m/>
    <m/>
    <n v="0"/>
    <n v="0"/>
    <n v="0"/>
    <n v="0"/>
    <n v="4182.9900000000007"/>
    <n v="3278.5666666666666"/>
  </r>
  <r>
    <x v="4"/>
    <s v="Atlanta Technical College"/>
    <m/>
    <n v="138840"/>
    <x v="9"/>
    <s v="sem"/>
    <s v="sem"/>
    <n v="36866.5"/>
    <m/>
    <n v="36451.199999999997"/>
    <n v="41643"/>
    <n v="25381.9"/>
    <n v="30304"/>
    <n v="40562"/>
    <n v="46356"/>
    <n v="139261.6"/>
    <n v="4642.0533333333333"/>
    <n v="118303"/>
    <n v="3943.4333333333334"/>
    <n v="1877.3"/>
    <n v="2772"/>
    <n v="139261.6"/>
    <n v="118303"/>
    <m/>
    <m/>
    <m/>
    <m/>
    <m/>
    <m/>
    <m/>
    <m/>
    <n v="0"/>
    <n v="0"/>
    <n v="0"/>
    <n v="0"/>
    <m/>
    <m/>
    <n v="0"/>
    <n v="0"/>
    <m/>
    <m/>
    <m/>
    <m/>
    <m/>
    <m/>
    <m/>
    <m/>
    <n v="0"/>
    <n v="0"/>
    <n v="0"/>
    <n v="0"/>
    <n v="4642.0533333333333"/>
    <n v="3943.4333333333334"/>
  </r>
  <r>
    <x v="4"/>
    <s v="Augusta Technical College"/>
    <m/>
    <n v="138956"/>
    <x v="9"/>
    <s v="sem"/>
    <s v="sem"/>
    <n v="33722.400000000001"/>
    <m/>
    <n v="31324.2"/>
    <n v="39919"/>
    <n v="12452.6"/>
    <n v="23353"/>
    <n v="41669"/>
    <n v="40395"/>
    <n v="119168.20000000001"/>
    <n v="3972.2733333333335"/>
    <n v="103667"/>
    <n v="3455.5666666666666"/>
    <n v="1048.0999999999999"/>
    <n v="717"/>
    <n v="119168.20000000001"/>
    <n v="103667"/>
    <m/>
    <m/>
    <m/>
    <m/>
    <m/>
    <m/>
    <m/>
    <m/>
    <n v="0"/>
    <n v="0"/>
    <n v="0"/>
    <n v="0"/>
    <m/>
    <m/>
    <n v="0"/>
    <n v="0"/>
    <m/>
    <m/>
    <m/>
    <m/>
    <m/>
    <m/>
    <m/>
    <m/>
    <n v="0"/>
    <n v="0"/>
    <n v="0"/>
    <n v="0"/>
    <n v="3972.2733333333335"/>
    <n v="3455.5666666666666"/>
  </r>
  <r>
    <x v="4"/>
    <s v="Central Georgia Technical College"/>
    <m/>
    <n v="140304"/>
    <x v="9"/>
    <s v="sem"/>
    <s v="sem"/>
    <n v="54020"/>
    <m/>
    <n v="48719.1"/>
    <n v="48842"/>
    <n v="23905.200000000001"/>
    <n v="25538"/>
    <n v="58448"/>
    <n v="45348"/>
    <n v="185092.3"/>
    <n v="6169.7433333333329"/>
    <n v="119728"/>
    <n v="3990.9333333333334"/>
    <n v="2248"/>
    <n v="2609"/>
    <n v="185092.3"/>
    <n v="119728"/>
    <m/>
    <m/>
    <m/>
    <m/>
    <m/>
    <m/>
    <m/>
    <m/>
    <n v="0"/>
    <n v="0"/>
    <n v="0"/>
    <n v="0"/>
    <m/>
    <m/>
    <n v="0"/>
    <n v="0"/>
    <m/>
    <m/>
    <m/>
    <m/>
    <m/>
    <m/>
    <m/>
    <m/>
    <n v="0"/>
    <n v="0"/>
    <n v="0"/>
    <n v="0"/>
    <n v="6169.7433333333329"/>
    <n v="3990.9333333333334"/>
  </r>
  <r>
    <x v="4"/>
    <s v="Chattahoochee Technical College"/>
    <m/>
    <n v="140331"/>
    <x v="9"/>
    <s v="sem"/>
    <s v="sem"/>
    <n v="91757.3"/>
    <m/>
    <n v="85064.9"/>
    <n v="96352"/>
    <n v="32122.3"/>
    <n v="51143"/>
    <n v="99754"/>
    <n v="99832"/>
    <n v="308698.5"/>
    <n v="10289.950000000001"/>
    <n v="247327"/>
    <n v="8244.2333333333336"/>
    <n v="2195.4"/>
    <n v="2537"/>
    <n v="308698.5"/>
    <n v="247327"/>
    <m/>
    <m/>
    <m/>
    <m/>
    <m/>
    <m/>
    <m/>
    <m/>
    <n v="0"/>
    <n v="0"/>
    <n v="0"/>
    <n v="0"/>
    <m/>
    <m/>
    <n v="0"/>
    <n v="0"/>
    <m/>
    <m/>
    <m/>
    <m/>
    <m/>
    <m/>
    <m/>
    <m/>
    <n v="0"/>
    <n v="0"/>
    <n v="0"/>
    <n v="0"/>
    <n v="10289.950000000001"/>
    <n v="8244.2333333333336"/>
  </r>
  <r>
    <x v="4"/>
    <s v="Columbus Technical College"/>
    <m/>
    <n v="139357"/>
    <x v="9"/>
    <s v="sem"/>
    <s v="sem"/>
    <n v="27443.4"/>
    <m/>
    <n v="26314.6"/>
    <n v="33136"/>
    <n v="7903.1"/>
    <n v="22208"/>
    <n v="33611"/>
    <n v="38583"/>
    <n v="95272.1"/>
    <n v="3175.7366666666667"/>
    <n v="93927"/>
    <n v="3130.9"/>
    <n v="1924.5"/>
    <n v="1283"/>
    <n v="95272.1"/>
    <n v="93927"/>
    <m/>
    <m/>
    <m/>
    <m/>
    <m/>
    <m/>
    <m/>
    <m/>
    <n v="0"/>
    <n v="0"/>
    <n v="0"/>
    <n v="0"/>
    <m/>
    <m/>
    <n v="0"/>
    <n v="0"/>
    <m/>
    <m/>
    <m/>
    <m/>
    <m/>
    <m/>
    <m/>
    <m/>
    <n v="0"/>
    <n v="0"/>
    <n v="0"/>
    <n v="0"/>
    <n v="3175.7366666666667"/>
    <n v="3130.9"/>
  </r>
  <r>
    <x v="4"/>
    <s v="Georgia Northwestern Technical College"/>
    <m/>
    <n v="139384"/>
    <x v="9"/>
    <s v="sem"/>
    <s v="sem"/>
    <n v="48301.1"/>
    <m/>
    <n v="45131.6"/>
    <n v="55703"/>
    <n v="21635.1"/>
    <n v="28077"/>
    <n v="59364"/>
    <n v="57185"/>
    <n v="174431.8"/>
    <n v="5814.3933333333325"/>
    <n v="140965"/>
    <n v="4698.833333333333"/>
    <n v="4173.8"/>
    <n v="5457"/>
    <n v="174431.8"/>
    <n v="140965"/>
    <m/>
    <m/>
    <m/>
    <m/>
    <m/>
    <m/>
    <m/>
    <m/>
    <n v="0"/>
    <n v="0"/>
    <n v="0"/>
    <n v="0"/>
    <m/>
    <m/>
    <n v="0"/>
    <n v="0"/>
    <m/>
    <m/>
    <m/>
    <m/>
    <m/>
    <m/>
    <m/>
    <m/>
    <n v="0"/>
    <n v="0"/>
    <n v="0"/>
    <n v="0"/>
    <n v="5814.3933333333325"/>
    <n v="4698.833333333333"/>
  </r>
  <r>
    <x v="4"/>
    <s v="Georgia Piedmont Technical College"/>
    <m/>
    <n v="244446"/>
    <x v="9"/>
    <s v="sem"/>
    <s v="sem"/>
    <n v="36192.5"/>
    <m/>
    <n v="34126.400000000001"/>
    <n v="32747"/>
    <n v="13138"/>
    <n v="21520"/>
    <n v="35883"/>
    <n v="37317"/>
    <n v="119339.9"/>
    <n v="3977.9966666666664"/>
    <n v="91584"/>
    <n v="3052.8"/>
    <n v="1191.4000000000001"/>
    <n v="2980"/>
    <n v="119339.9"/>
    <n v="91584"/>
    <m/>
    <m/>
    <m/>
    <m/>
    <m/>
    <m/>
    <m/>
    <m/>
    <n v="0"/>
    <n v="0"/>
    <n v="0"/>
    <n v="0"/>
    <m/>
    <m/>
    <n v="0"/>
    <n v="0"/>
    <m/>
    <m/>
    <m/>
    <m/>
    <m/>
    <m/>
    <m/>
    <m/>
    <n v="0"/>
    <n v="0"/>
    <n v="0"/>
    <n v="0"/>
    <n v="3977.9966666666664"/>
    <n v="3052.8"/>
  </r>
  <r>
    <x v="4"/>
    <s v="Gwinnett Technical College"/>
    <m/>
    <n v="140012"/>
    <x v="9"/>
    <s v="sem"/>
    <s v="sem"/>
    <n v="49573.8"/>
    <m/>
    <n v="47859.1"/>
    <n v="63543"/>
    <n v="17142.900000000001"/>
    <n v="30033"/>
    <n v="58997"/>
    <n v="59948"/>
    <n v="173572.8"/>
    <n v="5785.7599999999993"/>
    <n v="153524"/>
    <n v="5117.4666666666662"/>
    <n v="1122.7"/>
    <n v="1489"/>
    <n v="173572.8"/>
    <n v="153524"/>
    <m/>
    <m/>
    <m/>
    <m/>
    <m/>
    <m/>
    <m/>
    <m/>
    <n v="0"/>
    <n v="0"/>
    <n v="0"/>
    <n v="0"/>
    <m/>
    <m/>
    <n v="0"/>
    <n v="0"/>
    <m/>
    <m/>
    <m/>
    <m/>
    <m/>
    <m/>
    <m/>
    <m/>
    <n v="0"/>
    <n v="0"/>
    <n v="0"/>
    <n v="0"/>
    <n v="5785.7599999999993"/>
    <n v="5117.4666666666662"/>
  </r>
  <r>
    <x v="4"/>
    <s v="Lanier Technical College"/>
    <m/>
    <n v="140243"/>
    <x v="9"/>
    <s v="sem"/>
    <s v="sem"/>
    <n v="28683.4"/>
    <m/>
    <n v="25922"/>
    <n v="31058"/>
    <n v="8443.1"/>
    <n v="16364"/>
    <n v="29904"/>
    <n v="29072"/>
    <n v="92952.5"/>
    <n v="3098.4166666666665"/>
    <n v="76494"/>
    <n v="2549.8000000000002"/>
    <n v="1555"/>
    <n v="1988"/>
    <n v="92952.5"/>
    <n v="76494"/>
    <m/>
    <m/>
    <m/>
    <m/>
    <m/>
    <m/>
    <m/>
    <m/>
    <n v="0"/>
    <n v="0"/>
    <n v="0"/>
    <n v="0"/>
    <m/>
    <m/>
    <n v="0"/>
    <n v="0"/>
    <m/>
    <m/>
    <m/>
    <m/>
    <m/>
    <m/>
    <m/>
    <m/>
    <n v="0"/>
    <n v="0"/>
    <n v="0"/>
    <n v="0"/>
    <n v="3098.4166666666665"/>
    <n v="2549.8000000000002"/>
  </r>
  <r>
    <x v="4"/>
    <s v="Middle Georgia Technical College"/>
    <m/>
    <n v="140085"/>
    <x v="9"/>
    <s v="sem"/>
    <s v="sem"/>
    <n v="33682.400000000001"/>
    <m/>
    <n v="29323.5"/>
    <n v="35195"/>
    <n v="11001.2"/>
    <n v="21946"/>
    <n v="36611"/>
    <n v="37212"/>
    <n v="110618.1"/>
    <n v="3687.27"/>
    <n v="94353"/>
    <n v="3145.1"/>
    <n v="4122.3999999999996"/>
    <n v="3702"/>
    <n v="110618.1"/>
    <n v="94353"/>
    <m/>
    <m/>
    <m/>
    <m/>
    <m/>
    <m/>
    <m/>
    <m/>
    <n v="0"/>
    <n v="0"/>
    <n v="0"/>
    <n v="0"/>
    <m/>
    <m/>
    <n v="0"/>
    <n v="0"/>
    <m/>
    <m/>
    <m/>
    <m/>
    <m/>
    <m/>
    <m/>
    <m/>
    <n v="0"/>
    <n v="0"/>
    <n v="0"/>
    <n v="0"/>
    <n v="3687.27"/>
    <n v="3145.1"/>
  </r>
  <r>
    <x v="4"/>
    <s v="Moultrie Technical College"/>
    <m/>
    <n v="140599"/>
    <x v="9"/>
    <s v="sem"/>
    <s v="sem"/>
    <n v="19075.599999999999"/>
    <m/>
    <n v="16884.8"/>
    <n v="18687"/>
    <n v="7234.4"/>
    <n v="10288"/>
    <n v="21431"/>
    <n v="18459"/>
    <n v="64625.799999999996"/>
    <n v="2154.1933333333332"/>
    <n v="47434"/>
    <n v="1581.1333333333334"/>
    <n v="4135.8"/>
    <n v="3695"/>
    <n v="64625.799999999996"/>
    <n v="47434"/>
    <m/>
    <m/>
    <m/>
    <m/>
    <m/>
    <m/>
    <m/>
    <m/>
    <n v="0"/>
    <n v="0"/>
    <n v="0"/>
    <n v="0"/>
    <m/>
    <m/>
    <n v="0"/>
    <n v="0"/>
    <m/>
    <m/>
    <m/>
    <m/>
    <m/>
    <m/>
    <m/>
    <m/>
    <n v="0"/>
    <n v="0"/>
    <n v="0"/>
    <n v="0"/>
    <n v="2154.1933333333332"/>
    <n v="1581.1333333333334"/>
  </r>
  <r>
    <x v="4"/>
    <s v="North Georgia Technical College"/>
    <m/>
    <n v="140678"/>
    <x v="9"/>
    <s v="sem"/>
    <s v="sem"/>
    <n v="20626.400000000001"/>
    <m/>
    <n v="18672.900000000001"/>
    <n v="23490"/>
    <n v="7467"/>
    <n v="13314"/>
    <n v="25494"/>
    <n v="23899"/>
    <n v="72260.3"/>
    <n v="2408.6766666666667"/>
    <n v="60703"/>
    <n v="2023.4333333333334"/>
    <n v="480"/>
    <n v="603.5"/>
    <n v="72260.3"/>
    <n v="60703"/>
    <m/>
    <m/>
    <m/>
    <m/>
    <m/>
    <m/>
    <m/>
    <m/>
    <n v="0"/>
    <n v="0"/>
    <n v="0"/>
    <n v="0"/>
    <m/>
    <m/>
    <n v="0"/>
    <n v="0"/>
    <m/>
    <m/>
    <m/>
    <m/>
    <m/>
    <m/>
    <m/>
    <m/>
    <n v="0"/>
    <n v="0"/>
    <n v="0"/>
    <n v="0"/>
    <n v="2408.6766666666667"/>
    <n v="2023.4333333333334"/>
  </r>
  <r>
    <x v="4"/>
    <s v="Oconee Fall Line Technical College"/>
    <m/>
    <n v="420431"/>
    <x v="9"/>
    <s v="sem"/>
    <s v="sem"/>
    <n v="18479.5"/>
    <m/>
    <n v="16510.800000000003"/>
    <n v="16603"/>
    <n v="8010"/>
    <n v="10310"/>
    <n v="16677"/>
    <n v="15920"/>
    <n v="59677.3"/>
    <n v="1989.2433333333333"/>
    <n v="42833"/>
    <n v="1427.7666666666667"/>
    <n v="2730.8"/>
    <n v="4036"/>
    <n v="59677.3"/>
    <n v="42833"/>
    <m/>
    <m/>
    <m/>
    <m/>
    <m/>
    <m/>
    <m/>
    <m/>
    <n v="0"/>
    <n v="0"/>
    <n v="0"/>
    <n v="0"/>
    <m/>
    <m/>
    <n v="0"/>
    <n v="0"/>
    <m/>
    <m/>
    <m/>
    <m/>
    <m/>
    <m/>
    <m/>
    <m/>
    <n v="0"/>
    <n v="0"/>
    <n v="0"/>
    <n v="0"/>
    <n v="1989.2433333333333"/>
    <n v="1427.7666666666667"/>
  </r>
  <r>
    <x v="4"/>
    <s v="Ogeechee Technical College"/>
    <m/>
    <n v="366465"/>
    <x v="9"/>
    <s v="sem"/>
    <s v="sem"/>
    <n v="21376.400000000001"/>
    <m/>
    <n v="20006.3"/>
    <n v="21910"/>
    <n v="8146.4"/>
    <n v="14115"/>
    <n v="21912"/>
    <n v="22469"/>
    <n v="71441.100000000006"/>
    <n v="2381.3700000000003"/>
    <n v="58494"/>
    <n v="1949.8"/>
    <n v="1225.3"/>
    <n v="1241"/>
    <n v="71441.100000000006"/>
    <n v="58494"/>
    <m/>
    <m/>
    <m/>
    <m/>
    <m/>
    <m/>
    <m/>
    <m/>
    <n v="0"/>
    <n v="0"/>
    <n v="0"/>
    <n v="0"/>
    <m/>
    <m/>
    <n v="0"/>
    <n v="0"/>
    <m/>
    <m/>
    <m/>
    <m/>
    <m/>
    <m/>
    <m/>
    <m/>
    <n v="0"/>
    <n v="0"/>
    <n v="0"/>
    <n v="0"/>
    <n v="2381.3700000000003"/>
    <n v="1949.8"/>
  </r>
  <r>
    <x v="4"/>
    <s v="Okefenokee Technical College"/>
    <m/>
    <n v="248776"/>
    <x v="9"/>
    <s v="sem"/>
    <s v="sem"/>
    <n v="10321.799999999999"/>
    <m/>
    <n v="9388.1"/>
    <n v="11217"/>
    <n v="3592.8"/>
    <n v="7073"/>
    <n v="12025"/>
    <n v="12148"/>
    <n v="35327.699999999997"/>
    <n v="1177.5899999999999"/>
    <n v="30438"/>
    <n v="1014.6"/>
    <n v="1054.7"/>
    <n v="1218"/>
    <n v="35327.699999999997"/>
    <n v="30438"/>
    <m/>
    <m/>
    <m/>
    <m/>
    <m/>
    <m/>
    <m/>
    <m/>
    <n v="0"/>
    <n v="0"/>
    <n v="0"/>
    <n v="0"/>
    <m/>
    <m/>
    <n v="0"/>
    <n v="0"/>
    <m/>
    <m/>
    <m/>
    <m/>
    <m/>
    <m/>
    <m/>
    <m/>
    <n v="0"/>
    <n v="0"/>
    <n v="0"/>
    <n v="0"/>
    <n v="1177.5899999999999"/>
    <n v="1014.6"/>
  </r>
  <r>
    <x v="4"/>
    <s v="Savannah Technical College"/>
    <m/>
    <n v="140942"/>
    <x v="9"/>
    <s v="sem"/>
    <s v="sem"/>
    <n v="37717.9"/>
    <m/>
    <n v="34802.400000000001"/>
    <n v="40843"/>
    <n v="21076.400000000001"/>
    <n v="25235"/>
    <n v="42060"/>
    <n v="44130"/>
    <n v="135656.70000000001"/>
    <n v="4521.8900000000003"/>
    <n v="110208"/>
    <n v="3673.6"/>
    <n v="2322.1"/>
    <n v="1356"/>
    <n v="135656.70000000001"/>
    <n v="110208"/>
    <m/>
    <m/>
    <m/>
    <m/>
    <m/>
    <m/>
    <m/>
    <m/>
    <n v="0"/>
    <n v="0"/>
    <n v="0"/>
    <n v="0"/>
    <m/>
    <m/>
    <n v="0"/>
    <n v="0"/>
    <m/>
    <m/>
    <m/>
    <m/>
    <m/>
    <m/>
    <m/>
    <m/>
    <n v="0"/>
    <n v="0"/>
    <n v="0"/>
    <n v="0"/>
    <n v="4521.8900000000003"/>
    <n v="3673.6"/>
  </r>
  <r>
    <x v="4"/>
    <s v="South Georgia Technical College"/>
    <m/>
    <n v="141006"/>
    <x v="9"/>
    <s v="sem"/>
    <s v="sem"/>
    <n v="20734.400000000001"/>
    <m/>
    <n v="19875.7"/>
    <n v="20930"/>
    <n v="8747.1"/>
    <n v="9300"/>
    <n v="23652"/>
    <n v="19249.7"/>
    <n v="73009.200000000012"/>
    <n v="2433.6400000000003"/>
    <n v="49479.7"/>
    <n v="1649.3233333333333"/>
    <n v="1468.4"/>
    <n v="1573.3"/>
    <n v="73009.200000000012"/>
    <n v="49479.7"/>
    <m/>
    <m/>
    <m/>
    <m/>
    <m/>
    <m/>
    <m/>
    <m/>
    <n v="0"/>
    <n v="0"/>
    <n v="0"/>
    <n v="0"/>
    <m/>
    <m/>
    <n v="0"/>
    <n v="0"/>
    <m/>
    <m/>
    <m/>
    <m/>
    <m/>
    <m/>
    <m/>
    <m/>
    <n v="0"/>
    <n v="0"/>
    <n v="0"/>
    <n v="0"/>
    <n v="2433.6400000000003"/>
    <n v="1649.3233333333333"/>
  </r>
  <r>
    <x v="4"/>
    <s v="Southeastern Technical College"/>
    <m/>
    <n v="368911"/>
    <x v="9"/>
    <s v="sem"/>
    <s v="sem"/>
    <n v="12954"/>
    <m/>
    <n v="12408"/>
    <n v="16006"/>
    <n v="4332.2"/>
    <n v="9030"/>
    <n v="16303"/>
    <n v="15706"/>
    <n v="45997.2"/>
    <n v="1533.24"/>
    <n v="40742"/>
    <n v="1358.0666666666666"/>
    <n v="2133.6999999999998"/>
    <n v="2270"/>
    <n v="45997.2"/>
    <n v="40742"/>
    <m/>
    <m/>
    <m/>
    <m/>
    <m/>
    <m/>
    <m/>
    <m/>
    <n v="0"/>
    <n v="0"/>
    <n v="0"/>
    <n v="0"/>
    <m/>
    <m/>
    <n v="0"/>
    <n v="0"/>
    <m/>
    <m/>
    <m/>
    <m/>
    <m/>
    <m/>
    <m/>
    <m/>
    <n v="0"/>
    <n v="0"/>
    <n v="0"/>
    <n v="0"/>
    <n v="1533.24"/>
    <n v="1358.0666666666666"/>
  </r>
  <r>
    <x v="4"/>
    <s v="Southern Crescent Technical College"/>
    <m/>
    <n v="139986"/>
    <x v="9"/>
    <s v="sem"/>
    <s v="sem"/>
    <n v="41650.300000000003"/>
    <m/>
    <n v="38802.800000000003"/>
    <n v="50196"/>
    <n v="15218.8"/>
    <n v="22700"/>
    <n v="48389"/>
    <n v="52330"/>
    <n v="144060.90000000002"/>
    <n v="4802.0300000000007"/>
    <n v="125226"/>
    <n v="4174.2"/>
    <n v="1473.7"/>
    <n v="1938"/>
    <n v="144060.90000000002"/>
    <n v="125226"/>
    <m/>
    <m/>
    <m/>
    <m/>
    <m/>
    <m/>
    <m/>
    <m/>
    <n v="0"/>
    <n v="0"/>
    <n v="0"/>
    <n v="0"/>
    <m/>
    <m/>
    <n v="0"/>
    <n v="0"/>
    <m/>
    <m/>
    <m/>
    <m/>
    <m/>
    <m/>
    <m/>
    <m/>
    <n v="0"/>
    <n v="0"/>
    <n v="0"/>
    <n v="0"/>
    <n v="4802.0300000000007"/>
    <n v="4174.2"/>
  </r>
  <r>
    <x v="4"/>
    <s v="Southwest Georgia Technical College"/>
    <m/>
    <n v="141158"/>
    <x v="9"/>
    <s v="sem"/>
    <s v="sem"/>
    <n v="11118.6"/>
    <m/>
    <n v="9766.5"/>
    <n v="14546"/>
    <n v="4271.2"/>
    <n v="8470"/>
    <n v="14739"/>
    <n v="13749"/>
    <n v="39895.300000000003"/>
    <n v="1329.8433333333335"/>
    <n v="36765"/>
    <n v="1225.5"/>
    <n v="2535.6999999999998"/>
    <n v="2339.3000000000002"/>
    <n v="39895.300000000003"/>
    <n v="36765"/>
    <m/>
    <m/>
    <m/>
    <m/>
    <m/>
    <m/>
    <m/>
    <m/>
    <n v="0"/>
    <n v="0"/>
    <n v="0"/>
    <n v="0"/>
    <m/>
    <m/>
    <n v="0"/>
    <n v="0"/>
    <m/>
    <m/>
    <m/>
    <m/>
    <m/>
    <m/>
    <m/>
    <m/>
    <n v="0"/>
    <n v="0"/>
    <n v="0"/>
    <n v="0"/>
    <n v="1329.8433333333335"/>
    <n v="1225.5"/>
  </r>
  <r>
    <x v="4"/>
    <s v="West Georgia Technical College"/>
    <m/>
    <n v="139278"/>
    <x v="9"/>
    <s v="sem"/>
    <s v="sem"/>
    <n v="51884.6"/>
    <m/>
    <n v="48082.400000000001"/>
    <n v="59203"/>
    <n v="19157"/>
    <n v="27351"/>
    <n v="62486"/>
    <n v="58238"/>
    <n v="181610"/>
    <n v="6053.666666666667"/>
    <n v="144792"/>
    <n v="4826.3999999999996"/>
    <n v="6574.8"/>
    <n v="6971"/>
    <n v="181610"/>
    <n v="144792"/>
    <m/>
    <m/>
    <m/>
    <m/>
    <m/>
    <m/>
    <m/>
    <m/>
    <n v="0"/>
    <n v="0"/>
    <n v="0"/>
    <n v="0"/>
    <m/>
    <m/>
    <n v="0"/>
    <n v="0"/>
    <m/>
    <m/>
    <m/>
    <m/>
    <m/>
    <m/>
    <m/>
    <m/>
    <n v="0"/>
    <n v="0"/>
    <n v="0"/>
    <n v="0"/>
    <n v="6053.666666666667"/>
    <n v="4826.3999999999996"/>
  </r>
  <r>
    <x v="4"/>
    <s v="Wiregrass Georgia Technical College"/>
    <m/>
    <n v="141255"/>
    <x v="9"/>
    <s v="sem"/>
    <s v="sem"/>
    <n v="39835.300000000003"/>
    <m/>
    <n v="37235.199999999997"/>
    <n v="39061"/>
    <n v="16354.2"/>
    <n v="21641"/>
    <n v="44327"/>
    <n v="38740"/>
    <n v="137751.70000000001"/>
    <n v="4591.7233333333334"/>
    <n v="99442"/>
    <n v="3314.7333333333331"/>
    <n v="2909.8"/>
    <n v="3295"/>
    <n v="137751.70000000001"/>
    <n v="99442"/>
    <m/>
    <m/>
    <m/>
    <m/>
    <m/>
    <m/>
    <m/>
    <m/>
    <n v="0"/>
    <n v="0"/>
    <n v="0"/>
    <n v="0"/>
    <m/>
    <m/>
    <n v="0"/>
    <n v="0"/>
    <m/>
    <m/>
    <m/>
    <m/>
    <m/>
    <m/>
    <m/>
    <m/>
    <n v="0"/>
    <n v="0"/>
    <n v="0"/>
    <n v="0"/>
    <n v="4591.7233333333334"/>
    <n v="3314.7333333333331"/>
  </r>
  <r>
    <x v="5"/>
    <s v="University of Kentucky"/>
    <m/>
    <n v="157085"/>
    <x v="0"/>
    <s v="sem"/>
    <m/>
    <m/>
    <m/>
    <n v="250747"/>
    <n v="254226"/>
    <n v="28605"/>
    <n v="26786"/>
    <n v="276434"/>
    <n v="287886"/>
    <n v="555786"/>
    <n v="18526.2"/>
    <n v="568898"/>
    <n v="18963.266666666666"/>
    <n v="47"/>
    <n v="67"/>
    <n v="555786"/>
    <n v="568898"/>
    <m/>
    <m/>
    <m/>
    <m/>
    <m/>
    <m/>
    <m/>
    <m/>
    <n v="0"/>
    <n v="0"/>
    <n v="0"/>
    <n v="0"/>
    <m/>
    <m/>
    <n v="0"/>
    <n v="0"/>
    <m/>
    <m/>
    <n v="37914"/>
    <n v="38218"/>
    <n v="5855"/>
    <n v="6445"/>
    <n v="40854"/>
    <n v="41006"/>
    <n v="84623"/>
    <n v="3525.9583333333335"/>
    <n v="85669"/>
    <n v="3569.5416666666665"/>
    <n v="22052.158333333333"/>
    <n v="22532.808333333334"/>
  </r>
  <r>
    <x v="5"/>
    <s v="University of Louisville"/>
    <m/>
    <n v="157289"/>
    <x v="0"/>
    <s v="sem"/>
    <m/>
    <m/>
    <m/>
    <n v="173103"/>
    <n v="172938"/>
    <n v="35687"/>
    <n v="33151"/>
    <n v="188398"/>
    <n v="192741"/>
    <n v="397188"/>
    <n v="13239.6"/>
    <n v="398830"/>
    <n v="13294.333333333334"/>
    <n v="1282"/>
    <n v="1485"/>
    <n v="397188"/>
    <n v="398830"/>
    <m/>
    <m/>
    <m/>
    <m/>
    <m/>
    <m/>
    <m/>
    <m/>
    <n v="0"/>
    <n v="0"/>
    <n v="0"/>
    <n v="0"/>
    <m/>
    <m/>
    <n v="0"/>
    <n v="0"/>
    <m/>
    <m/>
    <n v="33803"/>
    <n v="32598"/>
    <n v="11944"/>
    <n v="10649"/>
    <n v="33454"/>
    <n v="32939"/>
    <n v="79201"/>
    <n v="3300.0416666666665"/>
    <n v="76186"/>
    <n v="3174.4166666666665"/>
    <n v="16539.641666666666"/>
    <n v="16468.75"/>
  </r>
  <r>
    <x v="5"/>
    <s v="Eastern Kentucky University "/>
    <m/>
    <n v="156620"/>
    <x v="2"/>
    <s v="sem"/>
    <m/>
    <m/>
    <m/>
    <n v="167687"/>
    <n v="161687"/>
    <n v="22324"/>
    <n v="21855"/>
    <n v="176487"/>
    <n v="177480"/>
    <n v="366498"/>
    <n v="12216.6"/>
    <n v="361022"/>
    <n v="12034.066666666668"/>
    <n v="2863"/>
    <n v="3279"/>
    <n v="366498"/>
    <n v="361022"/>
    <m/>
    <m/>
    <m/>
    <m/>
    <m/>
    <m/>
    <m/>
    <m/>
    <n v="0"/>
    <n v="0"/>
    <n v="0"/>
    <n v="0"/>
    <m/>
    <m/>
    <n v="0"/>
    <n v="0"/>
    <m/>
    <m/>
    <n v="14499"/>
    <n v="13582"/>
    <n v="9028"/>
    <n v="8883"/>
    <n v="14123"/>
    <n v="13409"/>
    <n v="37650"/>
    <n v="1568.75"/>
    <n v="35874"/>
    <n v="1494.75"/>
    <n v="13785.35"/>
    <n v="13528.816666666668"/>
  </r>
  <r>
    <x v="5"/>
    <s v="Morehead State University "/>
    <m/>
    <n v="157386"/>
    <x v="2"/>
    <s v="sem"/>
    <m/>
    <m/>
    <m/>
    <n v="81756"/>
    <n v="86320"/>
    <n v="9599"/>
    <n v="8272"/>
    <n v="97095"/>
    <n v="102105"/>
    <n v="188450"/>
    <n v="6281.666666666667"/>
    <n v="196697"/>
    <n v="6556.5666666666666"/>
    <n v="9086"/>
    <n v="14347"/>
    <n v="188450"/>
    <n v="196697"/>
    <m/>
    <m/>
    <m/>
    <m/>
    <m/>
    <m/>
    <m/>
    <m/>
    <n v="0"/>
    <n v="0"/>
    <n v="0"/>
    <n v="0"/>
    <m/>
    <m/>
    <n v="0"/>
    <n v="0"/>
    <m/>
    <m/>
    <n v="8377"/>
    <n v="8898"/>
    <n v="5040"/>
    <n v="5108"/>
    <n v="9212"/>
    <n v="8740"/>
    <n v="22629"/>
    <n v="942.875"/>
    <n v="22746"/>
    <n v="947.75"/>
    <n v="7224.541666666667"/>
    <n v="7504.3166666666666"/>
  </r>
  <r>
    <x v="5"/>
    <s v="Murray State University "/>
    <m/>
    <n v="157401"/>
    <x v="2"/>
    <s v="sem"/>
    <m/>
    <m/>
    <m/>
    <n v="101531"/>
    <n v="104296"/>
    <n v="10049"/>
    <n v="8560"/>
    <n v="111062"/>
    <n v="114877"/>
    <n v="222642"/>
    <n v="7421.4"/>
    <n v="227733"/>
    <n v="7591.1"/>
    <n v="2696"/>
    <n v="3537"/>
    <n v="222642"/>
    <n v="227733"/>
    <m/>
    <m/>
    <m/>
    <m/>
    <m/>
    <m/>
    <m/>
    <m/>
    <n v="0"/>
    <n v="0"/>
    <n v="0"/>
    <n v="0"/>
    <m/>
    <m/>
    <n v="0"/>
    <n v="0"/>
    <m/>
    <m/>
    <n v="12917"/>
    <n v="12678"/>
    <n v="5565"/>
    <n v="5524"/>
    <n v="12677"/>
    <n v="12623"/>
    <n v="31159"/>
    <n v="1298.2916666666667"/>
    <n v="30825"/>
    <n v="1284.375"/>
    <n v="8719.6916666666657"/>
    <n v="8875.4750000000004"/>
  </r>
  <r>
    <x v="5"/>
    <s v="Western Kentucky University "/>
    <m/>
    <n v="157951"/>
    <x v="2"/>
    <s v="sem"/>
    <m/>
    <m/>
    <m/>
    <n v="211050"/>
    <n v="209719"/>
    <n v="24919"/>
    <n v="24669"/>
    <n v="223633"/>
    <n v="222559"/>
    <n v="459602"/>
    <n v="15320.066666666668"/>
    <n v="456947"/>
    <n v="15231.566666666668"/>
    <n v="12153"/>
    <n v="13475"/>
    <n v="459602"/>
    <n v="456947"/>
    <m/>
    <m/>
    <m/>
    <m/>
    <m/>
    <m/>
    <m/>
    <m/>
    <n v="0"/>
    <n v="0"/>
    <n v="0"/>
    <n v="0"/>
    <m/>
    <m/>
    <n v="0"/>
    <n v="0"/>
    <m/>
    <m/>
    <n v="20758"/>
    <n v="19888"/>
    <n v="9509"/>
    <n v="8973"/>
    <n v="19874"/>
    <n v="18908"/>
    <n v="50141"/>
    <n v="2089.2083333333335"/>
    <n v="47769"/>
    <n v="1990.375"/>
    <n v="17409.275000000001"/>
    <n v="17221.941666666666"/>
  </r>
  <r>
    <x v="5"/>
    <s v="Kentucky State University "/>
    <m/>
    <n v="157058"/>
    <x v="3"/>
    <s v="sem"/>
    <m/>
    <m/>
    <m/>
    <n v="29269"/>
    <n v="28955"/>
    <n v="4031"/>
    <n v="3801"/>
    <n v="30478"/>
    <n v="27941"/>
    <n v="63778"/>
    <n v="2125.9333333333334"/>
    <n v="60697"/>
    <n v="2023.2333333333333"/>
    <n v="490"/>
    <n v="1436"/>
    <n v="63778"/>
    <n v="60697"/>
    <m/>
    <m/>
    <m/>
    <m/>
    <m/>
    <m/>
    <m/>
    <m/>
    <n v="0"/>
    <n v="0"/>
    <n v="0"/>
    <n v="0"/>
    <m/>
    <m/>
    <n v="0"/>
    <n v="0"/>
    <m/>
    <m/>
    <n v="1740"/>
    <n v="1600"/>
    <n v="395"/>
    <n v="397"/>
    <n v="1862"/>
    <n v="1676"/>
    <n v="3997"/>
    <n v="166.54166666666666"/>
    <n v="3673"/>
    <n v="153.04166666666666"/>
    <n v="2292.4749999999999"/>
    <n v="2176.2750000000001"/>
  </r>
  <r>
    <x v="5"/>
    <s v="Northern Kentucky University "/>
    <s v="Met the criteria for Four-Year 3 in 2012-13."/>
    <n v="157447"/>
    <x v="3"/>
    <s v="sem"/>
    <m/>
    <m/>
    <m/>
    <n v="149605"/>
    <n v="149607"/>
    <n v="22457"/>
    <n v="19078"/>
    <n v="162661"/>
    <n v="163225"/>
    <n v="334723"/>
    <n v="11157.433333333332"/>
    <n v="331910"/>
    <n v="11063.666666666666"/>
    <n v="4106"/>
    <n v="4064"/>
    <n v="334723"/>
    <n v="331910"/>
    <m/>
    <m/>
    <m/>
    <m/>
    <m/>
    <m/>
    <m/>
    <m/>
    <n v="0"/>
    <n v="0"/>
    <n v="0"/>
    <n v="0"/>
    <m/>
    <m/>
    <n v="0"/>
    <n v="0"/>
    <m/>
    <m/>
    <n v="17048"/>
    <n v="16877"/>
    <n v="6868"/>
    <n v="5830"/>
    <n v="17415"/>
    <n v="17085"/>
    <n v="41331"/>
    <n v="1722.125"/>
    <n v="39792"/>
    <n v="1658"/>
    <n v="12879.558333333332"/>
    <n v="12721.666666666666"/>
  </r>
  <r>
    <x v="5"/>
    <s v="Bluegrass Community and Technical College"/>
    <m/>
    <n v="157173"/>
    <x v="6"/>
    <s v="sem"/>
    <m/>
    <m/>
    <m/>
    <n v="123732"/>
    <n v="118051"/>
    <n v="27952"/>
    <n v="23850"/>
    <n v="134608"/>
    <n v="124714"/>
    <n v="286292"/>
    <n v="9543.0666666666675"/>
    <n v="266615"/>
    <n v="8887.1666666666661"/>
    <n v="7198"/>
    <n v="7826"/>
    <n v="286292"/>
    <n v="266615"/>
    <m/>
    <m/>
    <m/>
    <m/>
    <m/>
    <m/>
    <m/>
    <m/>
    <n v="0"/>
    <n v="0"/>
    <n v="0"/>
    <n v="0"/>
    <m/>
    <m/>
    <n v="0"/>
    <n v="0"/>
    <m/>
    <m/>
    <m/>
    <m/>
    <m/>
    <m/>
    <m/>
    <m/>
    <n v="0"/>
    <n v="0"/>
    <n v="0"/>
    <n v="0"/>
    <n v="9543.0666666666675"/>
    <n v="8887.1666666666661"/>
  </r>
  <r>
    <x v="5"/>
    <s v="Jefferson Community and Technical College "/>
    <m/>
    <n v="156921"/>
    <x v="6"/>
    <s v="sem"/>
    <m/>
    <m/>
    <m/>
    <n v="120585"/>
    <n v="112521"/>
    <n v="22034"/>
    <n v="18247"/>
    <n v="123792"/>
    <n v="115977"/>
    <n v="266411"/>
    <n v="8880.3666666666668"/>
    <n v="246745"/>
    <n v="8224.8333333333339"/>
    <n v="12829"/>
    <n v="9837"/>
    <n v="266411"/>
    <n v="246745"/>
    <m/>
    <m/>
    <m/>
    <m/>
    <m/>
    <m/>
    <m/>
    <m/>
    <n v="0"/>
    <n v="0"/>
    <n v="0"/>
    <n v="0"/>
    <m/>
    <m/>
    <n v="0"/>
    <n v="0"/>
    <m/>
    <m/>
    <m/>
    <m/>
    <m/>
    <m/>
    <m/>
    <m/>
    <n v="0"/>
    <n v="0"/>
    <n v="0"/>
    <n v="0"/>
    <n v="8880.3666666666668"/>
    <n v="8224.8333333333339"/>
  </r>
  <r>
    <x v="5"/>
    <s v="Ashland Community and Technical College"/>
    <m/>
    <n v="156231"/>
    <x v="7"/>
    <s v="sem"/>
    <m/>
    <m/>
    <m/>
    <n v="35108"/>
    <n v="32226"/>
    <n v="8480"/>
    <n v="6956"/>
    <n v="43144"/>
    <n v="36818"/>
    <n v="86732"/>
    <n v="2891.0666666666666"/>
    <n v="76000"/>
    <n v="2533.3333333333335"/>
    <n v="9358"/>
    <n v="6733"/>
    <n v="86732"/>
    <n v="76000"/>
    <m/>
    <m/>
    <m/>
    <m/>
    <m/>
    <m/>
    <m/>
    <m/>
    <n v="0"/>
    <n v="0"/>
    <n v="0"/>
    <n v="0"/>
    <m/>
    <m/>
    <n v="0"/>
    <n v="0"/>
    <m/>
    <m/>
    <m/>
    <m/>
    <m/>
    <m/>
    <m/>
    <m/>
    <n v="0"/>
    <n v="0"/>
    <n v="0"/>
    <n v="0"/>
    <n v="2891.0666666666666"/>
    <n v="2533.3333333333335"/>
  </r>
  <r>
    <x v="5"/>
    <s v="Big Sandy Community and Technical College "/>
    <m/>
    <n v="157553"/>
    <x v="7"/>
    <s v="sem"/>
    <m/>
    <m/>
    <m/>
    <n v="40087"/>
    <n v="36595"/>
    <n v="7575"/>
    <n v="6122"/>
    <n v="40140"/>
    <n v="37516"/>
    <n v="87802"/>
    <n v="2926.7333333333331"/>
    <n v="80233"/>
    <n v="2674.4333333333334"/>
    <n v="2355"/>
    <n v="2386"/>
    <n v="87802"/>
    <n v="80233"/>
    <m/>
    <m/>
    <m/>
    <m/>
    <m/>
    <m/>
    <m/>
    <m/>
    <n v="0"/>
    <n v="0"/>
    <n v="0"/>
    <n v="0"/>
    <m/>
    <m/>
    <n v="0"/>
    <n v="0"/>
    <m/>
    <m/>
    <m/>
    <m/>
    <m/>
    <m/>
    <m/>
    <m/>
    <n v="0"/>
    <n v="0"/>
    <n v="0"/>
    <n v="0"/>
    <n v="2926.7333333333331"/>
    <n v="2674.4333333333334"/>
  </r>
  <r>
    <x v="5"/>
    <s v="Elizabethtown Community and Technical College "/>
    <m/>
    <n v="156648"/>
    <x v="7"/>
    <s v="sem"/>
    <m/>
    <m/>
    <m/>
    <n v="56602"/>
    <n v="53582"/>
    <n v="10429"/>
    <n v="7876"/>
    <n v="60635"/>
    <n v="55707"/>
    <n v="127666"/>
    <n v="4255.5333333333338"/>
    <n v="117165"/>
    <n v="3905.5"/>
    <n v="2349"/>
    <n v="2544"/>
    <n v="127666"/>
    <n v="117165"/>
    <m/>
    <m/>
    <m/>
    <m/>
    <m/>
    <m/>
    <m/>
    <m/>
    <n v="0"/>
    <n v="0"/>
    <n v="0"/>
    <n v="0"/>
    <m/>
    <m/>
    <n v="0"/>
    <n v="0"/>
    <m/>
    <m/>
    <m/>
    <m/>
    <m/>
    <m/>
    <m/>
    <m/>
    <n v="0"/>
    <n v="0"/>
    <n v="0"/>
    <n v="0"/>
    <n v="4255.5333333333338"/>
    <n v="3905.5"/>
  </r>
  <r>
    <x v="5"/>
    <s v="Hazard Community and Technical College"/>
    <s v="Reclassified: met the criteria for classification as a Two-Year 2 in 2010-11, 2011-12, and 2012-13."/>
    <n v="156790"/>
    <x v="7"/>
    <s v="sem"/>
    <m/>
    <m/>
    <m/>
    <n v="29430"/>
    <n v="27343"/>
    <n v="5648"/>
    <n v="4937"/>
    <n v="33285"/>
    <n v="29360"/>
    <n v="68363"/>
    <n v="2278.7666666666669"/>
    <n v="61640"/>
    <n v="2054.6666666666665"/>
    <n v="4848"/>
    <n v="2447"/>
    <n v="68363"/>
    <n v="61640"/>
    <m/>
    <m/>
    <m/>
    <m/>
    <m/>
    <m/>
    <m/>
    <m/>
    <n v="0"/>
    <n v="0"/>
    <n v="0"/>
    <n v="0"/>
    <m/>
    <m/>
    <n v="0"/>
    <n v="0"/>
    <m/>
    <m/>
    <m/>
    <m/>
    <m/>
    <m/>
    <m/>
    <m/>
    <n v="0"/>
    <n v="0"/>
    <n v="0"/>
    <n v="0"/>
    <n v="2278.7666666666669"/>
    <n v="2054.6666666666665"/>
  </r>
  <r>
    <x v="5"/>
    <s v="Hopkinsville Community College "/>
    <m/>
    <n v="156860"/>
    <x v="7"/>
    <s v="sem"/>
    <m/>
    <m/>
    <m/>
    <n v="33542"/>
    <n v="33696"/>
    <n v="8530"/>
    <n v="6330"/>
    <n v="36857"/>
    <n v="31626"/>
    <n v="78929"/>
    <n v="2630.9666666666667"/>
    <n v="71652"/>
    <n v="2388.4"/>
    <n v="2196"/>
    <n v="2063"/>
    <n v="78929"/>
    <n v="71652"/>
    <m/>
    <m/>
    <m/>
    <m/>
    <m/>
    <m/>
    <m/>
    <m/>
    <n v="0"/>
    <n v="0"/>
    <n v="0"/>
    <n v="0"/>
    <m/>
    <m/>
    <n v="0"/>
    <n v="0"/>
    <m/>
    <m/>
    <m/>
    <m/>
    <m/>
    <m/>
    <m/>
    <m/>
    <n v="0"/>
    <n v="0"/>
    <n v="0"/>
    <n v="0"/>
    <n v="2630.9666666666667"/>
    <n v="2388.4"/>
  </r>
  <r>
    <x v="5"/>
    <s v="Madisonville Community College"/>
    <m/>
    <n v="157304"/>
    <x v="7"/>
    <s v="sem"/>
    <m/>
    <m/>
    <m/>
    <n v="28895"/>
    <n v="27044"/>
    <n v="3252"/>
    <n v="3725"/>
    <n v="30523"/>
    <n v="30585"/>
    <n v="62670"/>
    <n v="2089"/>
    <n v="61354"/>
    <n v="2045.1333333333334"/>
    <n v="4474"/>
    <n v="4478"/>
    <n v="62670"/>
    <n v="61354"/>
    <m/>
    <m/>
    <m/>
    <m/>
    <m/>
    <m/>
    <m/>
    <m/>
    <n v="0"/>
    <n v="0"/>
    <n v="0"/>
    <n v="0"/>
    <m/>
    <m/>
    <n v="0"/>
    <n v="0"/>
    <m/>
    <m/>
    <m/>
    <m/>
    <m/>
    <m/>
    <m/>
    <m/>
    <n v="0"/>
    <n v="0"/>
    <n v="0"/>
    <n v="0"/>
    <n v="2089"/>
    <n v="2045.1333333333334"/>
  </r>
  <r>
    <x v="5"/>
    <s v="Maysville Community and Technical College "/>
    <m/>
    <n v="157331"/>
    <x v="7"/>
    <s v="sem"/>
    <m/>
    <m/>
    <m/>
    <n v="47733"/>
    <n v="45378"/>
    <n v="10304"/>
    <n v="6944"/>
    <n v="45934"/>
    <n v="42640"/>
    <n v="103971"/>
    <n v="3465.7"/>
    <n v="94962"/>
    <n v="3165.4"/>
    <n v="7272"/>
    <n v="5506"/>
    <n v="103971"/>
    <n v="94962"/>
    <m/>
    <m/>
    <m/>
    <m/>
    <m/>
    <m/>
    <m/>
    <m/>
    <n v="0"/>
    <n v="0"/>
    <n v="0"/>
    <n v="0"/>
    <m/>
    <m/>
    <n v="0"/>
    <n v="0"/>
    <m/>
    <m/>
    <m/>
    <m/>
    <m/>
    <m/>
    <m/>
    <m/>
    <n v="0"/>
    <n v="0"/>
    <n v="0"/>
    <n v="0"/>
    <n v="3465.7"/>
    <n v="3165.4"/>
  </r>
  <r>
    <x v="5"/>
    <s v="Owensboro Community and Technical College "/>
    <m/>
    <n v="247940"/>
    <x v="7"/>
    <s v="sem"/>
    <m/>
    <m/>
    <m/>
    <n v="42505"/>
    <n v="39349"/>
    <n v="5971"/>
    <n v="5798"/>
    <n v="48398"/>
    <n v="41080"/>
    <n v="96874"/>
    <n v="3229.1333333333332"/>
    <n v="86227"/>
    <n v="2874.2333333333331"/>
    <n v="16621"/>
    <n v="7433"/>
    <n v="96874"/>
    <n v="86227"/>
    <m/>
    <m/>
    <m/>
    <m/>
    <m/>
    <m/>
    <m/>
    <m/>
    <n v="0"/>
    <n v="0"/>
    <n v="0"/>
    <n v="0"/>
    <m/>
    <m/>
    <n v="0"/>
    <n v="0"/>
    <m/>
    <m/>
    <m/>
    <m/>
    <m/>
    <m/>
    <m/>
    <m/>
    <n v="0"/>
    <n v="0"/>
    <n v="0"/>
    <n v="0"/>
    <n v="3229.1333333333332"/>
    <n v="2874.2333333333331"/>
  </r>
  <r>
    <x v="5"/>
    <s v="Somerset Community and Technical College "/>
    <m/>
    <n v="157711"/>
    <x v="7"/>
    <s v="sem"/>
    <m/>
    <m/>
    <m/>
    <n v="77066"/>
    <n v="71077"/>
    <n v="13713"/>
    <n v="8358"/>
    <n v="82170"/>
    <n v="66292"/>
    <n v="172949"/>
    <n v="5764.9666666666662"/>
    <n v="145727"/>
    <n v="4857.5666666666666"/>
    <n v="10299"/>
    <n v="5487"/>
    <n v="172949"/>
    <n v="145727"/>
    <m/>
    <m/>
    <m/>
    <m/>
    <m/>
    <m/>
    <m/>
    <m/>
    <n v="0"/>
    <n v="0"/>
    <n v="0"/>
    <n v="0"/>
    <m/>
    <m/>
    <n v="0"/>
    <n v="0"/>
    <m/>
    <m/>
    <m/>
    <m/>
    <m/>
    <m/>
    <m/>
    <m/>
    <n v="0"/>
    <n v="0"/>
    <n v="0"/>
    <n v="0"/>
    <n v="5764.9666666666662"/>
    <n v="4857.5666666666666"/>
  </r>
  <r>
    <x v="5"/>
    <s v="Southeast Kentucky Community and Technical College"/>
    <m/>
    <n v="157739"/>
    <x v="7"/>
    <s v="sem"/>
    <m/>
    <m/>
    <m/>
    <n v="32887"/>
    <n v="30732"/>
    <n v="4019"/>
    <n v="2787"/>
    <n v="35094"/>
    <n v="33101"/>
    <n v="72000"/>
    <n v="2400"/>
    <n v="66620"/>
    <n v="2220.6666666666665"/>
    <n v="5024"/>
    <n v="4698"/>
    <n v="72000"/>
    <n v="66620"/>
    <m/>
    <m/>
    <m/>
    <m/>
    <m/>
    <m/>
    <m/>
    <m/>
    <n v="0"/>
    <n v="0"/>
    <n v="0"/>
    <n v="0"/>
    <m/>
    <m/>
    <n v="0"/>
    <n v="0"/>
    <m/>
    <m/>
    <m/>
    <m/>
    <m/>
    <m/>
    <m/>
    <m/>
    <n v="0"/>
    <n v="0"/>
    <n v="0"/>
    <n v="0"/>
    <n v="2400"/>
    <n v="2220.6666666666665"/>
  </r>
  <r>
    <x v="5"/>
    <s v="West Kentucky Community and Technical College"/>
    <m/>
    <n v="157483"/>
    <x v="7"/>
    <s v="sem"/>
    <m/>
    <m/>
    <m/>
    <n v="54242"/>
    <n v="53864"/>
    <n v="11607"/>
    <n v="9873"/>
    <n v="62468"/>
    <n v="59691"/>
    <n v="128317"/>
    <n v="4277.2333333333336"/>
    <n v="123428"/>
    <n v="4114.2666666666664"/>
    <n v="10705"/>
    <n v="10212"/>
    <n v="128317"/>
    <n v="123428"/>
    <m/>
    <m/>
    <m/>
    <m/>
    <m/>
    <m/>
    <m/>
    <m/>
    <n v="0"/>
    <n v="0"/>
    <n v="0"/>
    <n v="0"/>
    <m/>
    <m/>
    <n v="0"/>
    <n v="0"/>
    <m/>
    <m/>
    <m/>
    <m/>
    <m/>
    <m/>
    <m/>
    <m/>
    <n v="0"/>
    <n v="0"/>
    <n v="0"/>
    <n v="0"/>
    <n v="4277.2333333333336"/>
    <n v="4114.2666666666664"/>
  </r>
  <r>
    <x v="5"/>
    <s v="Henderson Community College "/>
    <m/>
    <n v="156851"/>
    <x v="8"/>
    <s v="sem"/>
    <m/>
    <m/>
    <m/>
    <n v="18837"/>
    <n v="17174"/>
    <n v="3798"/>
    <n v="2782"/>
    <n v="20600"/>
    <n v="18257"/>
    <n v="43235"/>
    <n v="1441.1666666666667"/>
    <n v="38213"/>
    <n v="1273.7666666666667"/>
    <n v="1619"/>
    <n v="1813"/>
    <n v="43235"/>
    <n v="38213"/>
    <m/>
    <m/>
    <m/>
    <m/>
    <m/>
    <m/>
    <m/>
    <m/>
    <n v="0"/>
    <n v="0"/>
    <n v="0"/>
    <n v="0"/>
    <m/>
    <m/>
    <n v="0"/>
    <n v="0"/>
    <m/>
    <m/>
    <m/>
    <m/>
    <m/>
    <m/>
    <m/>
    <m/>
    <n v="0"/>
    <n v="0"/>
    <n v="0"/>
    <n v="0"/>
    <n v="1441.1666666666667"/>
    <n v="1273.7666666666667"/>
  </r>
  <r>
    <x v="5"/>
    <s v="Gateway Community and Technical College"/>
    <m/>
    <n v="157438"/>
    <x v="9"/>
    <s v="sem"/>
    <m/>
    <m/>
    <m/>
    <n v="32870"/>
    <n v="32686"/>
    <n v="7251"/>
    <n v="6560"/>
    <n v="35036"/>
    <n v="33536"/>
    <n v="75157"/>
    <n v="2505.2333333333331"/>
    <n v="72782"/>
    <n v="2426.0666666666666"/>
    <n v="3290"/>
    <n v="2416"/>
    <n v="75157"/>
    <n v="72782"/>
    <m/>
    <m/>
    <m/>
    <m/>
    <m/>
    <m/>
    <m/>
    <m/>
    <n v="0"/>
    <n v="0"/>
    <n v="0"/>
    <n v="0"/>
    <m/>
    <m/>
    <n v="0"/>
    <n v="0"/>
    <m/>
    <m/>
    <m/>
    <m/>
    <m/>
    <m/>
    <m/>
    <m/>
    <n v="0"/>
    <n v="0"/>
    <n v="0"/>
    <n v="0"/>
    <n v="2505.2333333333331"/>
    <n v="2426.0666666666666"/>
  </r>
  <r>
    <x v="5"/>
    <s v="Southcentral Kentucky Community and Technical College"/>
    <m/>
    <n v="156338"/>
    <x v="9"/>
    <s v="sem"/>
    <m/>
    <m/>
    <m/>
    <n v="29052"/>
    <n v="33739"/>
    <n v="4837"/>
    <n v="6299"/>
    <n v="35470"/>
    <n v="38592"/>
    <n v="69359"/>
    <n v="2311.9666666666667"/>
    <n v="78630"/>
    <n v="2621"/>
    <n v="5845"/>
    <n v="4202"/>
    <n v="69359"/>
    <n v="78630"/>
    <m/>
    <m/>
    <m/>
    <m/>
    <m/>
    <m/>
    <m/>
    <m/>
    <n v="0"/>
    <n v="0"/>
    <n v="0"/>
    <n v="0"/>
    <m/>
    <m/>
    <n v="0"/>
    <n v="0"/>
    <m/>
    <m/>
    <m/>
    <m/>
    <m/>
    <m/>
    <m/>
    <m/>
    <n v="0"/>
    <n v="0"/>
    <n v="0"/>
    <n v="0"/>
    <n v="2311.9666666666667"/>
    <n v="2621"/>
  </r>
  <r>
    <x v="6"/>
    <s v="Louisiana State University and A&amp;M College"/>
    <m/>
    <n v="159391"/>
    <x v="0"/>
    <s v="sem"/>
    <s v="sem"/>
    <m/>
    <m/>
    <n v="321960"/>
    <n v="321021"/>
    <n v="45694"/>
    <n v="43468"/>
    <n v="359983"/>
    <n v="360518"/>
    <n v="727637"/>
    <n v="24254.566666666666"/>
    <n v="725007"/>
    <n v="24166.9"/>
    <n v="1574"/>
    <n v="2047"/>
    <n v="727637"/>
    <n v="725007"/>
    <m/>
    <m/>
    <m/>
    <m/>
    <m/>
    <m/>
    <m/>
    <m/>
    <n v="0"/>
    <n v="0"/>
    <n v="0"/>
    <n v="0"/>
    <m/>
    <m/>
    <n v="0"/>
    <n v="0"/>
    <m/>
    <m/>
    <n v="50701"/>
    <n v="50626"/>
    <n v="14767"/>
    <n v="14065"/>
    <n v="53277"/>
    <n v="51827"/>
    <n v="118745"/>
    <n v="4947.708333333333"/>
    <n v="116518"/>
    <n v="4854.916666666667"/>
    <n v="29202.274999999998"/>
    <n v="29021.816666666669"/>
  </r>
  <r>
    <x v="6"/>
    <s v="Louisiana Tech University "/>
    <m/>
    <n v="159647"/>
    <x v="1"/>
    <s v="quar"/>
    <s v="quar"/>
    <n v="67969"/>
    <n v="69068"/>
    <n v="69219"/>
    <n v="69697"/>
    <n v="17543"/>
    <n v="16955"/>
    <n v="79602"/>
    <n v="76434"/>
    <n v="234333"/>
    <n v="7811.1"/>
    <n v="232154"/>
    <n v="7738.4666666666662"/>
    <n v="10075"/>
    <n v="12178"/>
    <n v="234333"/>
    <n v="232154"/>
    <m/>
    <m/>
    <m/>
    <m/>
    <m/>
    <m/>
    <m/>
    <m/>
    <n v="0"/>
    <n v="0"/>
    <n v="0"/>
    <n v="0"/>
    <m/>
    <m/>
    <n v="0"/>
    <n v="0"/>
    <n v="7842"/>
    <n v="7654"/>
    <n v="7384"/>
    <n v="7785"/>
    <n v="4350"/>
    <n v="4314"/>
    <n v="11636"/>
    <n v="11656"/>
    <n v="31212"/>
    <n v="1300.5"/>
    <n v="31409"/>
    <n v="1308.7083333333333"/>
    <n v="9111.6"/>
    <n v="9047.1749999999993"/>
  </r>
  <r>
    <x v="6"/>
    <s v="University of Louisiana at Lafayette"/>
    <m/>
    <n v="160658"/>
    <x v="1"/>
    <s v="sem"/>
    <s v="sem"/>
    <m/>
    <m/>
    <n v="183146"/>
    <n v="184501"/>
    <n v="25735"/>
    <n v="24934"/>
    <n v="201949"/>
    <n v="195627"/>
    <n v="410830"/>
    <n v="13694.333333333334"/>
    <n v="405062"/>
    <n v="13502.066666666668"/>
    <n v="992"/>
    <n v="1724"/>
    <n v="410830"/>
    <n v="405062"/>
    <m/>
    <m/>
    <m/>
    <m/>
    <m/>
    <m/>
    <m/>
    <m/>
    <n v="0"/>
    <n v="0"/>
    <n v="0"/>
    <n v="0"/>
    <m/>
    <m/>
    <n v="0"/>
    <n v="0"/>
    <m/>
    <m/>
    <n v="11507"/>
    <n v="11573"/>
    <n v="2881"/>
    <n v="3083"/>
    <n v="12160"/>
    <n v="12246"/>
    <n v="26548"/>
    <n v="1106.1666666666667"/>
    <n v="26902"/>
    <n v="1120.9166666666667"/>
    <n v="14800.5"/>
    <n v="14622.983333333334"/>
  </r>
  <r>
    <x v="6"/>
    <s v="University of New Orleans"/>
    <m/>
    <n v="159939"/>
    <x v="1"/>
    <s v="sem"/>
    <s v="sem"/>
    <m/>
    <m/>
    <n v="96961"/>
    <n v="92318"/>
    <n v="18653"/>
    <n v="18426"/>
    <n v="101303"/>
    <n v="95073"/>
    <n v="216917"/>
    <n v="7230.5666666666666"/>
    <n v="205817"/>
    <n v="6860.5666666666666"/>
    <n v="613"/>
    <n v="557"/>
    <n v="216917"/>
    <n v="205817"/>
    <m/>
    <m/>
    <m/>
    <m/>
    <m/>
    <m/>
    <m/>
    <m/>
    <n v="0"/>
    <n v="0"/>
    <n v="0"/>
    <n v="0"/>
    <m/>
    <m/>
    <n v="0"/>
    <n v="0"/>
    <m/>
    <m/>
    <n v="18425"/>
    <n v="16295"/>
    <n v="7461"/>
    <n v="6333"/>
    <n v="18864"/>
    <n v="17463"/>
    <n v="44750"/>
    <n v="1864.5833333333333"/>
    <n v="40091"/>
    <n v="1670.4583333333333"/>
    <n v="9095.15"/>
    <n v="8531.0249999999996"/>
  </r>
  <r>
    <x v="6"/>
    <s v="Southeastern Louisiana University "/>
    <m/>
    <n v="160612"/>
    <x v="2"/>
    <s v="sem"/>
    <s v="sem"/>
    <m/>
    <m/>
    <n v="166891"/>
    <n v="162619"/>
    <n v="25518"/>
    <n v="21975"/>
    <n v="175070"/>
    <n v="173089"/>
    <n v="367479"/>
    <n v="12249.3"/>
    <n v="357683"/>
    <n v="11922.766666666666"/>
    <n v="9364"/>
    <n v="9149"/>
    <n v="367479"/>
    <n v="357683"/>
    <m/>
    <m/>
    <m/>
    <m/>
    <m/>
    <m/>
    <m/>
    <m/>
    <n v="0"/>
    <n v="0"/>
    <n v="0"/>
    <n v="0"/>
    <m/>
    <m/>
    <n v="0"/>
    <n v="0"/>
    <m/>
    <m/>
    <n v="9063"/>
    <n v="9309"/>
    <n v="5149"/>
    <n v="5034"/>
    <n v="8871"/>
    <n v="8768"/>
    <n v="23083"/>
    <n v="961.79166666666663"/>
    <n v="23111"/>
    <n v="962.95833333333337"/>
    <n v="13211.091666666665"/>
    <n v="12885.725"/>
  </r>
  <r>
    <x v="6"/>
    <s v="Southern University and A&amp;M College at Baton Rouge "/>
    <s v="Met the criteria for Four-Year 2 in 2012-13."/>
    <n v="160621"/>
    <x v="2"/>
    <s v="sem"/>
    <s v="sem"/>
    <m/>
    <m/>
    <n v="79786"/>
    <n v="74723"/>
    <n v="17343"/>
    <n v="10996"/>
    <n v="78761"/>
    <n v="73535"/>
    <n v="175890"/>
    <n v="5863"/>
    <n v="159254"/>
    <n v="5308.4666666666662"/>
    <n v="219"/>
    <n v="142"/>
    <n v="175890"/>
    <n v="159254"/>
    <m/>
    <m/>
    <m/>
    <m/>
    <m/>
    <m/>
    <m/>
    <m/>
    <n v="0"/>
    <n v="0"/>
    <n v="0"/>
    <n v="0"/>
    <m/>
    <m/>
    <n v="0"/>
    <n v="0"/>
    <m/>
    <m/>
    <n v="18227"/>
    <n v="18079"/>
    <n v="5142"/>
    <n v="4635"/>
    <n v="18502"/>
    <n v="18888"/>
    <n v="41871"/>
    <n v="1744.625"/>
    <n v="41602"/>
    <n v="1733.4166666666667"/>
    <n v="7607.625"/>
    <n v="7041.8833333333332"/>
  </r>
  <r>
    <x v="6"/>
    <s v="University of Louisiana at Monroe"/>
    <m/>
    <n v="159993"/>
    <x v="2"/>
    <s v="sem"/>
    <s v="sem"/>
    <n v="2599"/>
    <n v="2643"/>
    <n v="76512"/>
    <n v="74963"/>
    <n v="25494"/>
    <n v="16684"/>
    <n v="86222"/>
    <n v="85842"/>
    <n v="190827"/>
    <n v="6360.9"/>
    <n v="180132"/>
    <n v="6004.4"/>
    <n v="8899"/>
    <n v="13524"/>
    <n v="190827"/>
    <n v="180132"/>
    <m/>
    <m/>
    <m/>
    <m/>
    <m/>
    <m/>
    <m/>
    <m/>
    <n v="0"/>
    <n v="0"/>
    <n v="0"/>
    <n v="0"/>
    <m/>
    <m/>
    <n v="0"/>
    <n v="0"/>
    <n v="236"/>
    <n v="528"/>
    <n v="11816"/>
    <n v="12898"/>
    <n v="6972"/>
    <n v="7814"/>
    <n v="13227"/>
    <n v="12974"/>
    <n v="32251"/>
    <n v="1343.7916666666667"/>
    <n v="34214"/>
    <n v="1425.5833333333333"/>
    <n v="7704.6916666666666"/>
    <n v="7429.9833333333327"/>
  </r>
  <r>
    <x v="6"/>
    <s v="Grambling State University"/>
    <m/>
    <n v="159009"/>
    <x v="3"/>
    <s v="sem"/>
    <s v="sem"/>
    <m/>
    <m/>
    <n v="57133"/>
    <n v="57258"/>
    <n v="15132"/>
    <n v="11522"/>
    <n v="61060"/>
    <n v="60356"/>
    <n v="133325"/>
    <n v="4444.166666666667"/>
    <n v="129136"/>
    <n v="4304.5333333333338"/>
    <n v="129"/>
    <n v="282"/>
    <n v="133325"/>
    <n v="129136"/>
    <m/>
    <m/>
    <m/>
    <m/>
    <m/>
    <m/>
    <m/>
    <m/>
    <n v="0"/>
    <n v="0"/>
    <n v="0"/>
    <n v="0"/>
    <m/>
    <m/>
    <n v="0"/>
    <n v="0"/>
    <m/>
    <m/>
    <n v="5191"/>
    <n v="6496"/>
    <n v="2586"/>
    <n v="2804"/>
    <n v="6077"/>
    <n v="6882"/>
    <n v="13854"/>
    <n v="577.25"/>
    <n v="16182"/>
    <n v="674.25"/>
    <n v="5021.416666666667"/>
    <n v="4978.7833333333338"/>
  </r>
  <r>
    <x v="6"/>
    <s v="Louisiana State University in Shreveport"/>
    <m/>
    <n v="159416"/>
    <x v="3"/>
    <s v="sem"/>
    <s v="sem"/>
    <m/>
    <m/>
    <n v="40140"/>
    <n v="40658"/>
    <n v="9056"/>
    <n v="7099"/>
    <n v="42238"/>
    <n v="41384"/>
    <n v="91434"/>
    <n v="3047.8"/>
    <n v="89141"/>
    <n v="2971.3666666666668"/>
    <n v="7771"/>
    <n v="11114"/>
    <n v="91434"/>
    <n v="89141"/>
    <m/>
    <m/>
    <m/>
    <m/>
    <m/>
    <m/>
    <m/>
    <m/>
    <n v="0"/>
    <n v="0"/>
    <n v="0"/>
    <n v="0"/>
    <m/>
    <m/>
    <n v="0"/>
    <n v="0"/>
    <m/>
    <m/>
    <n v="2679"/>
    <n v="2382"/>
    <n v="1286"/>
    <n v="1202"/>
    <n v="2752"/>
    <n v="2701"/>
    <n v="6717"/>
    <n v="279.875"/>
    <n v="6285"/>
    <n v="261.875"/>
    <n v="3327.6750000000002"/>
    <n v="3233.2416666666668"/>
  </r>
  <r>
    <x v="6"/>
    <s v="McNeese State University"/>
    <m/>
    <n v="159717"/>
    <x v="3"/>
    <s v="sem"/>
    <s v="sem"/>
    <m/>
    <m/>
    <n v="99274"/>
    <n v="97806"/>
    <n v="13537"/>
    <n v="12418"/>
    <n v="105150"/>
    <n v="103403"/>
    <n v="217961"/>
    <n v="7265.3666666666668"/>
    <n v="213627"/>
    <n v="7120.9"/>
    <n v="5793"/>
    <n v="5685"/>
    <n v="217961"/>
    <n v="213627"/>
    <m/>
    <m/>
    <m/>
    <m/>
    <m/>
    <m/>
    <m/>
    <m/>
    <n v="0"/>
    <n v="0"/>
    <n v="0"/>
    <n v="0"/>
    <m/>
    <m/>
    <n v="0"/>
    <n v="0"/>
    <m/>
    <m/>
    <n v="6001"/>
    <n v="5719"/>
    <n v="2120"/>
    <n v="2065"/>
    <n v="6074"/>
    <n v="5411"/>
    <n v="14195"/>
    <n v="591.45833333333337"/>
    <n v="13195"/>
    <n v="549.79166666666663"/>
    <n v="7856.8249999999998"/>
    <n v="7670.6916666666666"/>
  </r>
  <r>
    <x v="6"/>
    <s v="Nicholls State University "/>
    <m/>
    <n v="159966"/>
    <x v="3"/>
    <s v="sem"/>
    <s v="sem"/>
    <m/>
    <m/>
    <n v="77075"/>
    <n v="73786"/>
    <n v="16318"/>
    <n v="11331"/>
    <n v="81554"/>
    <n v="79365"/>
    <n v="174947"/>
    <n v="5831.5666666666666"/>
    <n v="164482"/>
    <n v="5482.7333333333336"/>
    <n v="1011"/>
    <n v="1020"/>
    <n v="174947"/>
    <n v="164482"/>
    <m/>
    <m/>
    <m/>
    <m/>
    <m/>
    <m/>
    <m/>
    <m/>
    <n v="0"/>
    <n v="0"/>
    <n v="0"/>
    <n v="0"/>
    <m/>
    <m/>
    <n v="0"/>
    <n v="0"/>
    <m/>
    <m/>
    <n v="4125"/>
    <n v="3898"/>
    <n v="3710"/>
    <n v="2794"/>
    <n v="4002"/>
    <n v="3950"/>
    <n v="11837"/>
    <n v="493.20833333333331"/>
    <n v="10642"/>
    <n v="443.41666666666669"/>
    <n v="6324.7749999999996"/>
    <n v="5926.1500000000005"/>
  </r>
  <r>
    <x v="6"/>
    <s v="Northwestern State University"/>
    <m/>
    <n v="160038"/>
    <x v="3"/>
    <s v="sem"/>
    <s v="sem"/>
    <m/>
    <m/>
    <n v="93649"/>
    <n v="92476"/>
    <n v="22572"/>
    <n v="19687"/>
    <n v="99684"/>
    <n v="100426"/>
    <n v="215905"/>
    <n v="7196.833333333333"/>
    <n v="212589"/>
    <n v="7086.3"/>
    <n v="5488"/>
    <n v="5504"/>
    <n v="215905"/>
    <n v="212589"/>
    <m/>
    <m/>
    <m/>
    <m/>
    <m/>
    <m/>
    <m/>
    <m/>
    <n v="0"/>
    <n v="0"/>
    <n v="0"/>
    <n v="0"/>
    <m/>
    <m/>
    <n v="0"/>
    <n v="0"/>
    <m/>
    <m/>
    <n v="6802"/>
    <n v="6310"/>
    <n v="4515"/>
    <n v="3896"/>
    <n v="6791"/>
    <n v="6726"/>
    <n v="18108"/>
    <n v="754.5"/>
    <n v="16932"/>
    <n v="705.5"/>
    <n v="7951.333333333333"/>
    <n v="7791.8"/>
  </r>
  <r>
    <x v="6"/>
    <s v="Southern University at New Orleans"/>
    <s v="Met the criteria for Four-Year 5 in 2012-13."/>
    <n v="160630"/>
    <x v="3"/>
    <s v="sem"/>
    <s v="sem"/>
    <m/>
    <m/>
    <n v="33100"/>
    <n v="38111"/>
    <n v="5563"/>
    <n v="5480"/>
    <n v="38090"/>
    <n v="35925"/>
    <n v="76753"/>
    <n v="2558.4333333333334"/>
    <n v="79516"/>
    <n v="2650.5333333333333"/>
    <n v="1353"/>
    <n v="1246"/>
    <n v="76753"/>
    <n v="79516"/>
    <m/>
    <m/>
    <m/>
    <m/>
    <m/>
    <m/>
    <m/>
    <m/>
    <n v="0"/>
    <n v="0"/>
    <n v="0"/>
    <n v="0"/>
    <m/>
    <m/>
    <n v="0"/>
    <n v="0"/>
    <m/>
    <m/>
    <n v="4421"/>
    <n v="757"/>
    <n v="1125"/>
    <n v="80"/>
    <n v="388"/>
    <n v="1008"/>
    <n v="5934"/>
    <n v="247.25"/>
    <n v="1845"/>
    <n v="76.875"/>
    <n v="2805.6833333333334"/>
    <n v="2727.4083333333333"/>
  </r>
  <r>
    <x v="6"/>
    <s v="Louisiana State University at Alexandria"/>
    <m/>
    <n v="159382"/>
    <x v="5"/>
    <s v="sem"/>
    <s v="sem"/>
    <m/>
    <m/>
    <n v="24708"/>
    <n v="23055"/>
    <n v="5137"/>
    <n v="4552"/>
    <n v="26009"/>
    <n v="24122"/>
    <n v="55854"/>
    <n v="1861.8"/>
    <n v="51729"/>
    <n v="1724.3"/>
    <n v="2930"/>
    <n v="2869"/>
    <n v="55854"/>
    <n v="51729"/>
    <m/>
    <m/>
    <m/>
    <m/>
    <m/>
    <m/>
    <m/>
    <m/>
    <n v="0"/>
    <n v="0"/>
    <n v="0"/>
    <n v="0"/>
    <m/>
    <m/>
    <n v="0"/>
    <n v="0"/>
    <m/>
    <m/>
    <m/>
    <m/>
    <m/>
    <m/>
    <m/>
    <m/>
    <n v="0"/>
    <n v="0"/>
    <n v="0"/>
    <n v="0"/>
    <n v="1861.8"/>
    <n v="1724.3"/>
  </r>
  <r>
    <x v="6"/>
    <s v="Baton Rouge Community College"/>
    <m/>
    <n v="437103"/>
    <x v="6"/>
    <s v="sem"/>
    <s v="sem"/>
    <m/>
    <m/>
    <n v="77210"/>
    <n v="78630"/>
    <n v="11789"/>
    <n v="10495"/>
    <n v="81813"/>
    <n v="87401"/>
    <n v="170812"/>
    <n v="5693.7333333333336"/>
    <n v="176526"/>
    <n v="5884.2"/>
    <n v="2302"/>
    <n v="1847"/>
    <n v="170812"/>
    <n v="176526"/>
    <m/>
    <m/>
    <m/>
    <m/>
    <m/>
    <m/>
    <m/>
    <m/>
    <n v="0"/>
    <n v="0"/>
    <n v="0"/>
    <n v="0"/>
    <m/>
    <m/>
    <n v="0"/>
    <n v="0"/>
    <m/>
    <m/>
    <m/>
    <m/>
    <m/>
    <m/>
    <m/>
    <m/>
    <n v="0"/>
    <n v="0"/>
    <n v="0"/>
    <n v="0"/>
    <n v="5693.7333333333336"/>
    <n v="5884.2"/>
  </r>
  <r>
    <x v="6"/>
    <s v="Bossier Parish Community College"/>
    <s v="Reclassified: met the criteria for Two-Year 1 in 2010-11, 2011-12, and 2012-13."/>
    <n v="158431"/>
    <x v="6"/>
    <s v="sem"/>
    <s v="sem"/>
    <m/>
    <m/>
    <n v="68306"/>
    <n v="80514"/>
    <n v="17609"/>
    <n v="17606"/>
    <n v="74088"/>
    <n v="85162"/>
    <n v="160003"/>
    <n v="5333.4333333333334"/>
    <n v="183282"/>
    <n v="6109.4"/>
    <n v="2967"/>
    <n v="3619"/>
    <n v="160003"/>
    <n v="183282"/>
    <m/>
    <m/>
    <m/>
    <m/>
    <m/>
    <m/>
    <m/>
    <m/>
    <n v="0"/>
    <n v="0"/>
    <n v="0"/>
    <n v="0"/>
    <m/>
    <m/>
    <n v="0"/>
    <n v="0"/>
    <m/>
    <m/>
    <m/>
    <m/>
    <m/>
    <m/>
    <m/>
    <m/>
    <n v="0"/>
    <n v="0"/>
    <n v="0"/>
    <n v="0"/>
    <n v="5333.4333333333334"/>
    <n v="6109.4"/>
  </r>
  <r>
    <x v="6"/>
    <s v="Delgado Community College "/>
    <m/>
    <n v="158662"/>
    <x v="6"/>
    <s v="sem"/>
    <s v="sem"/>
    <m/>
    <m/>
    <n v="186202"/>
    <n v="192771"/>
    <n v="42309"/>
    <n v="38177"/>
    <n v="200159"/>
    <n v="172000"/>
    <n v="428670"/>
    <n v="14289"/>
    <n v="402948"/>
    <n v="13431.6"/>
    <n v="1393"/>
    <n v="1372"/>
    <n v="428670"/>
    <n v="402948"/>
    <m/>
    <m/>
    <m/>
    <m/>
    <m/>
    <m/>
    <m/>
    <m/>
    <n v="0"/>
    <n v="0"/>
    <n v="0"/>
    <n v="0"/>
    <m/>
    <m/>
    <n v="0"/>
    <n v="0"/>
    <m/>
    <m/>
    <m/>
    <m/>
    <m/>
    <m/>
    <m/>
    <m/>
    <n v="0"/>
    <n v="0"/>
    <n v="0"/>
    <n v="0"/>
    <n v="14289"/>
    <n v="13431.6"/>
  </r>
  <r>
    <x v="6"/>
    <s v="Louisiana State University at Eunice"/>
    <m/>
    <n v="159407"/>
    <x v="7"/>
    <s v="sem"/>
    <s v="sem"/>
    <m/>
    <m/>
    <n v="29837"/>
    <n v="27989"/>
    <n v="4759"/>
    <n v="4969"/>
    <n v="28751"/>
    <n v="29014"/>
    <n v="63347"/>
    <n v="2111.5666666666666"/>
    <n v="61972"/>
    <n v="2065.7333333333331"/>
    <n v="3237"/>
    <n v="3283"/>
    <n v="63347"/>
    <n v="61972"/>
    <m/>
    <m/>
    <m/>
    <m/>
    <m/>
    <m/>
    <m/>
    <m/>
    <n v="0"/>
    <n v="0"/>
    <n v="0"/>
    <n v="0"/>
    <m/>
    <m/>
    <n v="0"/>
    <n v="0"/>
    <m/>
    <m/>
    <m/>
    <m/>
    <m/>
    <m/>
    <m/>
    <m/>
    <n v="0"/>
    <n v="0"/>
    <n v="0"/>
    <n v="0"/>
    <n v="2111.5666666666666"/>
    <n v="2065.7333333333331"/>
  </r>
  <r>
    <x v="6"/>
    <s v="South Louisiana Community College"/>
    <s v="Met the criteria for Two-Year 1 in 2012-13."/>
    <n v="434061"/>
    <x v="7"/>
    <s v="sem"/>
    <s v="sem"/>
    <m/>
    <m/>
    <n v="35271"/>
    <n v="70353.5"/>
    <n v="7912"/>
    <n v="18151"/>
    <n v="36145"/>
    <n v="71265"/>
    <n v="79328"/>
    <n v="2644.2666666666669"/>
    <n v="159769.5"/>
    <n v="5325.65"/>
    <n v="5705"/>
    <n v="15668"/>
    <n v="79328"/>
    <n v="159769.5"/>
    <m/>
    <m/>
    <m/>
    <m/>
    <m/>
    <m/>
    <m/>
    <m/>
    <n v="0"/>
    <n v="0"/>
    <n v="0"/>
    <n v="0"/>
    <m/>
    <m/>
    <n v="0"/>
    <n v="0"/>
    <m/>
    <m/>
    <m/>
    <m/>
    <m/>
    <m/>
    <m/>
    <m/>
    <n v="0"/>
    <n v="0"/>
    <n v="0"/>
    <n v="0"/>
    <n v="2644.2666666666669"/>
    <n v="5325.65"/>
  </r>
  <r>
    <x v="6"/>
    <s v="Louisiana Delta Community College"/>
    <s v="Met the criteria for Two-Year 2 in 2011-12 and 2012-13."/>
    <n v="440624"/>
    <x v="8"/>
    <s v="sem"/>
    <s v="sem"/>
    <m/>
    <m/>
    <n v="26832"/>
    <n v="43182.5"/>
    <n v="6985"/>
    <n v="11259.5"/>
    <n v="29062"/>
    <n v="37628"/>
    <n v="62879"/>
    <n v="2095.9666666666667"/>
    <n v="92070"/>
    <n v="3069"/>
    <n v="3654"/>
    <n v="5405"/>
    <n v="62879"/>
    <n v="92070"/>
    <m/>
    <m/>
    <m/>
    <m/>
    <m/>
    <m/>
    <m/>
    <m/>
    <n v="0"/>
    <n v="0"/>
    <n v="0"/>
    <n v="0"/>
    <m/>
    <m/>
    <n v="0"/>
    <n v="0"/>
    <m/>
    <m/>
    <m/>
    <m/>
    <m/>
    <m/>
    <m/>
    <m/>
    <n v="0"/>
    <n v="0"/>
    <n v="0"/>
    <n v="0"/>
    <n v="2095.9666666666667"/>
    <n v="3069"/>
  </r>
  <r>
    <x v="6"/>
    <s v="Nunez Community College"/>
    <m/>
    <n v="158884"/>
    <x v="8"/>
    <s v="sem"/>
    <s v="sem"/>
    <m/>
    <m/>
    <n v="18029"/>
    <n v="18641"/>
    <n v="4186"/>
    <n v="3734"/>
    <n v="19942"/>
    <n v="19632"/>
    <n v="42157"/>
    <n v="1405.2333333333333"/>
    <n v="42007"/>
    <n v="1400.2333333333333"/>
    <n v="5250"/>
    <n v="5241"/>
    <n v="42157"/>
    <n v="42007"/>
    <m/>
    <m/>
    <m/>
    <m/>
    <m/>
    <m/>
    <m/>
    <m/>
    <n v="0"/>
    <n v="0"/>
    <n v="0"/>
    <n v="0"/>
    <m/>
    <m/>
    <n v="0"/>
    <n v="0"/>
    <m/>
    <m/>
    <m/>
    <m/>
    <m/>
    <m/>
    <m/>
    <m/>
    <n v="0"/>
    <n v="0"/>
    <n v="0"/>
    <n v="0"/>
    <n v="1405.2333333333333"/>
    <n v="1400.2333333333333"/>
  </r>
  <r>
    <x v="6"/>
    <s v="River Parishes Community College"/>
    <m/>
    <n v="436304"/>
    <x v="8"/>
    <s v="sem"/>
    <s v="sem"/>
    <m/>
    <m/>
    <n v="21170"/>
    <n v="21519"/>
    <n v="5848"/>
    <n v="4445"/>
    <n v="23260"/>
    <n v="28080"/>
    <n v="50278"/>
    <n v="1675.9333333333334"/>
    <n v="54044"/>
    <n v="1801.4666666666667"/>
    <n v="5390"/>
    <n v="9861"/>
    <n v="50278"/>
    <n v="54044"/>
    <m/>
    <m/>
    <m/>
    <m/>
    <m/>
    <m/>
    <m/>
    <m/>
    <n v="0"/>
    <n v="0"/>
    <n v="0"/>
    <n v="0"/>
    <m/>
    <m/>
    <n v="0"/>
    <n v="0"/>
    <m/>
    <m/>
    <m/>
    <m/>
    <m/>
    <m/>
    <m/>
    <m/>
    <n v="0"/>
    <n v="0"/>
    <n v="0"/>
    <n v="0"/>
    <n v="1675.9333333333334"/>
    <n v="1801.4666666666667"/>
  </r>
  <r>
    <x v="6"/>
    <s v="Southern University in Shreveport"/>
    <s v="Met the criteria for Two-Year 2 in 2011-12 and 2012-13."/>
    <n v="160649"/>
    <x v="8"/>
    <s v="sem"/>
    <s v="sem"/>
    <m/>
    <m/>
    <n v="29670"/>
    <n v="28165"/>
    <n v="7467"/>
    <n v="6743"/>
    <n v="32460"/>
    <n v="31899"/>
    <n v="69597"/>
    <n v="2319.9"/>
    <n v="66807"/>
    <n v="2226.9"/>
    <n v="2125"/>
    <n v="1452"/>
    <n v="69597"/>
    <n v="66807"/>
    <m/>
    <m/>
    <m/>
    <m/>
    <m/>
    <m/>
    <m/>
    <m/>
    <n v="0"/>
    <n v="0"/>
    <n v="0"/>
    <n v="0"/>
    <m/>
    <m/>
    <n v="0"/>
    <n v="0"/>
    <m/>
    <m/>
    <m/>
    <m/>
    <m/>
    <m/>
    <m/>
    <m/>
    <n v="0"/>
    <n v="0"/>
    <n v="0"/>
    <n v="0"/>
    <n v="2319.9"/>
    <n v="2226.9"/>
  </r>
  <r>
    <x v="6"/>
    <s v="Acadiana Technical College"/>
    <m/>
    <n v="159443"/>
    <x v="9"/>
    <s v="sem"/>
    <s v="sem"/>
    <m/>
    <m/>
    <n v="41514.5"/>
    <m/>
    <n v="14624"/>
    <m/>
    <n v="39129"/>
    <m/>
    <n v="95267.5"/>
    <n v="3175.5833333333335"/>
    <n v="0"/>
    <n v="0"/>
    <n v="7039"/>
    <m/>
    <n v="95267.5"/>
    <n v="0"/>
    <m/>
    <m/>
    <m/>
    <m/>
    <m/>
    <m/>
    <m/>
    <m/>
    <n v="0"/>
    <n v="0"/>
    <n v="0"/>
    <n v="0"/>
    <m/>
    <m/>
    <n v="0"/>
    <n v="0"/>
    <m/>
    <m/>
    <m/>
    <m/>
    <m/>
    <m/>
    <m/>
    <m/>
    <n v="0"/>
    <n v="0"/>
    <n v="0"/>
    <n v="0"/>
    <n v="3175.5833333333335"/>
    <n v="0"/>
  </r>
  <r>
    <x v="6"/>
    <s v="Capital Area Technical College"/>
    <m/>
    <n v="158352"/>
    <x v="9"/>
    <s v="sem"/>
    <s v="sem"/>
    <m/>
    <m/>
    <n v="31009.5"/>
    <n v="28776"/>
    <n v="9633"/>
    <n v="10033"/>
    <n v="33874"/>
    <n v="51143.5"/>
    <n v="74516.5"/>
    <n v="2483.8833333333332"/>
    <n v="89952.5"/>
    <n v="2998.4166666666665"/>
    <n v="13208"/>
    <n v="14004"/>
    <n v="74516.5"/>
    <n v="89952.5"/>
    <m/>
    <m/>
    <m/>
    <m/>
    <m/>
    <m/>
    <m/>
    <m/>
    <n v="0"/>
    <n v="0"/>
    <n v="0"/>
    <n v="0"/>
    <m/>
    <m/>
    <n v="0"/>
    <n v="0"/>
    <m/>
    <m/>
    <m/>
    <m/>
    <m/>
    <m/>
    <m/>
    <m/>
    <n v="0"/>
    <n v="0"/>
    <n v="0"/>
    <n v="0"/>
    <n v="2483.8833333333332"/>
    <n v="2998.4166666666665"/>
  </r>
  <r>
    <x v="6"/>
    <s v="Central LA Technical College"/>
    <m/>
    <n v="158088"/>
    <x v="9"/>
    <s v="sem"/>
    <s v="sem"/>
    <m/>
    <m/>
    <n v="26500.5"/>
    <n v="24698.5"/>
    <n v="10503.5"/>
    <n v="8354"/>
    <n v="25255"/>
    <n v="22115"/>
    <n v="62259"/>
    <n v="2075.3000000000002"/>
    <n v="55167.5"/>
    <n v="1838.9166666666667"/>
    <n v="5387"/>
    <n v="4737"/>
    <n v="62259"/>
    <n v="55167.5"/>
    <m/>
    <m/>
    <m/>
    <m/>
    <m/>
    <m/>
    <m/>
    <m/>
    <n v="0"/>
    <n v="0"/>
    <n v="0"/>
    <n v="0"/>
    <m/>
    <m/>
    <n v="0"/>
    <n v="0"/>
    <m/>
    <m/>
    <m/>
    <m/>
    <m/>
    <m/>
    <m/>
    <m/>
    <n v="0"/>
    <n v="0"/>
    <n v="0"/>
    <n v="0"/>
    <n v="2075.3000000000002"/>
    <n v="1838.9166666666667"/>
  </r>
  <r>
    <x v="6"/>
    <s v="L.E. Fletcher Technical Community College"/>
    <m/>
    <n v="160481"/>
    <x v="9"/>
    <s v="sem"/>
    <s v="sem"/>
    <m/>
    <m/>
    <n v="18142"/>
    <n v="19525"/>
    <n v="3769"/>
    <n v="2905"/>
    <n v="22951"/>
    <n v="23481"/>
    <n v="44862"/>
    <n v="1495.4"/>
    <n v="45911"/>
    <n v="1530.3666666666666"/>
    <n v="1101"/>
    <n v="1428"/>
    <n v="44862"/>
    <n v="45911"/>
    <m/>
    <m/>
    <m/>
    <n v="23015"/>
    <m/>
    <n v="9897"/>
    <m/>
    <n v="17329"/>
    <n v="0"/>
    <n v="0"/>
    <n v="50241"/>
    <n v="55.823333333333331"/>
    <m/>
    <m/>
    <n v="0"/>
    <n v="0"/>
    <m/>
    <m/>
    <m/>
    <m/>
    <m/>
    <m/>
    <m/>
    <m/>
    <n v="0"/>
    <n v="0"/>
    <n v="0"/>
    <n v="0"/>
    <n v="1495.4"/>
    <n v="1586.1899999999998"/>
  </r>
  <r>
    <x v="6"/>
    <s v="Northeast Technical College"/>
    <m/>
    <n v="158769"/>
    <x v="9"/>
    <s v="sem"/>
    <s v="sem"/>
    <m/>
    <m/>
    <n v="15188"/>
    <m/>
    <n v="6115"/>
    <m/>
    <n v="15907"/>
    <m/>
    <n v="37210"/>
    <n v="1240.3333333333333"/>
    <n v="0"/>
    <n v="0"/>
    <n v="2807"/>
    <m/>
    <n v="37210"/>
    <n v="0"/>
    <m/>
    <m/>
    <m/>
    <m/>
    <m/>
    <m/>
    <m/>
    <m/>
    <n v="0"/>
    <n v="0"/>
    <n v="0"/>
    <n v="0"/>
    <m/>
    <m/>
    <n v="0"/>
    <n v="0"/>
    <m/>
    <m/>
    <m/>
    <m/>
    <m/>
    <m/>
    <m/>
    <m/>
    <n v="0"/>
    <n v="0"/>
    <n v="0"/>
    <n v="0"/>
    <n v="1240.3333333333333"/>
    <n v="0"/>
  </r>
  <r>
    <x v="6"/>
    <s v="Northshore Technical College"/>
    <m/>
    <n v="160667"/>
    <x v="9"/>
    <s v="sem"/>
    <s v="sem"/>
    <m/>
    <m/>
    <n v="25958.5"/>
    <n v="26303.5"/>
    <n v="7698.5"/>
    <n v="5296"/>
    <n v="27292"/>
    <n v="23479"/>
    <n v="60949"/>
    <n v="2031.6333333333334"/>
    <n v="55078.5"/>
    <n v="1835.95"/>
    <n v="12471"/>
    <n v="9223"/>
    <n v="60949"/>
    <n v="55078.5"/>
    <m/>
    <m/>
    <m/>
    <m/>
    <m/>
    <m/>
    <m/>
    <m/>
    <n v="0"/>
    <n v="0"/>
    <n v="0"/>
    <n v="0"/>
    <m/>
    <m/>
    <n v="0"/>
    <n v="0"/>
    <m/>
    <m/>
    <m/>
    <m/>
    <m/>
    <m/>
    <m/>
    <m/>
    <n v="0"/>
    <n v="0"/>
    <n v="0"/>
    <n v="0"/>
    <n v="2031.6333333333334"/>
    <n v="1835.95"/>
  </r>
  <r>
    <x v="6"/>
    <s v="Northwest LA Technical College"/>
    <m/>
    <n v="160010"/>
    <x v="9"/>
    <s v="sem"/>
    <s v="sem"/>
    <m/>
    <m/>
    <n v="26921.5"/>
    <n v="25389"/>
    <n v="10637"/>
    <n v="8298"/>
    <n v="27743"/>
    <n v="18412"/>
    <n v="65301.5"/>
    <n v="2176.7166666666667"/>
    <n v="52099"/>
    <n v="1736.6333333333334"/>
    <n v="7735"/>
    <n v="7316"/>
    <n v="65301.5"/>
    <n v="52099"/>
    <m/>
    <m/>
    <m/>
    <m/>
    <m/>
    <m/>
    <m/>
    <m/>
    <n v="0"/>
    <n v="0"/>
    <n v="0"/>
    <n v="0"/>
    <m/>
    <m/>
    <n v="0"/>
    <n v="0"/>
    <m/>
    <m/>
    <m/>
    <m/>
    <m/>
    <m/>
    <m/>
    <m/>
    <n v="0"/>
    <n v="0"/>
    <n v="0"/>
    <n v="0"/>
    <n v="2176.7166666666667"/>
    <n v="1736.6333333333334"/>
  </r>
  <r>
    <x v="6"/>
    <s v="South Central LA Technical College"/>
    <m/>
    <n v="160913"/>
    <x v="9"/>
    <s v="sem"/>
    <s v="sem"/>
    <m/>
    <m/>
    <n v="22715"/>
    <n v="21196"/>
    <n v="4942"/>
    <n v="4624.5"/>
    <n v="23424"/>
    <n v="37237"/>
    <n v="51081"/>
    <n v="1702.7"/>
    <n v="63057.5"/>
    <n v="2101.9166666666665"/>
    <n v="17017"/>
    <n v="12077"/>
    <n v="51081"/>
    <n v="63057.5"/>
    <m/>
    <m/>
    <m/>
    <n v="31464"/>
    <m/>
    <n v="15976"/>
    <m/>
    <n v="11561"/>
    <n v="0"/>
    <n v="0"/>
    <n v="59001"/>
    <n v="65.556666666666672"/>
    <m/>
    <m/>
    <n v="0"/>
    <n v="0"/>
    <m/>
    <m/>
    <m/>
    <m/>
    <m/>
    <m/>
    <m/>
    <m/>
    <n v="0"/>
    <n v="0"/>
    <n v="0"/>
    <n v="0"/>
    <n v="1702.7"/>
    <n v="2167.4733333333334"/>
  </r>
  <r>
    <x v="6"/>
    <s v="Sowela Technical Community College"/>
    <m/>
    <n v="160579"/>
    <x v="9"/>
    <s v="sem"/>
    <s v="sem"/>
    <m/>
    <m/>
    <n v="29361"/>
    <n v="28256"/>
    <n v="7631"/>
    <n v="5669"/>
    <n v="31326"/>
    <n v="30015"/>
    <n v="68318"/>
    <n v="2277.2666666666669"/>
    <n v="63940"/>
    <n v="2131.3333333333335"/>
    <n v="4879"/>
    <n v="3138"/>
    <n v="68318"/>
    <n v="63940"/>
    <m/>
    <m/>
    <m/>
    <m/>
    <m/>
    <m/>
    <m/>
    <m/>
    <n v="0"/>
    <n v="0"/>
    <n v="0"/>
    <n v="0"/>
    <m/>
    <m/>
    <n v="0"/>
    <n v="0"/>
    <m/>
    <m/>
    <m/>
    <m/>
    <m/>
    <m/>
    <m/>
    <m/>
    <n v="0"/>
    <n v="0"/>
    <n v="0"/>
    <n v="0"/>
    <n v="2277.2666666666669"/>
    <n v="2131.3333333333335"/>
  </r>
  <r>
    <x v="7"/>
    <s v="University of Maryland College Park"/>
    <m/>
    <n v="163286"/>
    <x v="0"/>
    <s v="sem"/>
    <s v="sem"/>
    <n v="12603"/>
    <n v="12014"/>
    <n v="369475"/>
    <n v="366609"/>
    <n v="38207"/>
    <n v="36525"/>
    <n v="379654"/>
    <n v="375427"/>
    <n v="799939"/>
    <n v="26664.633333333335"/>
    <n v="790575"/>
    <n v="26352.5"/>
    <m/>
    <m/>
    <n v="0"/>
    <n v="0"/>
    <m/>
    <m/>
    <m/>
    <m/>
    <m/>
    <m/>
    <m/>
    <m/>
    <n v="0"/>
    <n v="0"/>
    <n v="0"/>
    <n v="0"/>
    <m/>
    <m/>
    <n v="0"/>
    <n v="0"/>
    <n v="2517"/>
    <n v="2737"/>
    <n v="68369"/>
    <n v="69061"/>
    <n v="12990"/>
    <n v="11552"/>
    <n v="74997"/>
    <n v="75812"/>
    <n v="158873"/>
    <n v="6619.708333333333"/>
    <n v="159162"/>
    <n v="6631.75"/>
    <n v="33284.341666666667"/>
    <n v="32984.25"/>
  </r>
  <r>
    <x v="7"/>
    <s v="Morgan State University"/>
    <m/>
    <n v="163453"/>
    <x v="1"/>
    <s v="sem"/>
    <s v="sem"/>
    <n v="1117"/>
    <n v="1605"/>
    <n v="91176"/>
    <n v="85647"/>
    <n v="7556"/>
    <n v="7402"/>
    <n v="91204"/>
    <n v="91104"/>
    <n v="191053"/>
    <n v="6368.4333333333334"/>
    <n v="185758"/>
    <n v="6191.9333333333334"/>
    <m/>
    <m/>
    <n v="0"/>
    <n v="0"/>
    <m/>
    <m/>
    <m/>
    <m/>
    <m/>
    <m/>
    <m/>
    <m/>
    <n v="0"/>
    <n v="0"/>
    <n v="0"/>
    <n v="0"/>
    <m/>
    <m/>
    <n v="0"/>
    <n v="0"/>
    <n v="36"/>
    <n v="0"/>
    <n v="9482"/>
    <n v="10811"/>
    <n v="869"/>
    <n v="987"/>
    <n v="10296"/>
    <n v="10400"/>
    <n v="20683"/>
    <n v="861.79166666666663"/>
    <n v="22198"/>
    <n v="924.91666666666663"/>
    <n v="7230.2250000000004"/>
    <n v="7116.85"/>
  </r>
  <r>
    <x v="7"/>
    <s v="University of Maryland, Baltimore County"/>
    <m/>
    <n v="163268"/>
    <x v="1"/>
    <s v="sem"/>
    <s v="sem"/>
    <n v="4810"/>
    <n v="5052.5"/>
    <n v="132978.5"/>
    <n v="137076.5"/>
    <n v="16631.5"/>
    <n v="18224.5"/>
    <n v="143350"/>
    <n v="147568.5"/>
    <n v="297770"/>
    <n v="9925.6666666666661"/>
    <n v="307922"/>
    <n v="10264.066666666668"/>
    <m/>
    <m/>
    <n v="0"/>
    <n v="0"/>
    <m/>
    <m/>
    <m/>
    <m/>
    <m/>
    <m/>
    <m/>
    <m/>
    <n v="0"/>
    <n v="0"/>
    <n v="0"/>
    <n v="0"/>
    <m/>
    <m/>
    <n v="0"/>
    <n v="0"/>
    <n v="73"/>
    <n v="116"/>
    <n v="15580"/>
    <n v="15328"/>
    <n v="2673"/>
    <n v="2998"/>
    <n v="15512"/>
    <n v="15972"/>
    <n v="33838"/>
    <n v="1409.9166666666667"/>
    <n v="34414"/>
    <n v="1433.9166666666667"/>
    <n v="11335.583333333332"/>
    <n v="11697.983333333334"/>
  </r>
  <r>
    <x v="7"/>
    <s v="Towson University "/>
    <m/>
    <n v="164076"/>
    <x v="2"/>
    <s v="sem"/>
    <s v="sem"/>
    <n v="7090"/>
    <n v="7039"/>
    <n v="230185.5"/>
    <n v="235082"/>
    <n v="25979"/>
    <n v="26279"/>
    <n v="243052"/>
    <n v="247841"/>
    <n v="506306.5"/>
    <n v="16876.883333333335"/>
    <n v="516241"/>
    <n v="17208.033333333333"/>
    <m/>
    <m/>
    <n v="0"/>
    <n v="0"/>
    <m/>
    <m/>
    <m/>
    <m/>
    <m/>
    <m/>
    <m/>
    <m/>
    <n v="0"/>
    <n v="0"/>
    <n v="0"/>
    <n v="0"/>
    <m/>
    <m/>
    <n v="0"/>
    <n v="0"/>
    <n v="1279"/>
    <n v="1310"/>
    <n v="23762.5"/>
    <n v="22968"/>
    <n v="9276"/>
    <n v="9348"/>
    <n v="23201.5"/>
    <n v="23222"/>
    <n v="57519"/>
    <n v="2396.625"/>
    <n v="56848"/>
    <n v="2368.6666666666665"/>
    <n v="19273.508333333335"/>
    <n v="19576.7"/>
  </r>
  <r>
    <x v="7"/>
    <s v="Bowie State University "/>
    <m/>
    <n v="162007"/>
    <x v="3"/>
    <s v="sem"/>
    <s v="sem"/>
    <n v="1098"/>
    <n v="1311"/>
    <n v="55954"/>
    <n v="54894"/>
    <n v="6095"/>
    <n v="5391"/>
    <n v="59470"/>
    <n v="56623"/>
    <n v="122617"/>
    <n v="4087.2333333333331"/>
    <n v="118219"/>
    <n v="3940.6333333333332"/>
    <m/>
    <m/>
    <n v="0"/>
    <n v="0"/>
    <m/>
    <m/>
    <m/>
    <m/>
    <m/>
    <m/>
    <m/>
    <m/>
    <n v="0"/>
    <n v="0"/>
    <n v="0"/>
    <n v="0"/>
    <m/>
    <m/>
    <n v="0"/>
    <n v="0"/>
    <n v="225"/>
    <n v="159"/>
    <n v="7000"/>
    <n v="7065"/>
    <n v="1138"/>
    <n v="1096"/>
    <n v="7603"/>
    <n v="7507"/>
    <n v="15966"/>
    <n v="665.25"/>
    <n v="15827"/>
    <n v="659.45833333333337"/>
    <n v="4752.4833333333336"/>
    <n v="4600.0916666666662"/>
  </r>
  <r>
    <x v="7"/>
    <s v="Frostburg State University "/>
    <m/>
    <n v="162584"/>
    <x v="3"/>
    <s v="sem"/>
    <s v="sem"/>
    <n v="2341"/>
    <n v="2314"/>
    <n v="63707.5"/>
    <n v="61273"/>
    <n v="4869"/>
    <n v="5228"/>
    <n v="66062.5"/>
    <n v="64609.5"/>
    <n v="136980"/>
    <n v="4566"/>
    <n v="133424.5"/>
    <n v="4447.4833333333336"/>
    <m/>
    <m/>
    <n v="0"/>
    <n v="0"/>
    <m/>
    <m/>
    <m/>
    <m/>
    <m/>
    <m/>
    <m/>
    <m/>
    <n v="0"/>
    <n v="0"/>
    <n v="0"/>
    <n v="0"/>
    <m/>
    <m/>
    <n v="0"/>
    <n v="0"/>
    <n v="435"/>
    <n v="351"/>
    <n v="4102"/>
    <n v="4320.5"/>
    <n v="1979"/>
    <n v="2555"/>
    <n v="4398.5"/>
    <n v="5184"/>
    <n v="10914.5"/>
    <n v="454.77083333333331"/>
    <n v="12410.5"/>
    <n v="517.10416666666663"/>
    <n v="5020.770833333333"/>
    <n v="4964.5875000000005"/>
  </r>
  <r>
    <x v="7"/>
    <s v="Salisbury University "/>
    <m/>
    <n v="163851"/>
    <x v="3"/>
    <s v="sem"/>
    <s v="sem"/>
    <n v="6016"/>
    <n v="6633"/>
    <n v="105704"/>
    <n v="109873"/>
    <n v="6776"/>
    <n v="6883"/>
    <n v="113357"/>
    <n v="114315"/>
    <n v="231853"/>
    <n v="7728.4333333333334"/>
    <n v="237704"/>
    <n v="7923.4666666666662"/>
    <m/>
    <m/>
    <n v="0"/>
    <n v="0"/>
    <m/>
    <m/>
    <m/>
    <m/>
    <m/>
    <m/>
    <m/>
    <m/>
    <n v="0"/>
    <n v="0"/>
    <n v="0"/>
    <n v="0"/>
    <m/>
    <m/>
    <n v="0"/>
    <n v="0"/>
    <n v="358"/>
    <n v="393"/>
    <n v="4679"/>
    <n v="4622"/>
    <n v="1523"/>
    <n v="1491"/>
    <n v="5008"/>
    <n v="4873"/>
    <n v="11568"/>
    <n v="482"/>
    <n v="11379"/>
    <n v="474.125"/>
    <n v="8210.4333333333343"/>
    <n v="8397.5916666666672"/>
  </r>
  <r>
    <x v="7"/>
    <s v="University of Baltimore"/>
    <s v="Met the criteria for Four-Year 3 in 2012-13."/>
    <n v="161873"/>
    <x v="3"/>
    <s v="sem"/>
    <s v="sem"/>
    <n v="45"/>
    <n v="51"/>
    <n v="32299"/>
    <n v="32983"/>
    <n v="4338"/>
    <n v="4313"/>
    <n v="34822"/>
    <n v="36346"/>
    <n v="71504"/>
    <n v="2383.4666666666667"/>
    <n v="73693"/>
    <n v="2456.4333333333334"/>
    <m/>
    <m/>
    <n v="0"/>
    <n v="0"/>
    <m/>
    <m/>
    <m/>
    <m/>
    <m/>
    <m/>
    <m/>
    <m/>
    <n v="0"/>
    <n v="0"/>
    <n v="0"/>
    <n v="0"/>
    <m/>
    <m/>
    <n v="0"/>
    <n v="0"/>
    <n v="45"/>
    <n v="27"/>
    <n v="25269"/>
    <n v="25069"/>
    <n v="4847"/>
    <n v="4576"/>
    <n v="26381"/>
    <n v="26178"/>
    <n v="56542"/>
    <n v="2355.9166666666665"/>
    <n v="55850"/>
    <n v="2327.0833333333335"/>
    <n v="4739.3833333333332"/>
    <n v="4783.5166666666664"/>
  </r>
  <r>
    <x v="7"/>
    <s v="University of Maryland Eastern Shore "/>
    <m/>
    <n v="163338"/>
    <x v="3"/>
    <s v="sem"/>
    <s v="sem"/>
    <n v="1412.5"/>
    <n v="1432.5"/>
    <n v="52785"/>
    <n v="50953"/>
    <n v="4186"/>
    <n v="4366"/>
    <n v="55688"/>
    <n v="53763"/>
    <n v="114071.5"/>
    <n v="3802.3833333333332"/>
    <n v="110514.5"/>
    <n v="3683.8166666666666"/>
    <m/>
    <m/>
    <n v="0"/>
    <n v="0"/>
    <m/>
    <m/>
    <m/>
    <m/>
    <m/>
    <m/>
    <m/>
    <m/>
    <n v="0"/>
    <n v="0"/>
    <n v="0"/>
    <n v="0"/>
    <m/>
    <m/>
    <n v="0"/>
    <n v="0"/>
    <n v="292"/>
    <n v="341"/>
    <n v="5190"/>
    <n v="6952"/>
    <n v="1261"/>
    <n v="1334"/>
    <n v="7285.5"/>
    <n v="7648.5"/>
    <n v="14028.5"/>
    <n v="584.52083333333337"/>
    <n v="16275.5"/>
    <n v="678.14583333333337"/>
    <n v="4386.9041666666662"/>
    <n v="4361.9624999999996"/>
  </r>
  <r>
    <x v="7"/>
    <s v="Coppin State University"/>
    <s v="Reclassified: met the criteria for Four-Year 5 in 2010-11, 2011-12, and 2012-13."/>
    <n v="162283"/>
    <x v="4"/>
    <s v="sem"/>
    <s v="sem"/>
    <n v="858"/>
    <n v="431"/>
    <n v="41129"/>
    <n v="38483"/>
    <n v="6593"/>
    <n v="5144"/>
    <n v="42997"/>
    <n v="41635"/>
    <n v="91577"/>
    <n v="3052.5666666666666"/>
    <n v="85693"/>
    <n v="2856.4333333333334"/>
    <m/>
    <m/>
    <n v="0"/>
    <n v="0"/>
    <m/>
    <m/>
    <m/>
    <m/>
    <m/>
    <m/>
    <m/>
    <m/>
    <n v="0"/>
    <n v="0"/>
    <n v="0"/>
    <n v="0"/>
    <m/>
    <m/>
    <n v="0"/>
    <n v="0"/>
    <n v="150"/>
    <n v="56"/>
    <n v="3230"/>
    <n v="3169"/>
    <n v="577"/>
    <n v="335"/>
    <n v="2909"/>
    <n v="2705"/>
    <n v="6866"/>
    <n v="286.08333333333331"/>
    <n v="6265"/>
    <n v="261.04166666666669"/>
    <n v="3338.65"/>
    <n v="3117.4749999999999"/>
  </r>
  <r>
    <x v="7"/>
    <s v="Saint Mary's College of Maryland"/>
    <m/>
    <n v="163912"/>
    <x v="5"/>
    <s v="sem"/>
    <s v="sem"/>
    <n v="0"/>
    <m/>
    <n v="30983.5"/>
    <n v="31178"/>
    <n v="1368"/>
    <n v="538"/>
    <n v="32801"/>
    <n v="31951"/>
    <n v="65152.5"/>
    <n v="2171.75"/>
    <n v="63667"/>
    <n v="2122.2333333333331"/>
    <m/>
    <m/>
    <n v="0"/>
    <n v="0"/>
    <m/>
    <m/>
    <m/>
    <m/>
    <m/>
    <m/>
    <m/>
    <m/>
    <n v="0"/>
    <n v="0"/>
    <n v="0"/>
    <n v="0"/>
    <m/>
    <m/>
    <n v="0"/>
    <n v="0"/>
    <n v="0"/>
    <m/>
    <n v="640"/>
    <n v="545"/>
    <n v="433"/>
    <n v="85"/>
    <n v="504"/>
    <n v="503"/>
    <n v="1577"/>
    <n v="65.708333333333329"/>
    <n v="1133"/>
    <n v="47.208333333333336"/>
    <n v="2237.4583333333335"/>
    <n v="2169.4416666666666"/>
  </r>
  <r>
    <x v="7"/>
    <s v="Anne Arundel Community College "/>
    <m/>
    <n v="161767"/>
    <x v="6"/>
    <s v="sem"/>
    <s v="sem"/>
    <n v="3846"/>
    <n v="4135"/>
    <n v="139707"/>
    <n v="137168.5"/>
    <n v="35448"/>
    <n v="34122.5"/>
    <n v="152723"/>
    <n v="148857"/>
    <n v="331724"/>
    <n v="11057.466666666667"/>
    <n v="324283"/>
    <n v="10809.433333333332"/>
    <m/>
    <m/>
    <n v="0"/>
    <n v="0"/>
    <m/>
    <m/>
    <m/>
    <m/>
    <m/>
    <m/>
    <m/>
    <m/>
    <n v="0"/>
    <n v="0"/>
    <n v="0"/>
    <n v="0"/>
    <m/>
    <m/>
    <n v="0"/>
    <n v="0"/>
    <m/>
    <m/>
    <m/>
    <m/>
    <m/>
    <m/>
    <m/>
    <m/>
    <n v="0"/>
    <n v="0"/>
    <n v="0"/>
    <n v="0"/>
    <n v="11057.466666666667"/>
    <n v="10809.433333333332"/>
  </r>
  <r>
    <x v="7"/>
    <s v="College of Southern Maryland"/>
    <m/>
    <n v="162122"/>
    <x v="6"/>
    <s v="sem"/>
    <s v="sem"/>
    <n v="0"/>
    <m/>
    <n v="72079"/>
    <n v="74859"/>
    <n v="16515"/>
    <n v="16741"/>
    <n v="81013"/>
    <n v="80518"/>
    <n v="169607"/>
    <n v="5653.5666666666666"/>
    <n v="172118"/>
    <n v="5737.2666666666664"/>
    <m/>
    <m/>
    <n v="0"/>
    <n v="0"/>
    <m/>
    <m/>
    <m/>
    <m/>
    <m/>
    <m/>
    <m/>
    <m/>
    <n v="0"/>
    <n v="0"/>
    <n v="0"/>
    <n v="0"/>
    <m/>
    <m/>
    <n v="0"/>
    <n v="0"/>
    <m/>
    <m/>
    <m/>
    <m/>
    <m/>
    <m/>
    <m/>
    <m/>
    <n v="0"/>
    <n v="0"/>
    <n v="0"/>
    <n v="0"/>
    <n v="5653.5666666666666"/>
    <n v="5737.2666666666664"/>
  </r>
  <r>
    <x v="7"/>
    <s v="Community College of Baltimore County (all campuses)"/>
    <m/>
    <n v="434672"/>
    <x v="6"/>
    <s v="sem"/>
    <s v="sem"/>
    <n v="9757"/>
    <n v="11107"/>
    <n v="200719.5"/>
    <n v="198161"/>
    <n v="44985.5"/>
    <n v="40957.5"/>
    <n v="227945.5"/>
    <n v="217863.5"/>
    <n v="483407.5"/>
    <n v="16113.583333333334"/>
    <n v="468089"/>
    <n v="15602.966666666667"/>
    <m/>
    <m/>
    <n v="0"/>
    <n v="0"/>
    <m/>
    <m/>
    <m/>
    <m/>
    <m/>
    <m/>
    <m/>
    <m/>
    <n v="0"/>
    <n v="0"/>
    <n v="0"/>
    <n v="0"/>
    <m/>
    <m/>
    <n v="0"/>
    <n v="0"/>
    <m/>
    <m/>
    <m/>
    <m/>
    <m/>
    <m/>
    <m/>
    <m/>
    <n v="0"/>
    <n v="0"/>
    <n v="0"/>
    <n v="0"/>
    <n v="16113.583333333334"/>
    <n v="15602.966666666667"/>
  </r>
  <r>
    <x v="7"/>
    <s v="Howard Community College "/>
    <m/>
    <n v="162779"/>
    <x v="6"/>
    <s v="sem"/>
    <s v="sem"/>
    <n v="6247"/>
    <n v="6540"/>
    <n v="77777"/>
    <n v="79799"/>
    <n v="18888"/>
    <n v="19276"/>
    <n v="88315"/>
    <n v="88831"/>
    <n v="191227"/>
    <n v="6374.2333333333336"/>
    <n v="194446"/>
    <n v="6481.5333333333338"/>
    <m/>
    <m/>
    <n v="0"/>
    <n v="0"/>
    <m/>
    <m/>
    <m/>
    <m/>
    <m/>
    <m/>
    <m/>
    <m/>
    <n v="0"/>
    <n v="0"/>
    <n v="0"/>
    <n v="0"/>
    <m/>
    <m/>
    <n v="0"/>
    <n v="0"/>
    <m/>
    <m/>
    <m/>
    <m/>
    <m/>
    <m/>
    <m/>
    <m/>
    <n v="0"/>
    <n v="0"/>
    <n v="0"/>
    <n v="0"/>
    <n v="6374.2333333333336"/>
    <n v="6481.5333333333338"/>
  </r>
  <r>
    <x v="7"/>
    <s v="Montgomery College (all campuses)"/>
    <m/>
    <n v="163426"/>
    <x v="6"/>
    <s v="sem"/>
    <s v="sem"/>
    <n v="4081"/>
    <n v="4482"/>
    <n v="224555"/>
    <n v="302180.2"/>
    <n v="63899"/>
    <n v="163984.6"/>
    <n v="246464"/>
    <n v="315400.7"/>
    <n v="538999"/>
    <n v="17966.633333333335"/>
    <n v="786047.5"/>
    <n v="26201.583333333332"/>
    <m/>
    <m/>
    <n v="0"/>
    <n v="0"/>
    <m/>
    <m/>
    <m/>
    <m/>
    <m/>
    <m/>
    <m/>
    <m/>
    <n v="0"/>
    <n v="0"/>
    <n v="0"/>
    <n v="0"/>
    <m/>
    <m/>
    <n v="0"/>
    <n v="0"/>
    <m/>
    <m/>
    <m/>
    <m/>
    <m/>
    <m/>
    <m/>
    <m/>
    <n v="0"/>
    <n v="0"/>
    <n v="0"/>
    <n v="0"/>
    <n v="17966.633333333335"/>
    <n v="26201.583333333332"/>
  </r>
  <r>
    <x v="7"/>
    <s v="Prince George's Community College "/>
    <m/>
    <n v="163657"/>
    <x v="6"/>
    <s v="sem"/>
    <s v="sem"/>
    <n v="0"/>
    <m/>
    <n v="164335"/>
    <n v="165584"/>
    <n v="59441"/>
    <n v="52135"/>
    <n v="167408"/>
    <n v="161132"/>
    <n v="391184"/>
    <n v="13039.466666666667"/>
    <n v="378851"/>
    <n v="12628.366666666667"/>
    <m/>
    <m/>
    <n v="0"/>
    <n v="0"/>
    <m/>
    <m/>
    <m/>
    <m/>
    <m/>
    <m/>
    <m/>
    <m/>
    <n v="0"/>
    <n v="0"/>
    <n v="0"/>
    <n v="0"/>
    <m/>
    <m/>
    <n v="0"/>
    <n v="0"/>
    <m/>
    <m/>
    <m/>
    <m/>
    <m/>
    <m/>
    <m/>
    <m/>
    <n v="0"/>
    <n v="0"/>
    <n v="0"/>
    <n v="0"/>
    <n v="13039.466666666667"/>
    <n v="12628.366666666667"/>
  </r>
  <r>
    <x v="7"/>
    <s v="Allegany College of Maryland"/>
    <m/>
    <n v="161688"/>
    <x v="7"/>
    <s v="sem"/>
    <s v="sem"/>
    <n v="0"/>
    <m/>
    <n v="36965"/>
    <n v="34173"/>
    <n v="5220"/>
    <n v="5196"/>
    <n v="37813"/>
    <n v="36258"/>
    <n v="79998"/>
    <n v="2666.6"/>
    <n v="75627"/>
    <n v="2520.9"/>
    <m/>
    <m/>
    <n v="0"/>
    <n v="0"/>
    <m/>
    <m/>
    <m/>
    <m/>
    <m/>
    <m/>
    <m/>
    <m/>
    <n v="0"/>
    <n v="0"/>
    <n v="0"/>
    <n v="0"/>
    <m/>
    <m/>
    <n v="0"/>
    <n v="0"/>
    <m/>
    <m/>
    <m/>
    <m/>
    <m/>
    <m/>
    <m/>
    <m/>
    <n v="0"/>
    <n v="0"/>
    <n v="0"/>
    <n v="0"/>
    <n v="2666.6"/>
    <n v="2520.9"/>
  </r>
  <r>
    <x v="7"/>
    <s v="Baltimore City Community College"/>
    <m/>
    <n v="161864"/>
    <x v="7"/>
    <s v="sem"/>
    <s v="sem"/>
    <n v="2197"/>
    <n v="1619"/>
    <n v="67223"/>
    <n v="44922"/>
    <n v="13362"/>
    <n v="8584"/>
    <n v="68377"/>
    <n v="50293"/>
    <n v="151159"/>
    <n v="5038.6333333333332"/>
    <n v="105418"/>
    <n v="3513.9333333333334"/>
    <m/>
    <m/>
    <n v="0"/>
    <n v="0"/>
    <m/>
    <m/>
    <m/>
    <m/>
    <m/>
    <m/>
    <m/>
    <m/>
    <n v="0"/>
    <n v="0"/>
    <n v="0"/>
    <n v="0"/>
    <m/>
    <m/>
    <n v="0"/>
    <n v="0"/>
    <m/>
    <m/>
    <m/>
    <m/>
    <m/>
    <m/>
    <m/>
    <m/>
    <n v="0"/>
    <n v="0"/>
    <n v="0"/>
    <n v="0"/>
    <n v="5038.6333333333332"/>
    <n v="3513.9333333333334"/>
  </r>
  <r>
    <x v="7"/>
    <s v="Carroll Community College"/>
    <m/>
    <n v="405872"/>
    <x v="7"/>
    <s v="sem"/>
    <s v="sem"/>
    <n v="1916.5"/>
    <n v="2066.5"/>
    <n v="35060"/>
    <n v="33666"/>
    <n v="6582"/>
    <n v="9631.5"/>
    <n v="38335"/>
    <n v="38552"/>
    <n v="81893.5"/>
    <n v="2729.7833333333333"/>
    <n v="83916"/>
    <n v="2797.2"/>
    <m/>
    <m/>
    <n v="0"/>
    <n v="0"/>
    <m/>
    <m/>
    <m/>
    <m/>
    <m/>
    <m/>
    <m/>
    <m/>
    <n v="0"/>
    <n v="0"/>
    <n v="0"/>
    <n v="0"/>
    <m/>
    <m/>
    <n v="0"/>
    <n v="0"/>
    <m/>
    <m/>
    <m/>
    <m/>
    <m/>
    <m/>
    <m/>
    <m/>
    <n v="0"/>
    <n v="0"/>
    <n v="0"/>
    <n v="0"/>
    <n v="2729.7833333333333"/>
    <n v="2797.2"/>
  </r>
  <r>
    <x v="7"/>
    <s v="Frederick Community College "/>
    <m/>
    <n v="162557"/>
    <x v="7"/>
    <s v="sem"/>
    <s v="sem"/>
    <n v="2549"/>
    <n v="1892"/>
    <n v="53146"/>
    <n v="52773"/>
    <n v="12954"/>
    <n v="11702"/>
    <n v="55561"/>
    <n v="54083"/>
    <n v="124210"/>
    <n v="4140.333333333333"/>
    <n v="120450"/>
    <n v="4015"/>
    <m/>
    <m/>
    <n v="0"/>
    <n v="0"/>
    <m/>
    <m/>
    <m/>
    <m/>
    <m/>
    <m/>
    <m/>
    <m/>
    <n v="0"/>
    <n v="0"/>
    <n v="0"/>
    <n v="0"/>
    <m/>
    <m/>
    <n v="0"/>
    <n v="0"/>
    <m/>
    <m/>
    <m/>
    <m/>
    <m/>
    <m/>
    <m/>
    <m/>
    <n v="0"/>
    <n v="0"/>
    <n v="0"/>
    <n v="0"/>
    <n v="4140.333333333333"/>
    <n v="4015"/>
  </r>
  <r>
    <x v="7"/>
    <s v="Hagerstown Community College "/>
    <m/>
    <n v="162690"/>
    <x v="7"/>
    <s v="sem"/>
    <s v="sem"/>
    <n v="0"/>
    <m/>
    <n v="39049"/>
    <n v="40067"/>
    <n v="12662"/>
    <n v="12217"/>
    <n v="43297"/>
    <n v="43516"/>
    <n v="95008"/>
    <n v="3166.9333333333334"/>
    <n v="95800"/>
    <n v="3193.3333333333335"/>
    <m/>
    <m/>
    <n v="0"/>
    <n v="0"/>
    <m/>
    <m/>
    <m/>
    <m/>
    <m/>
    <m/>
    <m/>
    <m/>
    <n v="0"/>
    <n v="0"/>
    <n v="0"/>
    <n v="0"/>
    <m/>
    <m/>
    <n v="0"/>
    <n v="0"/>
    <m/>
    <m/>
    <m/>
    <m/>
    <m/>
    <m/>
    <m/>
    <m/>
    <n v="0"/>
    <n v="0"/>
    <n v="0"/>
    <n v="0"/>
    <n v="3166.9333333333334"/>
    <n v="3193.3333333333335"/>
  </r>
  <r>
    <x v="7"/>
    <s v="Harford Community College "/>
    <m/>
    <n v="162706"/>
    <x v="7"/>
    <s v="sem"/>
    <s v="sem"/>
    <n v="2192"/>
    <n v="2342"/>
    <n v="57089.5"/>
    <n v="56942"/>
    <n v="11772"/>
    <n v="12123"/>
    <n v="63740.5"/>
    <n v="64055.5"/>
    <n v="134794"/>
    <n v="4493.1333333333332"/>
    <n v="135462.5"/>
    <n v="4515.416666666667"/>
    <m/>
    <m/>
    <n v="0"/>
    <n v="0"/>
    <m/>
    <m/>
    <m/>
    <m/>
    <m/>
    <m/>
    <m/>
    <m/>
    <n v="0"/>
    <n v="0"/>
    <n v="0"/>
    <n v="0"/>
    <m/>
    <m/>
    <n v="0"/>
    <n v="0"/>
    <m/>
    <m/>
    <m/>
    <m/>
    <m/>
    <m/>
    <m/>
    <m/>
    <n v="0"/>
    <n v="0"/>
    <n v="0"/>
    <n v="0"/>
    <n v="4493.1333333333332"/>
    <n v="4515.416666666667"/>
  </r>
  <r>
    <x v="7"/>
    <s v="Wor-Wic Community College "/>
    <m/>
    <n v="164313"/>
    <x v="7"/>
    <s v="sem"/>
    <s v="sem"/>
    <n v="0"/>
    <m/>
    <n v="32278"/>
    <n v="31440"/>
    <n v="8106"/>
    <n v="6593"/>
    <n v="36516"/>
    <n v="33457.5"/>
    <n v="76900"/>
    <n v="2563.3333333333335"/>
    <n v="71490.5"/>
    <n v="2383.0166666666669"/>
    <m/>
    <m/>
    <n v="0"/>
    <n v="0"/>
    <m/>
    <m/>
    <m/>
    <m/>
    <m/>
    <m/>
    <m/>
    <m/>
    <n v="0"/>
    <n v="0"/>
    <n v="0"/>
    <n v="0"/>
    <m/>
    <m/>
    <n v="0"/>
    <n v="0"/>
    <m/>
    <m/>
    <m/>
    <m/>
    <m/>
    <m/>
    <m/>
    <m/>
    <n v="0"/>
    <n v="0"/>
    <n v="0"/>
    <n v="0"/>
    <n v="2563.3333333333335"/>
    <n v="2383.0166666666669"/>
  </r>
  <r>
    <x v="7"/>
    <s v="Cecil Community College "/>
    <m/>
    <n v="162104"/>
    <x v="8"/>
    <s v="sem"/>
    <s v="sem"/>
    <n v="0"/>
    <m/>
    <n v="21166"/>
    <n v="21772"/>
    <n v="3584"/>
    <n v="3982"/>
    <n v="24301"/>
    <n v="25100"/>
    <n v="49051"/>
    <n v="1635.0333333333333"/>
    <n v="50854"/>
    <n v="1695.1333333333334"/>
    <m/>
    <m/>
    <n v="0"/>
    <n v="0"/>
    <m/>
    <m/>
    <m/>
    <m/>
    <m/>
    <m/>
    <m/>
    <m/>
    <n v="0"/>
    <n v="0"/>
    <n v="0"/>
    <n v="0"/>
    <m/>
    <m/>
    <n v="0"/>
    <n v="0"/>
    <m/>
    <m/>
    <m/>
    <m/>
    <m/>
    <m/>
    <m/>
    <m/>
    <n v="0"/>
    <n v="0"/>
    <n v="0"/>
    <n v="0"/>
    <n v="1635.0333333333333"/>
    <n v="1695.1333333333334"/>
  </r>
  <r>
    <x v="7"/>
    <s v="Chesapeake College "/>
    <m/>
    <n v="162168"/>
    <x v="8"/>
    <s v="sem"/>
    <s v="sem"/>
    <n v="0"/>
    <m/>
    <n v="24227"/>
    <n v="23661"/>
    <n v="2920"/>
    <n v="2911"/>
    <n v="25825"/>
    <n v="23263"/>
    <n v="52972"/>
    <n v="1765.7333333333333"/>
    <n v="49835"/>
    <n v="1661.1666666666667"/>
    <m/>
    <m/>
    <n v="0"/>
    <n v="0"/>
    <m/>
    <m/>
    <m/>
    <m/>
    <m/>
    <m/>
    <m/>
    <m/>
    <n v="0"/>
    <n v="0"/>
    <n v="0"/>
    <n v="0"/>
    <m/>
    <m/>
    <n v="0"/>
    <n v="0"/>
    <m/>
    <m/>
    <m/>
    <m/>
    <m/>
    <m/>
    <m/>
    <m/>
    <n v="0"/>
    <n v="0"/>
    <n v="0"/>
    <n v="0"/>
    <n v="1765.7333333333333"/>
    <n v="1661.1666666666667"/>
  </r>
  <r>
    <x v="7"/>
    <s v="Garrett College "/>
    <m/>
    <n v="162609"/>
    <x v="8"/>
    <s v="sem"/>
    <s v="sem"/>
    <n v="131"/>
    <n v="138"/>
    <n v="10179.25"/>
    <n v="10167"/>
    <n v="594"/>
    <n v="617"/>
    <n v="12941.5"/>
    <n v="10956"/>
    <n v="23845.75"/>
    <n v="794.85833333333335"/>
    <n v="21878"/>
    <n v="729.26666666666665"/>
    <m/>
    <m/>
    <n v="0"/>
    <n v="0"/>
    <m/>
    <m/>
    <m/>
    <m/>
    <m/>
    <m/>
    <m/>
    <m/>
    <n v="0"/>
    <n v="0"/>
    <n v="0"/>
    <n v="0"/>
    <m/>
    <m/>
    <n v="0"/>
    <n v="0"/>
    <m/>
    <m/>
    <m/>
    <m/>
    <m/>
    <m/>
    <m/>
    <m/>
    <n v="0"/>
    <n v="0"/>
    <n v="0"/>
    <n v="0"/>
    <n v="794.85833333333335"/>
    <n v="729.26666666666665"/>
  </r>
  <r>
    <x v="8"/>
    <s v="Mississippi State University"/>
    <m/>
    <n v="176080"/>
    <x v="0"/>
    <s v="sem"/>
    <s v="sem"/>
    <m/>
    <m/>
    <n v="189437"/>
    <n v="196347"/>
    <n v="38934"/>
    <n v="36323"/>
    <n v="213629"/>
    <n v="216576"/>
    <n v="442000"/>
    <n v="14733.333333333334"/>
    <n v="449246"/>
    <n v="14974.866666666667"/>
    <m/>
    <m/>
    <n v="0"/>
    <n v="0"/>
    <m/>
    <m/>
    <m/>
    <m/>
    <m/>
    <m/>
    <m/>
    <m/>
    <n v="0"/>
    <n v="0"/>
    <n v="0"/>
    <n v="0"/>
    <m/>
    <m/>
    <n v="0"/>
    <n v="0"/>
    <m/>
    <m/>
    <n v="25491"/>
    <n v="24919"/>
    <n v="13236"/>
    <n v="12620"/>
    <n v="25947"/>
    <n v="24917"/>
    <n v="64674"/>
    <n v="2694.75"/>
    <n v="62456"/>
    <n v="2602.3333333333335"/>
    <n v="17428.083333333336"/>
    <n v="17577.2"/>
  </r>
  <r>
    <x v="8"/>
    <s v="University of Southern Mississippi"/>
    <s v="Met the criteria for Four-Year 2 in 2012-13."/>
    <n v="176372"/>
    <x v="0"/>
    <s v="sem"/>
    <s v="sem"/>
    <m/>
    <m/>
    <n v="147446"/>
    <n v="150178"/>
    <n v="33772"/>
    <n v="30038"/>
    <n v="167105"/>
    <n v="170608"/>
    <n v="348323"/>
    <n v="11610.766666666666"/>
    <n v="350824"/>
    <n v="11694.133333333333"/>
    <m/>
    <m/>
    <n v="0"/>
    <n v="0"/>
    <m/>
    <m/>
    <m/>
    <m/>
    <m/>
    <m/>
    <m/>
    <m/>
    <n v="0"/>
    <n v="0"/>
    <n v="0"/>
    <n v="0"/>
    <m/>
    <m/>
    <n v="0"/>
    <n v="0"/>
    <m/>
    <m/>
    <n v="22878"/>
    <n v="21686"/>
    <n v="12659"/>
    <n v="11229"/>
    <n v="23037"/>
    <n v="21913"/>
    <n v="58574"/>
    <n v="2440.5833333333335"/>
    <n v="54828"/>
    <n v="2284.5"/>
    <n v="14051.35"/>
    <n v="13978.633333333333"/>
  </r>
  <r>
    <x v="8"/>
    <s v="Jackson State University "/>
    <m/>
    <n v="175856"/>
    <x v="1"/>
    <s v="sem"/>
    <s v="sem"/>
    <m/>
    <m/>
    <n v="72271.5"/>
    <n v="75959.5"/>
    <n v="20164"/>
    <n v="13757"/>
    <n v="78970"/>
    <n v="75741"/>
    <n v="171405.5"/>
    <n v="5713.5166666666664"/>
    <n v="165457.5"/>
    <n v="5515.25"/>
    <m/>
    <m/>
    <n v="0"/>
    <n v="0"/>
    <m/>
    <m/>
    <m/>
    <m/>
    <m/>
    <m/>
    <m/>
    <m/>
    <n v="0"/>
    <n v="0"/>
    <n v="0"/>
    <n v="0"/>
    <m/>
    <m/>
    <n v="0"/>
    <n v="0"/>
    <m/>
    <m/>
    <n v="13962"/>
    <n v="13819.5"/>
    <n v="6313"/>
    <n v="5530.5"/>
    <n v="13886"/>
    <n v="14254"/>
    <n v="34161"/>
    <n v="1423.375"/>
    <n v="33604"/>
    <n v="1400.1666666666667"/>
    <n v="7136.8916666666664"/>
    <n v="6915.416666666667"/>
  </r>
  <r>
    <x v="8"/>
    <s v="University of Mississippi"/>
    <m/>
    <n v="176017"/>
    <x v="1"/>
    <s v="sem"/>
    <s v="sem"/>
    <m/>
    <m/>
    <n v="188344"/>
    <n v="202880"/>
    <n v="47586"/>
    <n v="43436"/>
    <n v="206970"/>
    <n v="216740"/>
    <n v="442900"/>
    <n v="14763.333333333334"/>
    <n v="463056"/>
    <n v="15435.2"/>
    <m/>
    <m/>
    <n v="0"/>
    <n v="0"/>
    <m/>
    <m/>
    <m/>
    <m/>
    <m/>
    <m/>
    <m/>
    <m/>
    <n v="0"/>
    <n v="0"/>
    <n v="0"/>
    <n v="0"/>
    <m/>
    <m/>
    <n v="0"/>
    <n v="0"/>
    <m/>
    <m/>
    <n v="24242"/>
    <n v="24706"/>
    <n v="9101"/>
    <n v="9335"/>
    <n v="25424"/>
    <n v="24013"/>
    <n v="58767"/>
    <n v="2448.625"/>
    <n v="58054"/>
    <n v="2418.9166666666665"/>
    <n v="17211.958333333336"/>
    <n v="17854.116666666669"/>
  </r>
  <r>
    <x v="8"/>
    <s v="Alcorn State University"/>
    <m/>
    <n v="175342"/>
    <x v="3"/>
    <s v="sem"/>
    <s v="sem"/>
    <m/>
    <m/>
    <n v="38675"/>
    <n v="39157"/>
    <n v="12594"/>
    <n v="8426"/>
    <n v="43097"/>
    <n v="42493"/>
    <n v="94366"/>
    <n v="3145.5333333333333"/>
    <n v="90076"/>
    <n v="3002.5333333333333"/>
    <m/>
    <m/>
    <n v="0"/>
    <n v="0"/>
    <m/>
    <m/>
    <m/>
    <m/>
    <m/>
    <m/>
    <m/>
    <m/>
    <n v="0"/>
    <n v="0"/>
    <n v="0"/>
    <n v="0"/>
    <m/>
    <m/>
    <n v="0"/>
    <n v="0"/>
    <m/>
    <m/>
    <n v="4948"/>
    <n v="4792"/>
    <n v="3011"/>
    <n v="1993"/>
    <n v="4928"/>
    <n v="5133"/>
    <n v="12887"/>
    <n v="536.95833333333337"/>
    <n v="11918"/>
    <n v="496.58333333333331"/>
    <n v="3682.4916666666668"/>
    <n v="3499.1166666666668"/>
  </r>
  <r>
    <x v="8"/>
    <s v="Delta State University"/>
    <m/>
    <n v="175616"/>
    <x v="3"/>
    <s v="sem"/>
    <s v="sem"/>
    <m/>
    <m/>
    <n v="33006"/>
    <n v="32117"/>
    <n v="6548"/>
    <n v="5632"/>
    <n v="35560"/>
    <n v="33378"/>
    <n v="75114"/>
    <n v="2503.8000000000002"/>
    <n v="71127"/>
    <n v="2370.9"/>
    <m/>
    <m/>
    <n v="0"/>
    <n v="0"/>
    <m/>
    <m/>
    <m/>
    <m/>
    <m/>
    <m/>
    <m/>
    <m/>
    <n v="0"/>
    <n v="0"/>
    <n v="0"/>
    <n v="0"/>
    <m/>
    <m/>
    <n v="0"/>
    <n v="0"/>
    <m/>
    <m/>
    <n v="5602"/>
    <n v="5212"/>
    <n v="4045"/>
    <n v="8143"/>
    <n v="13204"/>
    <n v="15237"/>
    <n v="22851"/>
    <n v="952.125"/>
    <n v="28592"/>
    <n v="1191.3333333333333"/>
    <n v="3455.9250000000002"/>
    <n v="3562.2333333333336"/>
  </r>
  <r>
    <x v="8"/>
    <s v="Mississippi Valley State University"/>
    <m/>
    <n v="176044"/>
    <x v="3"/>
    <s v="sem"/>
    <s v="sem"/>
    <m/>
    <m/>
    <n v="26801"/>
    <n v="25107"/>
    <n v="8986"/>
    <n v="5353"/>
    <n v="26495"/>
    <n v="25041"/>
    <n v="62282"/>
    <n v="2076.0666666666666"/>
    <n v="55501"/>
    <n v="1850.0333333333333"/>
    <m/>
    <m/>
    <n v="0"/>
    <n v="0"/>
    <m/>
    <m/>
    <m/>
    <m/>
    <m/>
    <m/>
    <m/>
    <m/>
    <n v="0"/>
    <n v="0"/>
    <n v="0"/>
    <n v="0"/>
    <m/>
    <m/>
    <n v="0"/>
    <n v="0"/>
    <m/>
    <m/>
    <n v="2846"/>
    <n v="2487"/>
    <n v="831"/>
    <n v="327"/>
    <n v="2584"/>
    <n v="2121"/>
    <n v="6261"/>
    <n v="260.875"/>
    <n v="4935"/>
    <n v="205.625"/>
    <n v="2336.9416666666666"/>
    <n v="2055.6583333333333"/>
  </r>
  <r>
    <x v="8"/>
    <s v="Mississippi University for Women"/>
    <m/>
    <n v="176035"/>
    <x v="4"/>
    <s v="sem"/>
    <s v="sem"/>
    <m/>
    <m/>
    <n v="27625"/>
    <n v="28031"/>
    <n v="10363"/>
    <n v="9827"/>
    <n v="29636"/>
    <n v="30461"/>
    <n v="67624"/>
    <n v="2254.1333333333332"/>
    <n v="68319"/>
    <n v="2277.3000000000002"/>
    <m/>
    <m/>
    <n v="0"/>
    <n v="0"/>
    <m/>
    <m/>
    <m/>
    <m/>
    <m/>
    <m/>
    <m/>
    <m/>
    <n v="0"/>
    <n v="0"/>
    <n v="0"/>
    <n v="0"/>
    <m/>
    <m/>
    <n v="0"/>
    <n v="0"/>
    <m/>
    <m/>
    <n v="1434"/>
    <n v="1462"/>
    <n v="1316"/>
    <n v="1155"/>
    <n v="1510"/>
    <n v="1277"/>
    <n v="4260"/>
    <n v="177.5"/>
    <n v="3894"/>
    <n v="162.25"/>
    <n v="2431.6333333333332"/>
    <n v="2439.5500000000002"/>
  </r>
  <r>
    <x v="8"/>
    <s v="Hinds Community College "/>
    <m/>
    <n v="175786"/>
    <x v="6"/>
    <s v="sem"/>
    <s v="sem"/>
    <m/>
    <m/>
    <n v="141793"/>
    <n v="129154"/>
    <n v="43282"/>
    <n v="24981"/>
    <n v="153821"/>
    <n v="143145"/>
    <n v="338896"/>
    <n v="11296.533333333333"/>
    <n v="297280"/>
    <n v="9909.3333333333339"/>
    <n v="3123"/>
    <n v="6408"/>
    <n v="338896"/>
    <n v="297280"/>
    <m/>
    <m/>
    <m/>
    <m/>
    <m/>
    <m/>
    <m/>
    <m/>
    <n v="0"/>
    <n v="0"/>
    <n v="0"/>
    <n v="0"/>
    <m/>
    <m/>
    <n v="0"/>
    <n v="0"/>
    <m/>
    <m/>
    <m/>
    <m/>
    <m/>
    <m/>
    <m/>
    <m/>
    <n v="0"/>
    <n v="0"/>
    <n v="0"/>
    <n v="0"/>
    <n v="11296.533333333333"/>
    <n v="9909.3333333333339"/>
  </r>
  <r>
    <x v="8"/>
    <s v="Itawamba Community College "/>
    <m/>
    <n v="175829"/>
    <x v="6"/>
    <s v="sem"/>
    <s v="sem"/>
    <m/>
    <m/>
    <n v="91528"/>
    <n v="77365"/>
    <n v="21793"/>
    <n v="10862"/>
    <n v="90765"/>
    <n v="78218"/>
    <n v="204086"/>
    <n v="6802.8666666666668"/>
    <n v="166445"/>
    <n v="5548.166666666667"/>
    <n v="1042"/>
    <n v="1187"/>
    <n v="204086"/>
    <n v="166445"/>
    <m/>
    <m/>
    <m/>
    <m/>
    <m/>
    <m/>
    <m/>
    <m/>
    <n v="0"/>
    <n v="0"/>
    <n v="0"/>
    <n v="0"/>
    <m/>
    <m/>
    <n v="0"/>
    <n v="0"/>
    <m/>
    <m/>
    <m/>
    <m/>
    <m/>
    <m/>
    <m/>
    <m/>
    <n v="0"/>
    <n v="0"/>
    <n v="0"/>
    <n v="0"/>
    <n v="6802.8666666666668"/>
    <n v="5548.166666666667"/>
  </r>
  <r>
    <x v="8"/>
    <s v="Mississippi Gulf Coast Community College "/>
    <m/>
    <n v="176071"/>
    <x v="6"/>
    <s v="sem"/>
    <s v="sem"/>
    <n v="525"/>
    <n v="231"/>
    <n v="108752"/>
    <n v="109179"/>
    <n v="26834"/>
    <n v="24710"/>
    <n v="118350"/>
    <n v="118537"/>
    <n v="254461"/>
    <n v="8482.0333333333328"/>
    <n v="252657"/>
    <n v="8421.9"/>
    <n v="1594"/>
    <n v="2157"/>
    <n v="254461"/>
    <n v="252657"/>
    <m/>
    <m/>
    <m/>
    <m/>
    <m/>
    <m/>
    <m/>
    <m/>
    <n v="0"/>
    <n v="0"/>
    <n v="0"/>
    <n v="0"/>
    <m/>
    <m/>
    <n v="0"/>
    <n v="0"/>
    <m/>
    <m/>
    <m/>
    <m/>
    <m/>
    <m/>
    <m/>
    <m/>
    <n v="0"/>
    <n v="0"/>
    <n v="0"/>
    <n v="0"/>
    <n v="8482.0333333333328"/>
    <n v="8421.9"/>
  </r>
  <r>
    <x v="8"/>
    <s v="Northwest Mississippi Community College "/>
    <m/>
    <n v="176178"/>
    <x v="6"/>
    <s v="sem"/>
    <s v="sem"/>
    <m/>
    <m/>
    <n v="95084"/>
    <n v="92151"/>
    <n v="22602"/>
    <n v="16932"/>
    <n v="97598"/>
    <n v="96143"/>
    <n v="215284"/>
    <n v="7176.1333333333332"/>
    <n v="205226"/>
    <n v="6840.8666666666668"/>
    <n v="2002"/>
    <n v="1327"/>
    <n v="215284"/>
    <n v="205226"/>
    <m/>
    <m/>
    <m/>
    <m/>
    <m/>
    <m/>
    <m/>
    <m/>
    <n v="0"/>
    <n v="0"/>
    <n v="0"/>
    <n v="0"/>
    <m/>
    <m/>
    <n v="0"/>
    <n v="0"/>
    <m/>
    <m/>
    <m/>
    <m/>
    <m/>
    <m/>
    <m/>
    <m/>
    <n v="0"/>
    <n v="0"/>
    <n v="0"/>
    <n v="0"/>
    <n v="7176.1333333333332"/>
    <n v="6840.8666666666668"/>
  </r>
  <r>
    <x v="8"/>
    <s v="Copiah-Lincoln Community College "/>
    <m/>
    <n v="175573"/>
    <x v="7"/>
    <s v="sem"/>
    <s v="sem"/>
    <m/>
    <m/>
    <n v="42906"/>
    <n v="39502"/>
    <n v="10797"/>
    <n v="6859"/>
    <n v="45936"/>
    <n v="41919"/>
    <n v="99639"/>
    <n v="3321.3"/>
    <n v="88280"/>
    <n v="2942.6666666666665"/>
    <n v="1041"/>
    <n v="420"/>
    <n v="99639"/>
    <n v="88280"/>
    <m/>
    <m/>
    <m/>
    <m/>
    <m/>
    <m/>
    <m/>
    <m/>
    <n v="0"/>
    <n v="0"/>
    <n v="0"/>
    <n v="0"/>
    <m/>
    <m/>
    <n v="0"/>
    <n v="0"/>
    <m/>
    <m/>
    <m/>
    <m/>
    <m/>
    <m/>
    <m/>
    <m/>
    <n v="0"/>
    <n v="0"/>
    <n v="0"/>
    <n v="0"/>
    <n v="3321.3"/>
    <n v="2942.6666666666665"/>
  </r>
  <r>
    <x v="8"/>
    <s v="East Central Community College "/>
    <m/>
    <n v="175643"/>
    <x v="7"/>
    <s v="sem"/>
    <s v="sem"/>
    <m/>
    <m/>
    <n v="30047"/>
    <n v="29552"/>
    <n v="7605"/>
    <n v="6374"/>
    <n v="33007"/>
    <n v="32007"/>
    <n v="70659"/>
    <n v="2355.3000000000002"/>
    <n v="67933"/>
    <n v="2264.4333333333334"/>
    <n v="1053"/>
    <n v="1251"/>
    <n v="70659"/>
    <n v="67933"/>
    <m/>
    <m/>
    <m/>
    <m/>
    <m/>
    <m/>
    <m/>
    <m/>
    <n v="0"/>
    <n v="0"/>
    <n v="0"/>
    <n v="0"/>
    <m/>
    <m/>
    <n v="0"/>
    <n v="0"/>
    <m/>
    <m/>
    <m/>
    <m/>
    <m/>
    <m/>
    <m/>
    <m/>
    <n v="0"/>
    <n v="0"/>
    <n v="0"/>
    <n v="0"/>
    <n v="2355.3000000000002"/>
    <n v="2264.4333333333334"/>
  </r>
  <r>
    <x v="8"/>
    <s v="East Mississippi Community College "/>
    <m/>
    <n v="175652"/>
    <x v="7"/>
    <s v="sem"/>
    <s v="sem"/>
    <m/>
    <m/>
    <n v="54193"/>
    <n v="50856"/>
    <n v="18297"/>
    <n v="13061"/>
    <n v="57188"/>
    <n v="56450"/>
    <n v="129678"/>
    <n v="4322.6000000000004"/>
    <n v="120367"/>
    <n v="4012.2333333333331"/>
    <n v="412"/>
    <n v="1426"/>
    <n v="129678"/>
    <n v="120367"/>
    <m/>
    <m/>
    <m/>
    <m/>
    <m/>
    <m/>
    <m/>
    <m/>
    <n v="0"/>
    <n v="0"/>
    <n v="0"/>
    <n v="0"/>
    <m/>
    <m/>
    <n v="0"/>
    <n v="0"/>
    <m/>
    <m/>
    <m/>
    <m/>
    <m/>
    <m/>
    <m/>
    <m/>
    <n v="0"/>
    <n v="0"/>
    <n v="0"/>
    <n v="0"/>
    <n v="4322.6000000000004"/>
    <n v="4012.2333333333331"/>
  </r>
  <r>
    <x v="8"/>
    <s v="Holmes Community College "/>
    <s v="Met criteria for Two-Year 1 in 2012-13."/>
    <n v="175810"/>
    <x v="7"/>
    <s v="sem"/>
    <s v="sem"/>
    <m/>
    <m/>
    <n v="69544"/>
    <n v="65335"/>
    <n v="21647"/>
    <n v="16641"/>
    <n v="72931"/>
    <n v="74724"/>
    <n v="164122"/>
    <n v="5470.7333333333336"/>
    <n v="156700"/>
    <n v="5223.333333333333"/>
    <n v="1224"/>
    <n v="1619"/>
    <n v="164122"/>
    <n v="156700"/>
    <m/>
    <m/>
    <m/>
    <m/>
    <m/>
    <m/>
    <m/>
    <m/>
    <n v="0"/>
    <n v="0"/>
    <n v="0"/>
    <n v="0"/>
    <m/>
    <m/>
    <n v="0"/>
    <n v="0"/>
    <m/>
    <m/>
    <m/>
    <m/>
    <m/>
    <m/>
    <m/>
    <m/>
    <n v="0"/>
    <n v="0"/>
    <n v="0"/>
    <n v="0"/>
    <n v="5470.7333333333336"/>
    <n v="5223.333333333333"/>
  </r>
  <r>
    <x v="8"/>
    <s v="Jones County Junior College "/>
    <m/>
    <n v="175883"/>
    <x v="7"/>
    <s v="sem"/>
    <s v="sem"/>
    <m/>
    <m/>
    <n v="60439"/>
    <n v="51242"/>
    <n v="16482"/>
    <n v="10469"/>
    <n v="62145"/>
    <n v="56224"/>
    <n v="139066"/>
    <n v="4635.5333333333338"/>
    <n v="117935"/>
    <n v="3931.1666666666665"/>
    <n v="1694"/>
    <n v="1729"/>
    <n v="139066"/>
    <n v="117935"/>
    <m/>
    <m/>
    <m/>
    <m/>
    <m/>
    <m/>
    <m/>
    <m/>
    <n v="0"/>
    <n v="0"/>
    <n v="0"/>
    <n v="0"/>
    <m/>
    <m/>
    <n v="0"/>
    <n v="0"/>
    <m/>
    <m/>
    <m/>
    <m/>
    <m/>
    <m/>
    <m/>
    <m/>
    <n v="0"/>
    <n v="0"/>
    <n v="0"/>
    <n v="0"/>
    <n v="4635.5333333333338"/>
    <n v="3931.1666666666665"/>
  </r>
  <r>
    <x v="8"/>
    <s v="Meridian Community College "/>
    <m/>
    <n v="175935"/>
    <x v="7"/>
    <s v="sem"/>
    <s v="sem"/>
    <m/>
    <m/>
    <n v="43146"/>
    <n v="43057.5"/>
    <n v="9237"/>
    <n v="7573"/>
    <n v="48738.5"/>
    <n v="45047.5"/>
    <n v="101121.5"/>
    <n v="3370.7166666666667"/>
    <n v="95678"/>
    <n v="3189.2666666666669"/>
    <n v="665"/>
    <n v="663"/>
    <n v="101121.5"/>
    <n v="95678"/>
    <m/>
    <m/>
    <m/>
    <m/>
    <m/>
    <m/>
    <m/>
    <m/>
    <n v="0"/>
    <n v="0"/>
    <n v="0"/>
    <n v="0"/>
    <m/>
    <m/>
    <n v="0"/>
    <n v="0"/>
    <m/>
    <m/>
    <m/>
    <m/>
    <m/>
    <m/>
    <m/>
    <m/>
    <n v="0"/>
    <n v="0"/>
    <n v="0"/>
    <n v="0"/>
    <n v="3370.7166666666667"/>
    <n v="3189.2666666666669"/>
  </r>
  <r>
    <x v="8"/>
    <s v="Mississippi Delta Community College "/>
    <m/>
    <n v="176008"/>
    <x v="7"/>
    <s v="sem"/>
    <s v="sem"/>
    <m/>
    <m/>
    <n v="38930"/>
    <n v="38237"/>
    <n v="10269"/>
    <n v="6047"/>
    <n v="39692"/>
    <n v="38367"/>
    <n v="88891"/>
    <n v="2963.0333333333333"/>
    <n v="82651"/>
    <n v="2755.0333333333333"/>
    <n v="617"/>
    <n v="1394"/>
    <n v="88891"/>
    <n v="82651"/>
    <m/>
    <m/>
    <m/>
    <m/>
    <m/>
    <m/>
    <m/>
    <m/>
    <n v="0"/>
    <n v="0"/>
    <n v="0"/>
    <n v="0"/>
    <m/>
    <m/>
    <n v="0"/>
    <n v="0"/>
    <m/>
    <m/>
    <m/>
    <m/>
    <m/>
    <m/>
    <m/>
    <m/>
    <n v="0"/>
    <n v="0"/>
    <n v="0"/>
    <n v="0"/>
    <n v="2963.0333333333333"/>
    <n v="2755.0333333333333"/>
  </r>
  <r>
    <x v="8"/>
    <s v="Northeast Mississippi Community College "/>
    <m/>
    <n v="176169"/>
    <x v="7"/>
    <s v="sem"/>
    <s v="sem"/>
    <m/>
    <m/>
    <n v="43934"/>
    <n v="42980"/>
    <n v="5621"/>
    <n v="4311"/>
    <n v="48678"/>
    <n v="44847"/>
    <n v="98233"/>
    <n v="3274.4333333333334"/>
    <n v="92138"/>
    <n v="3071.2666666666669"/>
    <n v="651"/>
    <n v="954"/>
    <n v="98233"/>
    <n v="92138"/>
    <m/>
    <m/>
    <m/>
    <m/>
    <m/>
    <m/>
    <m/>
    <m/>
    <n v="0"/>
    <n v="0"/>
    <n v="0"/>
    <n v="0"/>
    <m/>
    <m/>
    <n v="0"/>
    <n v="0"/>
    <m/>
    <m/>
    <m/>
    <m/>
    <m/>
    <m/>
    <m/>
    <m/>
    <n v="0"/>
    <n v="0"/>
    <n v="0"/>
    <n v="0"/>
    <n v="3274.4333333333334"/>
    <n v="3071.2666666666669"/>
  </r>
  <r>
    <x v="8"/>
    <s v="Pearl River Community College "/>
    <m/>
    <n v="176239"/>
    <x v="7"/>
    <s v="sem"/>
    <s v="sem"/>
    <m/>
    <m/>
    <n v="56125"/>
    <n v="53088"/>
    <n v="13237"/>
    <n v="9651"/>
    <n v="60546"/>
    <n v="55101"/>
    <n v="129908"/>
    <n v="4330.2666666666664"/>
    <n v="117840"/>
    <n v="3928"/>
    <n v="1182"/>
    <n v="1146"/>
    <n v="129908"/>
    <n v="117840"/>
    <m/>
    <m/>
    <m/>
    <m/>
    <m/>
    <m/>
    <m/>
    <m/>
    <n v="0"/>
    <n v="0"/>
    <n v="0"/>
    <n v="0"/>
    <m/>
    <m/>
    <n v="0"/>
    <n v="0"/>
    <m/>
    <m/>
    <m/>
    <m/>
    <m/>
    <m/>
    <m/>
    <m/>
    <n v="0"/>
    <n v="0"/>
    <n v="0"/>
    <n v="0"/>
    <n v="4330.2666666666664"/>
    <n v="3928"/>
  </r>
  <r>
    <x v="8"/>
    <s v="Coahoma Community College "/>
    <m/>
    <n v="175519"/>
    <x v="8"/>
    <s v="sem"/>
    <s v="sem"/>
    <m/>
    <m/>
    <n v="32587"/>
    <n v="27350"/>
    <n v="4761"/>
    <n v="2318"/>
    <n v="35023"/>
    <n v="27617"/>
    <n v="72371"/>
    <n v="2412.3666666666668"/>
    <n v="57285"/>
    <n v="1909.5"/>
    <n v="747"/>
    <n v="564"/>
    <n v="72371"/>
    <n v="57285"/>
    <m/>
    <m/>
    <m/>
    <m/>
    <m/>
    <m/>
    <m/>
    <m/>
    <n v="0"/>
    <n v="0"/>
    <n v="0"/>
    <n v="0"/>
    <m/>
    <m/>
    <n v="0"/>
    <n v="0"/>
    <m/>
    <m/>
    <m/>
    <m/>
    <m/>
    <m/>
    <m/>
    <m/>
    <n v="0"/>
    <n v="0"/>
    <n v="0"/>
    <n v="0"/>
    <n v="2412.3666666666668"/>
    <n v="1909.5"/>
  </r>
  <r>
    <x v="8"/>
    <s v="Southwest Mississippi Community College"/>
    <m/>
    <n v="176354"/>
    <x v="8"/>
    <s v="sem"/>
    <s v="sem"/>
    <m/>
    <m/>
    <n v="24771"/>
    <n v="26090"/>
    <n v="4306"/>
    <n v="3362"/>
    <n v="28034"/>
    <n v="27629"/>
    <n v="57111"/>
    <n v="1903.7"/>
    <n v="57081"/>
    <n v="1902.7"/>
    <n v="660"/>
    <n v="728"/>
    <n v="57111"/>
    <n v="57081"/>
    <m/>
    <m/>
    <m/>
    <m/>
    <m/>
    <m/>
    <m/>
    <m/>
    <n v="0"/>
    <n v="0"/>
    <n v="0"/>
    <n v="0"/>
    <m/>
    <m/>
    <n v="0"/>
    <n v="0"/>
    <m/>
    <m/>
    <m/>
    <m/>
    <m/>
    <m/>
    <m/>
    <m/>
    <n v="0"/>
    <n v="0"/>
    <n v="0"/>
    <n v="0"/>
    <n v="1903.7"/>
    <n v="1902.7"/>
  </r>
  <r>
    <x v="9"/>
    <s v="North Carolina State University "/>
    <m/>
    <n v="199193"/>
    <x v="0"/>
    <s v="sem"/>
    <m/>
    <m/>
    <m/>
    <n v="323770"/>
    <n v="323964"/>
    <n v="59666"/>
    <n v="57251"/>
    <n v="347252"/>
    <n v="345012"/>
    <n v="730688"/>
    <n v="24356.266666666666"/>
    <n v="726227"/>
    <n v="24207.566666666666"/>
    <n v="0"/>
    <n v="0"/>
    <n v="730688"/>
    <n v="726227"/>
    <m/>
    <m/>
    <m/>
    <m/>
    <m/>
    <m/>
    <m/>
    <m/>
    <n v="0"/>
    <n v="0"/>
    <n v="0"/>
    <n v="0"/>
    <m/>
    <m/>
    <n v="0"/>
    <n v="0"/>
    <m/>
    <m/>
    <n v="62881"/>
    <n v="65636"/>
    <n v="9737"/>
    <n v="9790"/>
    <n v="69109"/>
    <n v="69181"/>
    <n v="141727"/>
    <n v="5905.291666666667"/>
    <n v="144607"/>
    <n v="6025.291666666667"/>
    <n v="30261.558333333334"/>
    <n v="30232.858333333334"/>
  </r>
  <r>
    <x v="9"/>
    <s v="University of North Carolina at Chapel Hill "/>
    <m/>
    <n v="199120"/>
    <x v="0"/>
    <s v="sem"/>
    <m/>
    <m/>
    <m/>
    <n v="231358"/>
    <n v="231719"/>
    <n v="35510"/>
    <n v="33400"/>
    <n v="245180"/>
    <n v="246807"/>
    <n v="512048"/>
    <n v="17068.266666666666"/>
    <n v="511926"/>
    <n v="17064.2"/>
    <n v="8"/>
    <n v="9"/>
    <n v="512048"/>
    <n v="511926"/>
    <m/>
    <m/>
    <m/>
    <m/>
    <m/>
    <m/>
    <m/>
    <m/>
    <n v="0"/>
    <n v="0"/>
    <n v="0"/>
    <n v="0"/>
    <m/>
    <m/>
    <n v="0"/>
    <n v="0"/>
    <m/>
    <m/>
    <n v="82860"/>
    <n v="82666"/>
    <n v="13955"/>
    <n v="12708"/>
    <n v="90454"/>
    <n v="95958"/>
    <n v="187269"/>
    <n v="7802.875"/>
    <n v="191332"/>
    <n v="7972.166666666667"/>
    <n v="24871.141666666666"/>
    <n v="25036.366666666669"/>
  </r>
  <r>
    <x v="9"/>
    <s v="University of North Carolina at Greensboro"/>
    <m/>
    <n v="199148"/>
    <x v="0"/>
    <s v="sem"/>
    <m/>
    <m/>
    <m/>
    <n v="191003"/>
    <n v="178744"/>
    <n v="34548"/>
    <n v="22682"/>
    <n v="195330"/>
    <n v="195598"/>
    <n v="420881"/>
    <n v="14029.366666666667"/>
    <n v="397024"/>
    <n v="13234.133333333333"/>
    <n v="286"/>
    <n v="0"/>
    <n v="420881"/>
    <n v="397024"/>
    <m/>
    <m/>
    <m/>
    <m/>
    <m/>
    <m/>
    <m/>
    <m/>
    <n v="0"/>
    <n v="0"/>
    <n v="0"/>
    <n v="0"/>
    <m/>
    <m/>
    <n v="0"/>
    <n v="0"/>
    <m/>
    <m/>
    <n v="31603"/>
    <n v="31008"/>
    <n v="7592"/>
    <n v="4749"/>
    <n v="32348"/>
    <n v="31337"/>
    <n v="71543"/>
    <n v="2980.9583333333335"/>
    <n v="67094"/>
    <n v="2795.5833333333335"/>
    <n v="17010.325000000001"/>
    <n v="16029.716666666667"/>
  </r>
  <r>
    <x v="9"/>
    <s v="East Carolina University "/>
    <s v="Reclassified: met the criteria for Four-Year 2 in 2010-11, 2011-12, and 2012-13."/>
    <n v="198464"/>
    <x v="1"/>
    <s v="sem"/>
    <m/>
    <m/>
    <m/>
    <n v="261544"/>
    <n v="259153"/>
    <n v="54008"/>
    <n v="33163"/>
    <n v="281788"/>
    <n v="277036"/>
    <n v="597340"/>
    <n v="19911.333333333332"/>
    <n v="569352"/>
    <n v="18978.400000000001"/>
    <n v="402"/>
    <n v="600"/>
    <n v="597340"/>
    <n v="569352"/>
    <m/>
    <m/>
    <m/>
    <m/>
    <m/>
    <m/>
    <m/>
    <m/>
    <n v="0"/>
    <n v="0"/>
    <n v="0"/>
    <n v="0"/>
    <m/>
    <m/>
    <n v="0"/>
    <n v="0"/>
    <m/>
    <m/>
    <n v="40850"/>
    <n v="40980"/>
    <n v="19249"/>
    <n v="12385"/>
    <n v="43627"/>
    <n v="37321"/>
    <n v="103726"/>
    <n v="4321.916666666667"/>
    <n v="90686"/>
    <n v="3778.5833333333335"/>
    <n v="24233.25"/>
    <n v="22756.983333333334"/>
  </r>
  <r>
    <x v="9"/>
    <s v="University of North Carolina at Charlotte"/>
    <s v="Met the criteria for Four-Year 1 in 2012-13."/>
    <n v="199139"/>
    <x v="1"/>
    <s v="sem"/>
    <m/>
    <m/>
    <m/>
    <n v="250878"/>
    <n v="256102"/>
    <n v="44400"/>
    <n v="42295"/>
    <n v="271170"/>
    <n v="284908"/>
    <n v="566448"/>
    <n v="18881.599999999999"/>
    <n v="583305"/>
    <n v="19443.5"/>
    <n v="0"/>
    <n v="0"/>
    <n v="566448"/>
    <n v="583305"/>
    <m/>
    <m/>
    <m/>
    <m/>
    <m/>
    <m/>
    <m/>
    <m/>
    <n v="0"/>
    <n v="0"/>
    <n v="0"/>
    <n v="0"/>
    <m/>
    <m/>
    <n v="0"/>
    <n v="0"/>
    <m/>
    <m/>
    <n v="30091"/>
    <n v="30187"/>
    <n v="9900"/>
    <n v="9789"/>
    <n v="31825"/>
    <n v="32560"/>
    <n v="71816"/>
    <n v="2992.3333333333335"/>
    <n v="72536"/>
    <n v="3022.3333333333335"/>
    <n v="21873.933333333331"/>
    <n v="22465.833333333332"/>
  </r>
  <r>
    <x v="9"/>
    <s v="Appalachian State University "/>
    <m/>
    <n v="197869"/>
    <x v="2"/>
    <s v="sem"/>
    <m/>
    <m/>
    <m/>
    <n v="208091"/>
    <n v="213142"/>
    <n v="32326"/>
    <n v="32298"/>
    <n v="225414"/>
    <n v="229156"/>
    <n v="465831"/>
    <n v="15527.7"/>
    <n v="474596"/>
    <n v="15819.866666666667"/>
    <n v="0"/>
    <n v="0"/>
    <n v="465831"/>
    <n v="474596"/>
    <m/>
    <m/>
    <m/>
    <m/>
    <m/>
    <m/>
    <m/>
    <m/>
    <n v="0"/>
    <n v="0"/>
    <n v="0"/>
    <n v="0"/>
    <m/>
    <m/>
    <n v="0"/>
    <n v="0"/>
    <m/>
    <m/>
    <n v="14734"/>
    <n v="13946"/>
    <n v="7966"/>
    <n v="7312"/>
    <n v="14325"/>
    <n v="14147"/>
    <n v="37025"/>
    <n v="1542.7083333333333"/>
    <n v="35405"/>
    <n v="1475.2083333333333"/>
    <n v="17070.408333333333"/>
    <n v="17295.075000000001"/>
  </r>
  <r>
    <x v="9"/>
    <s v="North Carolina A&amp;T State University"/>
    <m/>
    <n v="199102"/>
    <x v="2"/>
    <s v="sem"/>
    <m/>
    <m/>
    <m/>
    <n v="116034"/>
    <n v="116005"/>
    <n v="27844"/>
    <n v="18704"/>
    <n v="125696"/>
    <n v="122533"/>
    <n v="269574"/>
    <n v="8985.7999999999993"/>
    <n v="257242"/>
    <n v="8574.7333333333336"/>
    <n v="446"/>
    <n v="370"/>
    <n v="269574"/>
    <n v="257242"/>
    <m/>
    <m/>
    <m/>
    <m/>
    <m/>
    <m/>
    <m/>
    <m/>
    <n v="0"/>
    <n v="0"/>
    <n v="0"/>
    <n v="0"/>
    <m/>
    <m/>
    <n v="0"/>
    <n v="0"/>
    <m/>
    <m/>
    <n v="14358"/>
    <n v="14873"/>
    <n v="3601"/>
    <n v="3905"/>
    <n v="14678"/>
    <n v="14548"/>
    <n v="32637"/>
    <n v="1359.875"/>
    <n v="33326"/>
    <n v="1388.5833333333333"/>
    <n v="10345.674999999999"/>
    <n v="9963.3166666666675"/>
  </r>
  <r>
    <x v="9"/>
    <s v="North Carolina Central University "/>
    <m/>
    <n v="199157"/>
    <x v="2"/>
    <s v="sem"/>
    <m/>
    <m/>
    <m/>
    <n v="79755"/>
    <n v="80446"/>
    <n v="27549"/>
    <n v="20406"/>
    <n v="83819"/>
    <n v="87385"/>
    <n v="191123"/>
    <n v="6370.7666666666664"/>
    <n v="188237"/>
    <n v="6274.5666666666666"/>
    <n v="4064"/>
    <n v="4031"/>
    <n v="191123"/>
    <n v="188237"/>
    <m/>
    <m/>
    <m/>
    <m/>
    <m/>
    <m/>
    <m/>
    <m/>
    <n v="0"/>
    <n v="0"/>
    <n v="0"/>
    <n v="0"/>
    <m/>
    <m/>
    <n v="0"/>
    <n v="0"/>
    <m/>
    <m/>
    <n v="18298"/>
    <n v="16569"/>
    <n v="5328"/>
    <n v="4720"/>
    <n v="17830"/>
    <n v="18295"/>
    <n v="41456"/>
    <n v="1727.3333333333333"/>
    <n v="39584"/>
    <n v="1649.3333333333333"/>
    <n v="8098.0999999999995"/>
    <n v="7923.9"/>
  </r>
  <r>
    <x v="9"/>
    <s v="University of North Carolina at Wilmington"/>
    <m/>
    <n v="199218"/>
    <x v="2"/>
    <s v="sem"/>
    <m/>
    <m/>
    <m/>
    <n v="152800"/>
    <n v="155231"/>
    <n v="29802"/>
    <n v="30569"/>
    <n v="167002"/>
    <n v="174508"/>
    <n v="349604"/>
    <n v="11653.466666666667"/>
    <n v="360308"/>
    <n v="12010.266666666666"/>
    <n v="1970"/>
    <n v="2102"/>
    <n v="349604"/>
    <n v="360308"/>
    <m/>
    <m/>
    <m/>
    <m/>
    <m/>
    <m/>
    <m/>
    <m/>
    <n v="0"/>
    <n v="0"/>
    <n v="0"/>
    <n v="0"/>
    <m/>
    <m/>
    <n v="0"/>
    <n v="0"/>
    <m/>
    <m/>
    <n v="8886"/>
    <n v="8473"/>
    <n v="2468"/>
    <n v="2347"/>
    <n v="8879"/>
    <n v="9568"/>
    <n v="20233"/>
    <n v="843.04166666666663"/>
    <n v="20388"/>
    <n v="849.5"/>
    <n v="12496.508333333333"/>
    <n v="12859.766666666666"/>
  </r>
  <r>
    <x v="9"/>
    <s v="Western Carolina University "/>
    <m/>
    <n v="200004"/>
    <x v="2"/>
    <s v="sem"/>
    <m/>
    <m/>
    <m/>
    <n v="96356"/>
    <n v="98306"/>
    <n v="15932"/>
    <n v="14850"/>
    <n v="103553"/>
    <n v="108766"/>
    <n v="215841"/>
    <n v="7194.7"/>
    <n v="221922"/>
    <n v="7397.4"/>
    <n v="0"/>
    <n v="0"/>
    <n v="215841"/>
    <n v="221922"/>
    <m/>
    <m/>
    <m/>
    <m/>
    <m/>
    <m/>
    <m/>
    <m/>
    <n v="0"/>
    <n v="0"/>
    <n v="0"/>
    <n v="0"/>
    <m/>
    <m/>
    <n v="0"/>
    <n v="0"/>
    <m/>
    <m/>
    <n v="12433"/>
    <n v="11963"/>
    <n v="6089"/>
    <n v="5550"/>
    <n v="12691"/>
    <n v="12320"/>
    <n v="31213"/>
    <n v="1300.5416666666667"/>
    <n v="29833"/>
    <n v="1243.0416666666667"/>
    <n v="8495.2416666666668"/>
    <n v="8640.4416666666657"/>
  </r>
  <r>
    <x v="9"/>
    <s v="Fayetteville State University "/>
    <m/>
    <n v="198543"/>
    <x v="3"/>
    <s v="sem"/>
    <m/>
    <m/>
    <m/>
    <n v="61292"/>
    <n v="60826"/>
    <n v="20723"/>
    <n v="19319"/>
    <n v="66367"/>
    <n v="68677"/>
    <n v="148382"/>
    <n v="4946.0666666666666"/>
    <n v="148822"/>
    <n v="4960.7333333333336"/>
    <n v="2856"/>
    <n v="2538"/>
    <n v="148382"/>
    <n v="148822"/>
    <m/>
    <m/>
    <m/>
    <m/>
    <m/>
    <m/>
    <m/>
    <m/>
    <n v="0"/>
    <n v="0"/>
    <n v="0"/>
    <n v="0"/>
    <m/>
    <m/>
    <n v="0"/>
    <n v="0"/>
    <m/>
    <m/>
    <n v="4250"/>
    <n v="4607"/>
    <n v="1711"/>
    <n v="1713"/>
    <n v="4887"/>
    <n v="5052"/>
    <n v="10848"/>
    <n v="452"/>
    <n v="11372"/>
    <n v="473.83333333333331"/>
    <n v="5398.0666666666666"/>
    <n v="5434.5666666666666"/>
  </r>
  <r>
    <x v="9"/>
    <s v="University of North Carolina at Pembroke"/>
    <m/>
    <n v="199281"/>
    <x v="4"/>
    <s v="sem"/>
    <m/>
    <m/>
    <m/>
    <n v="69387"/>
    <n v="64653"/>
    <n v="18862"/>
    <n v="16862"/>
    <n v="70204"/>
    <n v="70795"/>
    <n v="158453"/>
    <n v="5281.7666666666664"/>
    <n v="152310"/>
    <n v="5077"/>
    <n v="0"/>
    <n v="0"/>
    <n v="158453"/>
    <n v="152310"/>
    <m/>
    <m/>
    <m/>
    <m/>
    <m/>
    <m/>
    <m/>
    <m/>
    <n v="0"/>
    <n v="0"/>
    <n v="0"/>
    <n v="0"/>
    <m/>
    <m/>
    <n v="0"/>
    <n v="0"/>
    <m/>
    <m/>
    <n v="4395"/>
    <n v="4368"/>
    <n v="2861"/>
    <n v="2796"/>
    <n v="4418"/>
    <n v="4689"/>
    <n v="11674"/>
    <n v="486.41666666666669"/>
    <n v="11853"/>
    <n v="493.875"/>
    <n v="5768.1833333333334"/>
    <n v="5570.875"/>
  </r>
  <r>
    <x v="9"/>
    <s v="Winston-Salem State University "/>
    <m/>
    <n v="199999"/>
    <x v="4"/>
    <s v="sem"/>
    <m/>
    <m/>
    <m/>
    <n v="73940"/>
    <n v="70916"/>
    <n v="18550"/>
    <n v="13800"/>
    <n v="77974"/>
    <n v="70763"/>
    <n v="170464"/>
    <n v="5682.1333333333332"/>
    <n v="155479"/>
    <n v="5182.6333333333332"/>
    <n v="0"/>
    <n v="0"/>
    <n v="170464"/>
    <n v="155479"/>
    <m/>
    <m/>
    <m/>
    <m/>
    <m/>
    <m/>
    <m/>
    <m/>
    <n v="0"/>
    <n v="0"/>
    <n v="0"/>
    <n v="0"/>
    <m/>
    <m/>
    <n v="0"/>
    <n v="0"/>
    <m/>
    <m/>
    <n v="4711"/>
    <n v="4665"/>
    <n v="2074"/>
    <n v="2195"/>
    <n v="4569"/>
    <n v="4157"/>
    <n v="11354"/>
    <n v="473.08333333333331"/>
    <n v="11017"/>
    <n v="459.04166666666669"/>
    <n v="6155.2166666666662"/>
    <n v="5641.6750000000002"/>
  </r>
  <r>
    <x v="9"/>
    <s v="Elizabeth City State University "/>
    <m/>
    <n v="198507"/>
    <x v="5"/>
    <s v="sem"/>
    <m/>
    <m/>
    <m/>
    <n v="42025"/>
    <n v="37173"/>
    <n v="13220"/>
    <n v="8111"/>
    <n v="40030"/>
    <n v="39528"/>
    <n v="95275"/>
    <n v="3175.8333333333335"/>
    <n v="84812"/>
    <n v="2827.0666666666666"/>
    <n v="0"/>
    <n v="0"/>
    <n v="95275"/>
    <n v="84812"/>
    <m/>
    <m/>
    <m/>
    <m/>
    <m/>
    <m/>
    <m/>
    <m/>
    <n v="0"/>
    <n v="0"/>
    <n v="0"/>
    <n v="0"/>
    <m/>
    <m/>
    <n v="0"/>
    <n v="0"/>
    <m/>
    <m/>
    <n v="478"/>
    <n v="768"/>
    <n v="460"/>
    <n v="637"/>
    <n v="592"/>
    <n v="685"/>
    <n v="1530"/>
    <n v="63.75"/>
    <n v="2090"/>
    <n v="87.083333333333329"/>
    <n v="3239.5833333333335"/>
    <n v="2914.15"/>
  </r>
  <r>
    <x v="9"/>
    <s v="University of North Carolina at Asheville"/>
    <m/>
    <n v="199111"/>
    <x v="5"/>
    <s v="sem"/>
    <m/>
    <m/>
    <m/>
    <n v="46895"/>
    <n v="45490"/>
    <n v="5398"/>
    <n v="5120"/>
    <n v="49074"/>
    <n v="47102"/>
    <n v="101367"/>
    <n v="3378.9"/>
    <n v="97712"/>
    <n v="3257.0666666666666"/>
    <n v="0"/>
    <n v="0"/>
    <n v="101367"/>
    <n v="97712"/>
    <m/>
    <m/>
    <m/>
    <m/>
    <m/>
    <m/>
    <m/>
    <m/>
    <n v="0"/>
    <n v="0"/>
    <n v="0"/>
    <n v="0"/>
    <m/>
    <m/>
    <n v="0"/>
    <n v="0"/>
    <m/>
    <m/>
    <n v="292"/>
    <n v="236"/>
    <n v="11"/>
    <n v="3"/>
    <n v="239"/>
    <n v="252"/>
    <n v="542"/>
    <n v="22.583333333333332"/>
    <n v="491"/>
    <n v="20.458333333333332"/>
    <n v="3401.4833333333336"/>
    <n v="3277.5250000000001"/>
  </r>
  <r>
    <x v="9"/>
    <s v="Asheville-Buncombe Technical Community College"/>
    <m/>
    <n v="197887"/>
    <x v="6"/>
    <s v="sem"/>
    <m/>
    <m/>
    <m/>
    <n v="65541"/>
    <n v="69136"/>
    <n v="20751"/>
    <n v="17198"/>
    <n v="67486"/>
    <n v="70508"/>
    <n v="153778"/>
    <n v="5125.9333333333334"/>
    <n v="156842"/>
    <n v="5228.0666666666666"/>
    <n v="16701"/>
    <n v="12314"/>
    <n v="153778"/>
    <n v="156842"/>
    <m/>
    <m/>
    <n v="314853"/>
    <n v="297168"/>
    <n v="212365"/>
    <n v="216090"/>
    <n v="355627"/>
    <n v="317643"/>
    <n v="882845"/>
    <n v="980.93888888888887"/>
    <n v="830901"/>
    <n v="923.22333333333336"/>
    <m/>
    <m/>
    <n v="0"/>
    <n v="0"/>
    <m/>
    <m/>
    <m/>
    <m/>
    <m/>
    <m/>
    <m/>
    <m/>
    <n v="0"/>
    <n v="0"/>
    <n v="0"/>
    <n v="0"/>
    <n v="6106.8722222222223"/>
    <n v="6151.29"/>
  </r>
  <r>
    <x v="9"/>
    <s v="Cape Fear Community College"/>
    <m/>
    <n v="198154"/>
    <x v="6"/>
    <s v="sem"/>
    <m/>
    <m/>
    <m/>
    <n v="94135"/>
    <n v="91258"/>
    <n v="24750"/>
    <n v="22082"/>
    <n v="97407"/>
    <n v="96721"/>
    <n v="216292"/>
    <n v="7209.7333333333336"/>
    <n v="210061"/>
    <n v="7002.0333333333338"/>
    <n v="6420"/>
    <n v="6511"/>
    <n v="216292"/>
    <n v="210061"/>
    <m/>
    <m/>
    <n v="397401"/>
    <n v="382873"/>
    <n v="201929"/>
    <n v="205771"/>
    <n v="392389"/>
    <n v="427387"/>
    <n v="991719"/>
    <n v="1101.9100000000001"/>
    <n v="1016031"/>
    <n v="1128.9233333333334"/>
    <m/>
    <m/>
    <n v="0"/>
    <n v="0"/>
    <m/>
    <m/>
    <m/>
    <m/>
    <m/>
    <m/>
    <m/>
    <m/>
    <n v="0"/>
    <n v="0"/>
    <n v="0"/>
    <n v="0"/>
    <n v="8311.6433333333334"/>
    <n v="8130.9566666666669"/>
  </r>
  <r>
    <x v="9"/>
    <s v="Central Piedmont Community College "/>
    <m/>
    <n v="198260"/>
    <x v="6"/>
    <s v="sem"/>
    <m/>
    <m/>
    <m/>
    <n v="173001"/>
    <n v="173581"/>
    <n v="52146"/>
    <n v="47577"/>
    <n v="176809"/>
    <n v="176942"/>
    <n v="401956"/>
    <n v="13398.533333333333"/>
    <n v="398100"/>
    <n v="13270"/>
    <n v="4250"/>
    <n v="4922"/>
    <n v="401956"/>
    <n v="398100"/>
    <m/>
    <m/>
    <n v="459227"/>
    <n v="736360"/>
    <n v="557666"/>
    <n v="320976"/>
    <n v="697991"/>
    <n v="774775"/>
    <n v="1714884"/>
    <n v="1905.4266666666667"/>
    <n v="1832111"/>
    <n v="2035.6788888888889"/>
    <m/>
    <m/>
    <n v="0"/>
    <n v="0"/>
    <m/>
    <m/>
    <m/>
    <m/>
    <m/>
    <m/>
    <m/>
    <m/>
    <n v="0"/>
    <n v="0"/>
    <n v="0"/>
    <n v="0"/>
    <n v="15303.96"/>
    <n v="15305.67888888889"/>
  </r>
  <r>
    <x v="9"/>
    <s v="Fayetteville Technical Community College"/>
    <m/>
    <n v="198534"/>
    <x v="6"/>
    <s v="sem"/>
    <m/>
    <m/>
    <m/>
    <n v="101911"/>
    <n v="112408"/>
    <n v="27038"/>
    <n v="29835"/>
    <n v="101671"/>
    <n v="108229"/>
    <n v="230620"/>
    <n v="7687.333333333333"/>
    <n v="250472"/>
    <n v="8349.0666666666675"/>
    <n v="5975"/>
    <n v="4736"/>
    <n v="230620"/>
    <n v="250472"/>
    <m/>
    <m/>
    <n v="752415"/>
    <n v="746911"/>
    <n v="565709"/>
    <n v="607552"/>
    <n v="838771"/>
    <n v="786134"/>
    <n v="2156895"/>
    <n v="2396.5500000000002"/>
    <n v="2140597"/>
    <n v="2378.4411111111112"/>
    <m/>
    <m/>
    <n v="0"/>
    <n v="0"/>
    <m/>
    <m/>
    <m/>
    <m/>
    <m/>
    <m/>
    <m/>
    <m/>
    <n v="0"/>
    <n v="0"/>
    <n v="0"/>
    <n v="0"/>
    <n v="10083.883333333333"/>
    <n v="10727.507777777779"/>
  </r>
  <r>
    <x v="9"/>
    <s v="Forsyth Technical Community College"/>
    <m/>
    <n v="198552"/>
    <x v="6"/>
    <s v="sem"/>
    <m/>
    <m/>
    <m/>
    <n v="96057"/>
    <n v="97225"/>
    <n v="27222"/>
    <n v="25496"/>
    <n v="96359"/>
    <n v="102925"/>
    <n v="219638"/>
    <n v="7321.2666666666664"/>
    <n v="225646"/>
    <n v="7521.5333333333338"/>
    <n v="7699"/>
    <n v="7310"/>
    <n v="219638"/>
    <n v="225646"/>
    <m/>
    <m/>
    <n v="412132"/>
    <n v="429484"/>
    <n v="363557"/>
    <n v="298463"/>
    <n v="495448"/>
    <n v="507932"/>
    <n v="1271137"/>
    <n v="1412.3744444444444"/>
    <n v="1235879"/>
    <n v="1373.1988888888889"/>
    <m/>
    <m/>
    <n v="0"/>
    <n v="0"/>
    <m/>
    <m/>
    <m/>
    <m/>
    <m/>
    <m/>
    <m/>
    <m/>
    <n v="0"/>
    <n v="0"/>
    <n v="0"/>
    <n v="0"/>
    <n v="8733.6411111111101"/>
    <n v="8894.7322222222228"/>
  </r>
  <r>
    <x v="9"/>
    <s v="Gaston College "/>
    <s v="Met the criteria for Two-Year 2 in 2011-12 and 2012-13."/>
    <n v="198570"/>
    <x v="6"/>
    <s v="sem"/>
    <m/>
    <m/>
    <m/>
    <n v="65684"/>
    <n v="58933"/>
    <n v="12321"/>
    <n v="11536"/>
    <n v="65548"/>
    <n v="62327"/>
    <n v="143553"/>
    <n v="4785.1000000000004"/>
    <n v="132796"/>
    <n v="4426.5333333333338"/>
    <n v="5530"/>
    <n v="3388"/>
    <n v="143553"/>
    <n v="132796"/>
    <m/>
    <m/>
    <n v="214284"/>
    <n v="204396"/>
    <n v="131295"/>
    <n v="117792"/>
    <n v="208381"/>
    <n v="189290"/>
    <n v="553960"/>
    <n v="615.51111111111106"/>
    <n v="511478"/>
    <n v="568.30888888888887"/>
    <m/>
    <m/>
    <n v="0"/>
    <n v="0"/>
    <m/>
    <m/>
    <m/>
    <m/>
    <m/>
    <m/>
    <m/>
    <m/>
    <n v="0"/>
    <n v="0"/>
    <n v="0"/>
    <n v="0"/>
    <n v="5400.6111111111113"/>
    <n v="4994.8422222222225"/>
  </r>
  <r>
    <x v="9"/>
    <s v="Guilford Technical Community College"/>
    <m/>
    <n v="198622"/>
    <x v="6"/>
    <s v="sem"/>
    <m/>
    <m/>
    <m/>
    <n v="156658"/>
    <n v="153384"/>
    <n v="41973"/>
    <n v="33401"/>
    <n v="158830"/>
    <n v="159423"/>
    <n v="357461"/>
    <n v="11915.366666666667"/>
    <n v="346208"/>
    <n v="11540.266666666666"/>
    <n v="3487"/>
    <n v="4737"/>
    <n v="357461"/>
    <n v="346208"/>
    <m/>
    <m/>
    <n v="508284"/>
    <n v="566303"/>
    <n v="314210"/>
    <n v="309291"/>
    <n v="575834"/>
    <n v="553629"/>
    <n v="1398328"/>
    <n v="1553.6977777777777"/>
    <n v="1429223"/>
    <n v="1588.0255555555555"/>
    <m/>
    <m/>
    <n v="0"/>
    <n v="0"/>
    <m/>
    <m/>
    <m/>
    <m/>
    <m/>
    <m/>
    <m/>
    <m/>
    <n v="0"/>
    <n v="0"/>
    <n v="0"/>
    <n v="0"/>
    <n v="13469.064444444444"/>
    <n v="13128.292222222222"/>
  </r>
  <r>
    <x v="9"/>
    <s v="Pitt Community College"/>
    <m/>
    <n v="199333"/>
    <x v="6"/>
    <s v="sem"/>
    <m/>
    <m/>
    <m/>
    <n v="85291"/>
    <n v="84596"/>
    <n v="29094"/>
    <n v="24011"/>
    <n v="85945"/>
    <n v="87378"/>
    <n v="200330"/>
    <n v="6677.666666666667"/>
    <n v="195985"/>
    <n v="6532.833333333333"/>
    <n v="3323"/>
    <n v="2404"/>
    <n v="200330"/>
    <n v="195985"/>
    <m/>
    <m/>
    <n v="254119"/>
    <n v="256942"/>
    <n v="232216"/>
    <n v="192545"/>
    <n v="289311"/>
    <n v="300179"/>
    <n v="775646"/>
    <n v="861.82888888888886"/>
    <n v="749666"/>
    <n v="832.96222222222218"/>
    <m/>
    <m/>
    <n v="0"/>
    <n v="0"/>
    <m/>
    <m/>
    <m/>
    <m/>
    <m/>
    <m/>
    <m/>
    <m/>
    <n v="0"/>
    <n v="0"/>
    <n v="0"/>
    <n v="0"/>
    <n v="7539.4955555555562"/>
    <n v="7365.7955555555554"/>
  </r>
  <r>
    <x v="9"/>
    <s v="Rowan-Cabarrus Community College"/>
    <m/>
    <n v="199494"/>
    <x v="6"/>
    <s v="sem"/>
    <m/>
    <m/>
    <m/>
    <n v="70203"/>
    <n v="62869"/>
    <n v="20932"/>
    <n v="16118"/>
    <n v="73982"/>
    <n v="67507"/>
    <n v="165117"/>
    <n v="5503.9"/>
    <n v="146494"/>
    <n v="4883.1333333333332"/>
    <n v="6064"/>
    <n v="7256"/>
    <n v="165117"/>
    <n v="146494"/>
    <m/>
    <m/>
    <n v="300674"/>
    <n v="277100"/>
    <n v="218777"/>
    <n v="201755"/>
    <n v="333040"/>
    <n v="305452"/>
    <n v="852491"/>
    <n v="947.21222222222218"/>
    <n v="784307"/>
    <n v="871.45222222222219"/>
    <m/>
    <m/>
    <n v="0"/>
    <n v="0"/>
    <m/>
    <m/>
    <m/>
    <m/>
    <m/>
    <m/>
    <m/>
    <m/>
    <n v="0"/>
    <n v="0"/>
    <n v="0"/>
    <n v="0"/>
    <n v="6451.112222222222"/>
    <n v="5754.5855555555554"/>
  </r>
  <r>
    <x v="9"/>
    <s v="Wake Technical Community College"/>
    <m/>
    <n v="199856"/>
    <x v="6"/>
    <s v="sem"/>
    <m/>
    <m/>
    <m/>
    <n v="168348"/>
    <n v="174894"/>
    <n v="37914"/>
    <n v="40427"/>
    <n v="169272"/>
    <n v="179588"/>
    <n v="375534"/>
    <n v="12517.8"/>
    <n v="394909"/>
    <n v="13163.633333333333"/>
    <n v="4527"/>
    <n v="5011"/>
    <n v="375534"/>
    <n v="394909"/>
    <m/>
    <m/>
    <n v="872749"/>
    <n v="848662"/>
    <n v="565825"/>
    <n v="559989"/>
    <n v="875920"/>
    <n v="839804"/>
    <n v="2314494"/>
    <n v="2571.66"/>
    <n v="2248455"/>
    <n v="2498.2833333333333"/>
    <m/>
    <m/>
    <n v="0"/>
    <n v="0"/>
    <m/>
    <m/>
    <m/>
    <m/>
    <m/>
    <m/>
    <m/>
    <m/>
    <n v="0"/>
    <n v="0"/>
    <n v="0"/>
    <n v="0"/>
    <n v="15089.46"/>
    <n v="15661.916666666666"/>
  </r>
  <r>
    <x v="9"/>
    <s v="Alamance Community College"/>
    <m/>
    <n v="199786"/>
    <x v="7"/>
    <s v="sem"/>
    <m/>
    <m/>
    <m/>
    <n v="49660"/>
    <n v="44880"/>
    <n v="12195"/>
    <n v="9029"/>
    <n v="51171"/>
    <n v="48022"/>
    <n v="113026"/>
    <n v="3767.5333333333333"/>
    <n v="101931"/>
    <n v="3397.7"/>
    <n v="4753"/>
    <n v="4687"/>
    <n v="113026"/>
    <n v="101931"/>
    <m/>
    <m/>
    <n v="175964"/>
    <n v="177274"/>
    <n v="151993"/>
    <n v="127954"/>
    <n v="206328"/>
    <n v="215302"/>
    <n v="534285"/>
    <n v="593.65"/>
    <n v="520530"/>
    <n v="578.36666666666667"/>
    <m/>
    <m/>
    <n v="0"/>
    <n v="0"/>
    <m/>
    <m/>
    <m/>
    <m/>
    <m/>
    <m/>
    <m/>
    <m/>
    <n v="0"/>
    <n v="0"/>
    <n v="0"/>
    <n v="0"/>
    <n v="4361.1833333333334"/>
    <n v="3976.0666666666666"/>
  </r>
  <r>
    <x v="9"/>
    <s v="Caldwell Community College &amp; Technical Institute"/>
    <m/>
    <n v="198118"/>
    <x v="7"/>
    <s v="sem"/>
    <m/>
    <m/>
    <m/>
    <n v="42854"/>
    <n v="41910"/>
    <n v="11807"/>
    <n v="10531"/>
    <n v="44939"/>
    <n v="44408"/>
    <n v="99600"/>
    <n v="3320"/>
    <n v="96849"/>
    <n v="3228.3"/>
    <n v="9146"/>
    <n v="8134"/>
    <n v="99600"/>
    <n v="96849"/>
    <m/>
    <m/>
    <n v="193592"/>
    <n v="193972"/>
    <n v="132855"/>
    <n v="147355"/>
    <n v="250684"/>
    <n v="259194"/>
    <n v="577131"/>
    <n v="641.25666666666666"/>
    <n v="600521"/>
    <n v="667.2455555555556"/>
    <m/>
    <m/>
    <n v="0"/>
    <n v="0"/>
    <m/>
    <m/>
    <m/>
    <m/>
    <m/>
    <m/>
    <m/>
    <m/>
    <n v="0"/>
    <n v="0"/>
    <n v="0"/>
    <n v="0"/>
    <n v="3961.2566666666667"/>
    <n v="3895.5455555555559"/>
  </r>
  <r>
    <x v="9"/>
    <s v="Catawba Valley Community College"/>
    <m/>
    <n v="198233"/>
    <x v="7"/>
    <s v="sem"/>
    <m/>
    <m/>
    <m/>
    <n v="49419"/>
    <n v="44845"/>
    <n v="15000"/>
    <n v="11758"/>
    <n v="51481"/>
    <n v="47396"/>
    <n v="115900"/>
    <n v="3863.3333333333335"/>
    <n v="103999"/>
    <n v="3466.6333333333332"/>
    <n v="8183"/>
    <n v="8491"/>
    <n v="115900"/>
    <n v="103999"/>
    <m/>
    <m/>
    <n v="220263"/>
    <n v="247588"/>
    <n v="149246"/>
    <n v="150779"/>
    <n v="261844"/>
    <n v="260008"/>
    <n v="631353"/>
    <n v="701.50333333333333"/>
    <n v="658375"/>
    <n v="731.52777777777783"/>
    <m/>
    <m/>
    <n v="0"/>
    <n v="0"/>
    <m/>
    <m/>
    <m/>
    <m/>
    <m/>
    <m/>
    <m/>
    <m/>
    <n v="0"/>
    <n v="0"/>
    <n v="0"/>
    <n v="0"/>
    <n v="4564.836666666667"/>
    <n v="4198.1611111111106"/>
  </r>
  <r>
    <x v="9"/>
    <s v="Central Carolina Commuity College"/>
    <m/>
    <n v="198251"/>
    <x v="7"/>
    <s v="sem"/>
    <m/>
    <m/>
    <m/>
    <n v="42895"/>
    <n v="39235"/>
    <n v="8116"/>
    <n v="6982"/>
    <n v="46892"/>
    <n v="41427"/>
    <n v="97903"/>
    <n v="3263.4333333333334"/>
    <n v="87644"/>
    <n v="2921.4666666666667"/>
    <n v="9548"/>
    <n v="9327"/>
    <n v="97903"/>
    <n v="87644"/>
    <m/>
    <m/>
    <n v="419454"/>
    <n v="434372"/>
    <n v="282688"/>
    <n v="285076"/>
    <n v="467948"/>
    <n v="476844"/>
    <n v="1170090"/>
    <n v="1300.0999999999999"/>
    <n v="1196292"/>
    <n v="1329.2133333333334"/>
    <m/>
    <m/>
    <n v="0"/>
    <n v="0"/>
    <m/>
    <m/>
    <m/>
    <m/>
    <m/>
    <m/>
    <m/>
    <m/>
    <n v="0"/>
    <n v="0"/>
    <n v="0"/>
    <n v="0"/>
    <n v="4563.5333333333328"/>
    <n v="4250.68"/>
  </r>
  <r>
    <x v="9"/>
    <s v="Cleveland Community College"/>
    <m/>
    <n v="198321"/>
    <x v="7"/>
    <s v="sem"/>
    <m/>
    <m/>
    <m/>
    <n v="30432"/>
    <n v="28243"/>
    <n v="6131"/>
    <n v="3792"/>
    <n v="33897"/>
    <n v="31082"/>
    <n v="70460"/>
    <n v="2348.6666666666665"/>
    <n v="63117"/>
    <n v="2103.9"/>
    <n v="12104"/>
    <n v="7598"/>
    <n v="70460"/>
    <n v="63117"/>
    <m/>
    <m/>
    <n v="125702"/>
    <n v="150090"/>
    <n v="84683"/>
    <n v="91102"/>
    <n v="134184"/>
    <n v="151566"/>
    <n v="344569"/>
    <n v="382.85444444444443"/>
    <n v="392758"/>
    <n v="436.39777777777778"/>
    <m/>
    <m/>
    <n v="0"/>
    <n v="0"/>
    <m/>
    <m/>
    <m/>
    <m/>
    <m/>
    <m/>
    <m/>
    <m/>
    <n v="0"/>
    <n v="0"/>
    <n v="0"/>
    <n v="0"/>
    <n v="2731.5211111111112"/>
    <n v="2540.2977777777778"/>
  </r>
  <r>
    <x v="9"/>
    <s v="Coastal Carolina Community College "/>
    <m/>
    <n v="198330"/>
    <x v="7"/>
    <s v="sem"/>
    <m/>
    <m/>
    <m/>
    <n v="41404"/>
    <n v="46872"/>
    <n v="17280"/>
    <n v="19332"/>
    <n v="43705"/>
    <n v="47944"/>
    <n v="102389"/>
    <n v="3412.9666666666667"/>
    <n v="114148"/>
    <n v="3804.9333333333334"/>
    <n v="531"/>
    <n v="664"/>
    <n v="102389"/>
    <n v="114148"/>
    <m/>
    <m/>
    <n v="269869"/>
    <n v="258569"/>
    <n v="180975"/>
    <n v="194891"/>
    <n v="346241"/>
    <n v="314904"/>
    <n v="797085"/>
    <n v="885.65"/>
    <n v="768364"/>
    <n v="853.73777777777775"/>
    <m/>
    <m/>
    <n v="0"/>
    <n v="0"/>
    <m/>
    <m/>
    <m/>
    <m/>
    <m/>
    <m/>
    <m/>
    <m/>
    <n v="0"/>
    <n v="0"/>
    <n v="0"/>
    <n v="0"/>
    <n v="4298.6166666666668"/>
    <n v="4658.6711111111108"/>
  </r>
  <r>
    <x v="9"/>
    <s v="Craven Community College "/>
    <m/>
    <n v="198367"/>
    <x v="7"/>
    <s v="sem"/>
    <m/>
    <m/>
    <m/>
    <n v="33252"/>
    <n v="31385"/>
    <n v="11305"/>
    <n v="7294"/>
    <n v="32509"/>
    <n v="32837"/>
    <n v="77066"/>
    <n v="2568.8666666666668"/>
    <n v="71516"/>
    <n v="2383.8666666666668"/>
    <n v="3990"/>
    <n v="4375"/>
    <n v="77066"/>
    <n v="71516"/>
    <m/>
    <m/>
    <n v="169605"/>
    <n v="148437"/>
    <n v="100551"/>
    <n v="86014"/>
    <n v="159172"/>
    <n v="136842"/>
    <n v="429328"/>
    <n v="477.0311111111111"/>
    <n v="371293"/>
    <n v="412.54777777777775"/>
    <m/>
    <m/>
    <n v="0"/>
    <n v="0"/>
    <m/>
    <m/>
    <m/>
    <m/>
    <m/>
    <m/>
    <m/>
    <m/>
    <n v="0"/>
    <n v="0"/>
    <n v="0"/>
    <n v="0"/>
    <n v="3045.8977777777777"/>
    <n v="2796.4144444444446"/>
  </r>
  <r>
    <x v="9"/>
    <s v="Davidson County Community College "/>
    <m/>
    <n v="198376"/>
    <x v="7"/>
    <s v="sem"/>
    <m/>
    <m/>
    <m/>
    <n v="38859"/>
    <n v="38027"/>
    <n v="12432"/>
    <n v="8257"/>
    <n v="40448"/>
    <n v="40368"/>
    <n v="91739"/>
    <n v="3057.9666666666667"/>
    <n v="86652"/>
    <n v="2888.4"/>
    <n v="5647"/>
    <n v="5860"/>
    <n v="91739"/>
    <n v="86652"/>
    <m/>
    <m/>
    <n v="239705"/>
    <n v="231630"/>
    <n v="173592"/>
    <n v="162517"/>
    <n v="251781"/>
    <n v="264415"/>
    <n v="665078"/>
    <n v="738.9755555555555"/>
    <n v="658562"/>
    <n v="731.73555555555561"/>
    <m/>
    <m/>
    <n v="0"/>
    <n v="0"/>
    <m/>
    <m/>
    <m/>
    <m/>
    <m/>
    <m/>
    <m/>
    <m/>
    <n v="0"/>
    <n v="0"/>
    <n v="0"/>
    <n v="0"/>
    <n v="3796.942222222222"/>
    <n v="3620.1355555555556"/>
  </r>
  <r>
    <x v="9"/>
    <s v="Durham Technical Community College"/>
    <m/>
    <n v="198455"/>
    <x v="7"/>
    <s v="sem"/>
    <m/>
    <m/>
    <m/>
    <n v="49523"/>
    <n v="45879"/>
    <n v="12108"/>
    <n v="11437"/>
    <n v="48794"/>
    <n v="43958"/>
    <n v="110425"/>
    <n v="3680.8333333333335"/>
    <n v="101274"/>
    <n v="3375.8"/>
    <n v="2689"/>
    <n v="2205"/>
    <n v="110425"/>
    <n v="101274"/>
    <m/>
    <m/>
    <n v="298651"/>
    <n v="313043"/>
    <n v="174433"/>
    <n v="160151"/>
    <n v="362737"/>
    <n v="340806"/>
    <n v="835821"/>
    <n v="928.69"/>
    <n v="814000"/>
    <n v="904.44444444444446"/>
    <m/>
    <m/>
    <n v="0"/>
    <n v="0"/>
    <m/>
    <m/>
    <m/>
    <m/>
    <m/>
    <m/>
    <m/>
    <m/>
    <n v="0"/>
    <n v="0"/>
    <n v="0"/>
    <n v="0"/>
    <n v="4609.5233333333335"/>
    <n v="4280.2444444444445"/>
  </r>
  <r>
    <x v="9"/>
    <s v="Edgecombe Community College"/>
    <m/>
    <n v="198491"/>
    <x v="7"/>
    <s v="sem"/>
    <m/>
    <m/>
    <m/>
    <n v="32817"/>
    <n v="29892"/>
    <n v="9608"/>
    <n v="7234"/>
    <n v="35399"/>
    <n v="32198"/>
    <n v="77824"/>
    <n v="2594.1333333333332"/>
    <n v="69324"/>
    <n v="2310.8000000000002"/>
    <n v="3218"/>
    <n v="2308"/>
    <n v="77824"/>
    <n v="69324"/>
    <m/>
    <m/>
    <n v="141347"/>
    <n v="119519"/>
    <n v="86502"/>
    <n v="89501"/>
    <n v="143443"/>
    <n v="150571"/>
    <n v="371292"/>
    <n v="412.54666666666668"/>
    <n v="359591"/>
    <n v="399.54555555555555"/>
    <m/>
    <m/>
    <n v="0"/>
    <n v="0"/>
    <m/>
    <m/>
    <m/>
    <m/>
    <m/>
    <m/>
    <m/>
    <m/>
    <n v="0"/>
    <n v="0"/>
    <n v="0"/>
    <n v="0"/>
    <n v="3006.68"/>
    <n v="2710.3455555555556"/>
  </r>
  <r>
    <x v="9"/>
    <s v="Haywood Community College"/>
    <s v="Met the criteria for Two-Year 3 in 2011-12 and 2012-13."/>
    <n v="198668"/>
    <x v="7"/>
    <s v="sem"/>
    <m/>
    <m/>
    <m/>
    <n v="19672"/>
    <n v="19532"/>
    <n v="6407"/>
    <n v="4231"/>
    <n v="20661"/>
    <n v="20642"/>
    <n v="46740"/>
    <n v="1558"/>
    <n v="44405"/>
    <n v="1480.1666666666667"/>
    <n v="6474"/>
    <n v="5749"/>
    <n v="46740"/>
    <n v="44405"/>
    <m/>
    <m/>
    <n v="91141"/>
    <n v="88369"/>
    <n v="42404"/>
    <n v="52725"/>
    <n v="101308"/>
    <n v="85233"/>
    <n v="234853"/>
    <n v="260.94777777777779"/>
    <n v="226327"/>
    <n v="251.47444444444446"/>
    <m/>
    <m/>
    <n v="0"/>
    <n v="0"/>
    <m/>
    <m/>
    <m/>
    <m/>
    <m/>
    <m/>
    <m/>
    <m/>
    <n v="0"/>
    <n v="0"/>
    <n v="0"/>
    <n v="0"/>
    <n v="1818.9477777777779"/>
    <n v="1731.6411111111113"/>
  </r>
  <r>
    <x v="9"/>
    <s v="Isothermal Community College "/>
    <s v="Met the criteria for Two-Year 3 in 2012-13."/>
    <n v="198710"/>
    <x v="7"/>
    <s v="sem"/>
    <m/>
    <m/>
    <m/>
    <n v="24259"/>
    <n v="21146"/>
    <n v="8988"/>
    <n v="6322"/>
    <n v="24953"/>
    <n v="21459"/>
    <n v="58200"/>
    <n v="1940"/>
    <n v="48927"/>
    <n v="1630.9"/>
    <n v="8350"/>
    <n v="6839"/>
    <n v="58200"/>
    <n v="48927"/>
    <m/>
    <m/>
    <n v="107719"/>
    <n v="127170"/>
    <n v="72339"/>
    <n v="66493"/>
    <n v="128370"/>
    <n v="114935"/>
    <n v="308428"/>
    <n v="342.69777777777779"/>
    <n v="308598"/>
    <n v="342.88666666666666"/>
    <m/>
    <m/>
    <n v="0"/>
    <n v="0"/>
    <m/>
    <m/>
    <m/>
    <m/>
    <m/>
    <m/>
    <m/>
    <m/>
    <n v="0"/>
    <n v="0"/>
    <n v="0"/>
    <n v="0"/>
    <n v="2282.6977777777779"/>
    <n v="1973.7866666666669"/>
  </r>
  <r>
    <x v="9"/>
    <s v="Johnston Community College"/>
    <m/>
    <n v="198774"/>
    <x v="7"/>
    <s v="sem"/>
    <m/>
    <m/>
    <m/>
    <n v="41573"/>
    <n v="40985"/>
    <n v="1494"/>
    <n v="1370"/>
    <n v="44424"/>
    <n v="44735"/>
    <n v="87491"/>
    <n v="2916.3666666666668"/>
    <n v="87090"/>
    <n v="2903"/>
    <n v="6548"/>
    <n v="5612"/>
    <n v="87491"/>
    <n v="87090"/>
    <m/>
    <m/>
    <n v="240874"/>
    <n v="217187"/>
    <n v="141746"/>
    <n v="161699"/>
    <n v="244168"/>
    <n v="218120"/>
    <n v="626788"/>
    <n v="696.43111111111114"/>
    <n v="597006"/>
    <n v="663.34"/>
    <m/>
    <m/>
    <n v="0"/>
    <n v="0"/>
    <m/>
    <m/>
    <m/>
    <m/>
    <m/>
    <m/>
    <m/>
    <m/>
    <n v="0"/>
    <n v="0"/>
    <n v="0"/>
    <n v="0"/>
    <n v="3612.7977777777778"/>
    <n v="3566.34"/>
  </r>
  <r>
    <x v="9"/>
    <s v="Lenoir Community College "/>
    <m/>
    <n v="198817"/>
    <x v="7"/>
    <s v="sem"/>
    <m/>
    <m/>
    <m/>
    <n v="29576"/>
    <n v="25590"/>
    <n v="11150"/>
    <n v="8167"/>
    <n v="31599"/>
    <n v="28644"/>
    <n v="72325"/>
    <n v="2410.8333333333335"/>
    <n v="62401"/>
    <n v="2080.0333333333333"/>
    <n v="8845"/>
    <n v="8958"/>
    <n v="72325"/>
    <n v="62401"/>
    <m/>
    <m/>
    <n v="484995"/>
    <n v="505253"/>
    <n v="283510"/>
    <n v="392470"/>
    <n v="414928"/>
    <n v="506646"/>
    <n v="1183433"/>
    <n v="1314.9255555555555"/>
    <n v="1404369"/>
    <n v="1560.41"/>
    <m/>
    <m/>
    <n v="0"/>
    <n v="0"/>
    <m/>
    <m/>
    <m/>
    <m/>
    <m/>
    <m/>
    <m/>
    <m/>
    <n v="0"/>
    <n v="0"/>
    <n v="0"/>
    <n v="0"/>
    <n v="3725.758888888889"/>
    <n v="3640.4433333333336"/>
  </r>
  <r>
    <x v="9"/>
    <s v="Mitchell Community College "/>
    <m/>
    <n v="198987"/>
    <x v="7"/>
    <s v="sem"/>
    <m/>
    <m/>
    <m/>
    <n v="31668"/>
    <n v="30610"/>
    <n v="8166"/>
    <n v="6549"/>
    <n v="32277"/>
    <n v="32407"/>
    <n v="72111"/>
    <n v="2403.6999999999998"/>
    <n v="69566"/>
    <n v="2318.8666666666668"/>
    <n v="6829"/>
    <n v="7841"/>
    <n v="72111"/>
    <n v="69566"/>
    <m/>
    <m/>
    <n v="139801"/>
    <n v="131564"/>
    <n v="73965"/>
    <n v="98867"/>
    <n v="171595"/>
    <n v="140325"/>
    <n v="385361"/>
    <n v="428.17888888888888"/>
    <n v="370756"/>
    <n v="411.95111111111112"/>
    <m/>
    <m/>
    <n v="0"/>
    <n v="0"/>
    <m/>
    <m/>
    <m/>
    <m/>
    <m/>
    <m/>
    <m/>
    <m/>
    <n v="0"/>
    <n v="0"/>
    <n v="0"/>
    <n v="0"/>
    <n v="2831.8788888888885"/>
    <n v="2730.8177777777778"/>
  </r>
  <r>
    <x v="9"/>
    <s v="Nash Community College"/>
    <m/>
    <n v="199087"/>
    <x v="7"/>
    <s v="sem"/>
    <m/>
    <m/>
    <m/>
    <n v="27056"/>
    <n v="29552"/>
    <n v="4984"/>
    <n v="4699"/>
    <n v="26861"/>
    <n v="29577"/>
    <n v="58901"/>
    <n v="1963.3666666666666"/>
    <n v="63828"/>
    <n v="2127.6"/>
    <n v="5701"/>
    <n v="5774"/>
    <n v="58901"/>
    <n v="63828"/>
    <m/>
    <m/>
    <n v="145659"/>
    <n v="158437"/>
    <n v="93298"/>
    <n v="93385"/>
    <n v="166298"/>
    <n v="154894"/>
    <n v="405255"/>
    <n v="450.28333333333336"/>
    <n v="406716"/>
    <n v="451.90666666666669"/>
    <m/>
    <m/>
    <n v="0"/>
    <n v="0"/>
    <m/>
    <m/>
    <m/>
    <m/>
    <m/>
    <m/>
    <m/>
    <m/>
    <n v="0"/>
    <n v="0"/>
    <n v="0"/>
    <n v="0"/>
    <n v="2413.65"/>
    <n v="2579.5066666666667"/>
  </r>
  <r>
    <x v="9"/>
    <s v="Randolph Community College"/>
    <m/>
    <n v="199421"/>
    <x v="7"/>
    <s v="sem"/>
    <m/>
    <m/>
    <m/>
    <n v="26657"/>
    <n v="25747"/>
    <n v="6253"/>
    <n v="4510"/>
    <n v="27350"/>
    <n v="27540"/>
    <n v="60260"/>
    <n v="2008.6666666666667"/>
    <n v="57797"/>
    <n v="1926.5666666666666"/>
    <n v="5908"/>
    <n v="4981"/>
    <n v="60260"/>
    <n v="57797"/>
    <m/>
    <m/>
    <n v="173369"/>
    <n v="189578"/>
    <n v="102383"/>
    <n v="92936"/>
    <n v="138148"/>
    <n v="166359"/>
    <n v="413900"/>
    <n v="459.88888888888891"/>
    <n v="448873"/>
    <n v="498.7477777777778"/>
    <m/>
    <m/>
    <n v="0"/>
    <n v="0"/>
    <m/>
    <m/>
    <m/>
    <m/>
    <m/>
    <m/>
    <m/>
    <m/>
    <n v="0"/>
    <n v="0"/>
    <n v="0"/>
    <n v="0"/>
    <n v="2468.5555555555557"/>
    <n v="2425.3144444444442"/>
  </r>
  <r>
    <x v="9"/>
    <s v="Robeson Community College"/>
    <m/>
    <n v="199476"/>
    <x v="7"/>
    <s v="sem"/>
    <m/>
    <m/>
    <m/>
    <n v="26206"/>
    <n v="24532"/>
    <n v="6692"/>
    <n v="4537"/>
    <n v="27098"/>
    <n v="28227"/>
    <n v="59996"/>
    <n v="1999.8666666666666"/>
    <n v="57296"/>
    <n v="1909.8666666666666"/>
    <n v="1967"/>
    <n v="2217"/>
    <n v="59996"/>
    <n v="57296"/>
    <m/>
    <m/>
    <n v="399982"/>
    <n v="387360"/>
    <n v="257022"/>
    <n v="181675"/>
    <n v="424762"/>
    <n v="404657"/>
    <n v="1081766"/>
    <n v="1201.9622222222222"/>
    <n v="973692"/>
    <n v="1081.8800000000001"/>
    <m/>
    <m/>
    <n v="0"/>
    <n v="0"/>
    <m/>
    <m/>
    <m/>
    <m/>
    <m/>
    <m/>
    <m/>
    <m/>
    <n v="0"/>
    <n v="0"/>
    <n v="0"/>
    <n v="0"/>
    <n v="3201.8288888888887"/>
    <n v="2991.7466666666669"/>
  </r>
  <r>
    <x v="9"/>
    <s v="Sandhills Community College "/>
    <m/>
    <n v="199634"/>
    <x v="7"/>
    <s v="sem"/>
    <m/>
    <m/>
    <m/>
    <n v="39214"/>
    <n v="36985"/>
    <n v="12499"/>
    <n v="10644"/>
    <n v="40790"/>
    <n v="39601"/>
    <n v="92503"/>
    <n v="3083.4333333333334"/>
    <n v="87230"/>
    <n v="2907.6666666666665"/>
    <n v="6310"/>
    <n v="4505"/>
    <n v="92503"/>
    <n v="87230"/>
    <m/>
    <m/>
    <n v="182730"/>
    <n v="192210"/>
    <n v="101914"/>
    <n v="101747"/>
    <n v="186960"/>
    <n v="198274"/>
    <n v="471604"/>
    <n v="524.0044444444444"/>
    <n v="492231"/>
    <n v="546.92333333333329"/>
    <m/>
    <m/>
    <n v="0"/>
    <n v="0"/>
    <m/>
    <m/>
    <m/>
    <m/>
    <m/>
    <m/>
    <m/>
    <m/>
    <n v="0"/>
    <n v="0"/>
    <n v="0"/>
    <n v="0"/>
    <n v="3607.4377777777777"/>
    <n v="3454.5899999999997"/>
  </r>
  <r>
    <x v="9"/>
    <s v="Stanly Community College"/>
    <m/>
    <n v="199740"/>
    <x v="7"/>
    <s v="sem"/>
    <m/>
    <m/>
    <m/>
    <n v="28589"/>
    <n v="26836"/>
    <n v="8120"/>
    <n v="6140"/>
    <n v="29919"/>
    <n v="29688"/>
    <n v="66628"/>
    <n v="2220.9333333333334"/>
    <n v="62664"/>
    <n v="2088.8000000000002"/>
    <n v="3454"/>
    <n v="2788"/>
    <n v="66628"/>
    <n v="62664"/>
    <m/>
    <m/>
    <n v="201212"/>
    <n v="218877"/>
    <n v="115870"/>
    <n v="103485"/>
    <n v="194112"/>
    <n v="212632"/>
    <n v="511194"/>
    <n v="567.99333333333334"/>
    <n v="534994"/>
    <n v="594.4377777777778"/>
    <m/>
    <m/>
    <n v="0"/>
    <n v="0"/>
    <m/>
    <m/>
    <m/>
    <m/>
    <m/>
    <m/>
    <m/>
    <m/>
    <n v="0"/>
    <n v="0"/>
    <n v="0"/>
    <n v="0"/>
    <n v="2788.9266666666667"/>
    <n v="2683.2377777777779"/>
  </r>
  <r>
    <x v="9"/>
    <s v="Surry Community College "/>
    <m/>
    <n v="199768"/>
    <x v="7"/>
    <s v="sem"/>
    <m/>
    <m/>
    <m/>
    <n v="24817"/>
    <n v="22310"/>
    <n v="5453"/>
    <n v="3786"/>
    <n v="25633"/>
    <n v="24425"/>
    <n v="55903"/>
    <n v="1863.4333333333334"/>
    <n v="50521"/>
    <n v="1684.0333333333333"/>
    <n v="6302"/>
    <n v="6194"/>
    <n v="55903"/>
    <n v="50521"/>
    <m/>
    <m/>
    <n v="156780"/>
    <n v="151490"/>
    <n v="140992"/>
    <n v="147580"/>
    <n v="224693"/>
    <n v="206788"/>
    <n v="522465"/>
    <n v="580.51666666666665"/>
    <n v="505858"/>
    <n v="562.06444444444446"/>
    <m/>
    <m/>
    <n v="0"/>
    <n v="0"/>
    <m/>
    <m/>
    <m/>
    <m/>
    <m/>
    <m/>
    <m/>
    <m/>
    <n v="0"/>
    <n v="0"/>
    <n v="0"/>
    <n v="0"/>
    <n v="2443.9499999999998"/>
    <n v="2246.097777777778"/>
  </r>
  <r>
    <x v="9"/>
    <s v="Vance-Granville Community College "/>
    <m/>
    <n v="199838"/>
    <x v="7"/>
    <s v="sem"/>
    <m/>
    <m/>
    <m/>
    <n v="34653"/>
    <n v="32390"/>
    <n v="6727"/>
    <n v="6548"/>
    <n v="36513"/>
    <n v="36047"/>
    <n v="77893"/>
    <n v="2596.4333333333334"/>
    <n v="74985"/>
    <n v="2499.5"/>
    <n v="7814"/>
    <n v="8210"/>
    <n v="77893"/>
    <n v="74985"/>
    <m/>
    <m/>
    <n v="257687"/>
    <n v="285456"/>
    <n v="178550"/>
    <n v="164413"/>
    <n v="272894"/>
    <n v="309488"/>
    <n v="709131"/>
    <n v="787.92333333333329"/>
    <n v="759357"/>
    <n v="843.73"/>
    <m/>
    <m/>
    <n v="0"/>
    <n v="0"/>
    <m/>
    <m/>
    <m/>
    <m/>
    <m/>
    <m/>
    <m/>
    <m/>
    <n v="0"/>
    <n v="0"/>
    <n v="0"/>
    <n v="0"/>
    <n v="3384.3566666666666"/>
    <n v="3343.23"/>
  </r>
  <r>
    <x v="9"/>
    <s v="Wayne Community College"/>
    <m/>
    <n v="199892"/>
    <x v="7"/>
    <s v="sem"/>
    <m/>
    <m/>
    <m/>
    <n v="36186"/>
    <n v="34964"/>
    <n v="7723"/>
    <n v="6438"/>
    <n v="37824"/>
    <n v="36131"/>
    <n v="81733"/>
    <n v="2724.4333333333334"/>
    <n v="77533"/>
    <n v="2584.4333333333334"/>
    <n v="6234"/>
    <n v="5990"/>
    <n v="81733"/>
    <n v="77533"/>
    <m/>
    <m/>
    <n v="234252"/>
    <n v="224501"/>
    <n v="169748"/>
    <n v="122371"/>
    <n v="227560"/>
    <n v="220392"/>
    <n v="631560"/>
    <n v="701.73333333333335"/>
    <n v="567264"/>
    <n v="630.29333333333329"/>
    <m/>
    <m/>
    <n v="0"/>
    <n v="0"/>
    <m/>
    <m/>
    <m/>
    <m/>
    <m/>
    <m/>
    <m/>
    <m/>
    <n v="0"/>
    <n v="0"/>
    <n v="0"/>
    <n v="0"/>
    <n v="3426.166666666667"/>
    <n v="3214.7266666666665"/>
  </r>
  <r>
    <x v="9"/>
    <s v="Western Piedmont Community College "/>
    <m/>
    <n v="199908"/>
    <x v="7"/>
    <s v="sem"/>
    <m/>
    <m/>
    <m/>
    <n v="31151"/>
    <n v="26851"/>
    <n v="9661"/>
    <n v="5764"/>
    <n v="33508"/>
    <n v="30842"/>
    <n v="74320"/>
    <n v="2477.3333333333335"/>
    <n v="63457"/>
    <n v="2115.2333333333331"/>
    <n v="4398"/>
    <n v="4056"/>
    <n v="74320"/>
    <n v="63457"/>
    <m/>
    <m/>
    <n v="220525"/>
    <n v="212405"/>
    <n v="142139"/>
    <n v="135555"/>
    <n v="221320"/>
    <n v="219557"/>
    <n v="583984"/>
    <n v="648.87111111111108"/>
    <n v="567517"/>
    <n v="630.57444444444445"/>
    <m/>
    <m/>
    <n v="0"/>
    <n v="0"/>
    <m/>
    <m/>
    <m/>
    <m/>
    <m/>
    <m/>
    <m/>
    <m/>
    <n v="0"/>
    <n v="0"/>
    <n v="0"/>
    <n v="0"/>
    <n v="3126.2044444444446"/>
    <n v="2745.8077777777776"/>
  </r>
  <r>
    <x v="9"/>
    <s v="Wilkes Community College "/>
    <m/>
    <n v="199926"/>
    <x v="7"/>
    <s v="sem"/>
    <m/>
    <m/>
    <m/>
    <n v="28537"/>
    <n v="25522"/>
    <n v="5850"/>
    <n v="4216"/>
    <n v="29977"/>
    <n v="27165"/>
    <n v="64364"/>
    <n v="2145.4666666666667"/>
    <n v="56903"/>
    <n v="1896.7666666666667"/>
    <n v="2345"/>
    <n v="3238"/>
    <n v="64364"/>
    <n v="56903"/>
    <m/>
    <m/>
    <n v="194948"/>
    <n v="179547"/>
    <n v="139234"/>
    <n v="144074"/>
    <n v="203380"/>
    <n v="192181"/>
    <n v="537562"/>
    <n v="597.29111111111115"/>
    <n v="515802"/>
    <n v="573.11333333333334"/>
    <m/>
    <m/>
    <n v="0"/>
    <n v="0"/>
    <m/>
    <m/>
    <m/>
    <m/>
    <m/>
    <m/>
    <m/>
    <m/>
    <n v="0"/>
    <n v="0"/>
    <n v="0"/>
    <n v="0"/>
    <n v="2742.7577777777778"/>
    <n v="2469.88"/>
  </r>
  <r>
    <x v="9"/>
    <s v="Beaufort County Community College "/>
    <m/>
    <n v="197966"/>
    <x v="8"/>
    <s v="sem"/>
    <m/>
    <m/>
    <m/>
    <n v="17114"/>
    <n v="17203"/>
    <n v="3561"/>
    <n v="2066"/>
    <n v="18497"/>
    <n v="18021"/>
    <n v="39172"/>
    <n v="1305.7333333333333"/>
    <n v="37290"/>
    <n v="1243"/>
    <n v="1971"/>
    <n v="2787"/>
    <n v="39172"/>
    <n v="37290"/>
    <m/>
    <m/>
    <n v="95561"/>
    <n v="104478"/>
    <n v="63789"/>
    <n v="75950"/>
    <n v="92605"/>
    <n v="93261"/>
    <n v="251955"/>
    <n v="279.95"/>
    <n v="273689"/>
    <n v="304.09888888888889"/>
    <m/>
    <m/>
    <n v="0"/>
    <n v="0"/>
    <m/>
    <m/>
    <m/>
    <m/>
    <m/>
    <m/>
    <m/>
    <m/>
    <n v="0"/>
    <n v="0"/>
    <n v="0"/>
    <n v="0"/>
    <n v="1585.6833333333334"/>
    <n v="1547.098888888889"/>
  </r>
  <r>
    <x v="9"/>
    <s v="Bladen Community College"/>
    <m/>
    <n v="198011"/>
    <x v="8"/>
    <s v="sem"/>
    <m/>
    <m/>
    <m/>
    <n v="18711"/>
    <n v="16492"/>
    <n v="2440"/>
    <n v="2899"/>
    <n v="20464"/>
    <n v="17733"/>
    <n v="41615"/>
    <n v="1387.1666666666667"/>
    <n v="37124"/>
    <n v="1237.4666666666667"/>
    <n v="563"/>
    <n v="296"/>
    <n v="41615"/>
    <n v="37124"/>
    <m/>
    <m/>
    <n v="84866"/>
    <n v="91483"/>
    <n v="34652"/>
    <n v="50617"/>
    <n v="72724"/>
    <n v="81999"/>
    <n v="192242"/>
    <n v="213.60222222222222"/>
    <n v="224099"/>
    <n v="248.9988888888889"/>
    <m/>
    <m/>
    <n v="0"/>
    <n v="0"/>
    <m/>
    <m/>
    <m/>
    <m/>
    <m/>
    <m/>
    <m/>
    <m/>
    <n v="0"/>
    <n v="0"/>
    <n v="0"/>
    <n v="0"/>
    <n v="1600.768888888889"/>
    <n v="1486.4655555555555"/>
  </r>
  <r>
    <x v="9"/>
    <s v="Blue Ridge Community College"/>
    <m/>
    <n v="198039"/>
    <x v="8"/>
    <s v="sem"/>
    <m/>
    <m/>
    <m/>
    <n v="17680"/>
    <n v="18070"/>
    <n v="4898"/>
    <n v="4135"/>
    <n v="18824"/>
    <n v="17684"/>
    <n v="41402"/>
    <n v="1380.0666666666666"/>
    <n v="39889"/>
    <n v="1329.6333333333334"/>
    <n v="3217"/>
    <n v="4042"/>
    <n v="41402"/>
    <n v="39889"/>
    <m/>
    <m/>
    <n v="160287"/>
    <n v="193732"/>
    <n v="100833"/>
    <n v="99423"/>
    <n v="211175"/>
    <n v="190331"/>
    <n v="472295"/>
    <n v="524.77222222222224"/>
    <n v="483486"/>
    <n v="537.20666666666671"/>
    <m/>
    <m/>
    <n v="0"/>
    <n v="0"/>
    <m/>
    <m/>
    <m/>
    <m/>
    <m/>
    <m/>
    <m/>
    <m/>
    <n v="0"/>
    <n v="0"/>
    <n v="0"/>
    <n v="0"/>
    <n v="1904.838888888889"/>
    <n v="1866.8400000000001"/>
  </r>
  <r>
    <x v="9"/>
    <s v="Brunswick Community College"/>
    <m/>
    <n v="198084"/>
    <x v="8"/>
    <s v="sem"/>
    <m/>
    <m/>
    <m/>
    <n v="13268"/>
    <n v="13284"/>
    <n v="2631"/>
    <n v="2187"/>
    <n v="13853"/>
    <n v="14782"/>
    <n v="29752"/>
    <n v="991.73333333333335"/>
    <n v="30253"/>
    <n v="1008.4333333333333"/>
    <n v="3649"/>
    <n v="3939"/>
    <n v="29752"/>
    <n v="30253"/>
    <m/>
    <m/>
    <n v="146758"/>
    <n v="135862"/>
    <n v="96361"/>
    <n v="90871"/>
    <n v="142623"/>
    <n v="153167"/>
    <n v="385742"/>
    <n v="428.60222222222222"/>
    <n v="379900"/>
    <n v="422.11111111111109"/>
    <m/>
    <m/>
    <n v="0"/>
    <n v="0"/>
    <m/>
    <m/>
    <m/>
    <m/>
    <m/>
    <m/>
    <m/>
    <m/>
    <n v="0"/>
    <n v="0"/>
    <n v="0"/>
    <n v="0"/>
    <n v="1420.3355555555556"/>
    <n v="1430.5444444444443"/>
  </r>
  <r>
    <x v="9"/>
    <s v="Carteret Community College"/>
    <m/>
    <n v="198206"/>
    <x v="8"/>
    <s v="sem"/>
    <m/>
    <m/>
    <m/>
    <n v="17369"/>
    <n v="16372"/>
    <n v="4233"/>
    <n v="3268"/>
    <n v="17368"/>
    <n v="16783"/>
    <n v="38970"/>
    <n v="1299"/>
    <n v="36423"/>
    <n v="1214.0999999999999"/>
    <n v="655"/>
    <n v="690"/>
    <n v="38970"/>
    <n v="36423"/>
    <m/>
    <m/>
    <n v="125029"/>
    <n v="131202"/>
    <n v="74729"/>
    <n v="83691"/>
    <n v="139039"/>
    <n v="124710"/>
    <n v="338797"/>
    <n v="376.44111111111113"/>
    <n v="339603"/>
    <n v="377.33666666666664"/>
    <m/>
    <m/>
    <n v="0"/>
    <n v="0"/>
    <m/>
    <m/>
    <m/>
    <m/>
    <m/>
    <m/>
    <m/>
    <m/>
    <n v="0"/>
    <n v="0"/>
    <n v="0"/>
    <n v="0"/>
    <n v="1675.4411111111112"/>
    <n v="1591.4366666666665"/>
  </r>
  <r>
    <x v="9"/>
    <s v="College of the Albemarle"/>
    <s v="Met the criteria for Two-Year 2 in 2012-13."/>
    <n v="197814"/>
    <x v="8"/>
    <s v="sem"/>
    <m/>
    <m/>
    <m/>
    <n v="25102"/>
    <n v="23574"/>
    <n v="3884"/>
    <n v="3858"/>
    <n v="26393"/>
    <n v="26541"/>
    <n v="55379"/>
    <n v="1845.9666666666667"/>
    <n v="53973"/>
    <n v="1799.1"/>
    <n v="4249"/>
    <n v="4820"/>
    <n v="55379"/>
    <n v="53973"/>
    <m/>
    <m/>
    <n v="152924"/>
    <n v="141875"/>
    <n v="66963"/>
    <n v="81230"/>
    <n v="169973"/>
    <n v="125580"/>
    <n v="389860"/>
    <n v="433.17777777777781"/>
    <n v="348685"/>
    <n v="387.42777777777781"/>
    <m/>
    <m/>
    <n v="0"/>
    <n v="0"/>
    <m/>
    <m/>
    <m/>
    <m/>
    <m/>
    <m/>
    <m/>
    <m/>
    <n v="0"/>
    <n v="0"/>
    <n v="0"/>
    <n v="0"/>
    <n v="2279.1444444444446"/>
    <n v="2186.5277777777778"/>
  </r>
  <r>
    <x v="9"/>
    <s v="Halifax Community College "/>
    <m/>
    <n v="198640"/>
    <x v="8"/>
    <s v="sem"/>
    <m/>
    <m/>
    <m/>
    <n v="17508"/>
    <n v="16344"/>
    <n v="2773"/>
    <n v="1586"/>
    <n v="18665"/>
    <n v="17138"/>
    <n v="38946"/>
    <n v="1298.2"/>
    <n v="35068"/>
    <n v="1168.9333333333334"/>
    <n v="883"/>
    <n v="1028"/>
    <n v="38946"/>
    <n v="35068"/>
    <m/>
    <m/>
    <n v="107803"/>
    <n v="134468"/>
    <n v="40421"/>
    <n v="72182"/>
    <n v="101370"/>
    <n v="122318"/>
    <n v="249594"/>
    <n v="277.32666666666665"/>
    <n v="328968"/>
    <n v="365.52"/>
    <m/>
    <m/>
    <n v="0"/>
    <n v="0"/>
    <m/>
    <m/>
    <m/>
    <m/>
    <m/>
    <m/>
    <m/>
    <m/>
    <n v="0"/>
    <n v="0"/>
    <n v="0"/>
    <n v="0"/>
    <n v="1575.5266666666666"/>
    <n v="1534.4533333333334"/>
  </r>
  <r>
    <x v="9"/>
    <s v="James Sprunt Community College"/>
    <m/>
    <n v="198729"/>
    <x v="8"/>
    <s v="sem"/>
    <m/>
    <m/>
    <m/>
    <n v="14166"/>
    <n v="13964"/>
    <n v="1250"/>
    <n v="1648"/>
    <n v="13773"/>
    <n v="13575"/>
    <n v="29189"/>
    <n v="972.9666666666667"/>
    <n v="29187"/>
    <n v="972.9"/>
    <n v="3546"/>
    <n v="3270"/>
    <n v="29189"/>
    <n v="29187"/>
    <m/>
    <m/>
    <n v="117773"/>
    <n v="109336"/>
    <n v="62686"/>
    <n v="102367"/>
    <n v="127666"/>
    <n v="97915"/>
    <n v="308125"/>
    <n v="342.36111111111109"/>
    <n v="309618"/>
    <n v="344.02"/>
    <m/>
    <m/>
    <n v="0"/>
    <n v="0"/>
    <m/>
    <m/>
    <m/>
    <m/>
    <m/>
    <m/>
    <m/>
    <m/>
    <n v="0"/>
    <n v="0"/>
    <n v="0"/>
    <n v="0"/>
    <n v="1315.3277777777778"/>
    <n v="1316.92"/>
  </r>
  <r>
    <x v="9"/>
    <s v="Martin Community College "/>
    <m/>
    <n v="198905"/>
    <x v="8"/>
    <s v="sem"/>
    <m/>
    <m/>
    <m/>
    <n v="8261"/>
    <n v="7602"/>
    <n v="502"/>
    <n v="395"/>
    <n v="8385"/>
    <n v="8054"/>
    <n v="17148"/>
    <n v="571.6"/>
    <n v="16051"/>
    <n v="535.0333333333333"/>
    <n v="450"/>
    <n v="1102"/>
    <n v="17148"/>
    <n v="16051"/>
    <m/>
    <m/>
    <n v="84561"/>
    <n v="91402"/>
    <n v="47365"/>
    <n v="55043"/>
    <n v="103248"/>
    <n v="87818"/>
    <n v="235174"/>
    <n v="261.30444444444447"/>
    <n v="234263"/>
    <n v="260.29222222222222"/>
    <m/>
    <m/>
    <n v="0"/>
    <n v="0"/>
    <m/>
    <m/>
    <m/>
    <m/>
    <m/>
    <m/>
    <m/>
    <m/>
    <n v="0"/>
    <n v="0"/>
    <n v="0"/>
    <n v="0"/>
    <n v="832.90444444444449"/>
    <n v="795.32555555555552"/>
  </r>
  <r>
    <x v="9"/>
    <s v="Mayland Community College"/>
    <m/>
    <n v="198914"/>
    <x v="8"/>
    <s v="sem"/>
    <m/>
    <m/>
    <m/>
    <n v="8630"/>
    <n v="10171"/>
    <n v="1021"/>
    <n v="774"/>
    <n v="9845"/>
    <n v="8736"/>
    <n v="19496"/>
    <n v="649.86666666666667"/>
    <n v="19681"/>
    <n v="656.0333333333333"/>
    <n v="5745"/>
    <n v="3140"/>
    <n v="19496"/>
    <n v="19681"/>
    <m/>
    <m/>
    <n v="135721"/>
    <n v="207942"/>
    <n v="123968"/>
    <n v="150919"/>
    <n v="128741"/>
    <n v="192831"/>
    <n v="388430"/>
    <n v="431.5888888888889"/>
    <n v="551692"/>
    <n v="612.99111111111108"/>
    <m/>
    <m/>
    <n v="0"/>
    <n v="0"/>
    <m/>
    <m/>
    <m/>
    <m/>
    <m/>
    <m/>
    <m/>
    <m/>
    <n v="0"/>
    <n v="0"/>
    <n v="0"/>
    <n v="0"/>
    <n v="1081.4555555555555"/>
    <n v="1269.0244444444443"/>
  </r>
  <r>
    <x v="9"/>
    <s v="McDowell Technical Community College"/>
    <m/>
    <n v="198923"/>
    <x v="8"/>
    <s v="sem"/>
    <m/>
    <m/>
    <m/>
    <n v="12163"/>
    <n v="11194"/>
    <n v="5014"/>
    <n v="3416"/>
    <n v="13808"/>
    <n v="11437"/>
    <n v="30985"/>
    <n v="1032.8333333333333"/>
    <n v="26047"/>
    <n v="868.23333333333335"/>
    <n v="2992"/>
    <n v="2662"/>
    <n v="30985"/>
    <n v="26047"/>
    <m/>
    <m/>
    <n v="112853"/>
    <n v="118266"/>
    <n v="54493"/>
    <n v="72034"/>
    <n v="85912"/>
    <n v="102041"/>
    <n v="253258"/>
    <n v="281.39777777777778"/>
    <n v="292341"/>
    <n v="324.82333333333332"/>
    <m/>
    <m/>
    <n v="0"/>
    <n v="0"/>
    <m/>
    <m/>
    <m/>
    <m/>
    <m/>
    <m/>
    <m/>
    <m/>
    <n v="0"/>
    <n v="0"/>
    <n v="0"/>
    <n v="0"/>
    <n v="1314.231111111111"/>
    <n v="1193.0566666666666"/>
  </r>
  <r>
    <x v="9"/>
    <s v="Montgomery Community College"/>
    <m/>
    <n v="199023"/>
    <x v="8"/>
    <s v="sem"/>
    <m/>
    <m/>
    <m/>
    <n v="7548"/>
    <n v="7548"/>
    <n v="2480"/>
    <n v="1731"/>
    <n v="7898"/>
    <n v="7589"/>
    <n v="17926"/>
    <n v="597.5333333333333"/>
    <n v="16868"/>
    <n v="562.26666666666665"/>
    <n v="928"/>
    <n v="473"/>
    <n v="17926"/>
    <n v="16868"/>
    <m/>
    <m/>
    <n v="80586"/>
    <n v="97923"/>
    <n v="49314"/>
    <n v="54352"/>
    <n v="87212"/>
    <n v="99652"/>
    <n v="217112"/>
    <n v="241.23555555555555"/>
    <n v="251927"/>
    <n v="279.91888888888889"/>
    <m/>
    <m/>
    <n v="0"/>
    <n v="0"/>
    <m/>
    <m/>
    <m/>
    <m/>
    <m/>
    <m/>
    <m/>
    <m/>
    <n v="0"/>
    <n v="0"/>
    <n v="0"/>
    <n v="0"/>
    <n v="838.7688888888888"/>
    <n v="842.18555555555554"/>
  </r>
  <r>
    <x v="9"/>
    <s v="Pamlico Community College"/>
    <m/>
    <n v="199263"/>
    <x v="8"/>
    <s v="sem"/>
    <m/>
    <m/>
    <m/>
    <n v="4817"/>
    <n v="2909"/>
    <n v="760"/>
    <n v="275"/>
    <n v="4947"/>
    <n v="3516"/>
    <n v="10524"/>
    <n v="350.8"/>
    <n v="6700"/>
    <n v="223.33333333333334"/>
    <n v="2375"/>
    <n v="2239"/>
    <n v="10524"/>
    <n v="6700"/>
    <m/>
    <m/>
    <n v="42796"/>
    <n v="86416"/>
    <n v="49292"/>
    <n v="45399"/>
    <n v="43149"/>
    <n v="52000"/>
    <n v="135237"/>
    <n v="150.26333333333332"/>
    <n v="183815"/>
    <n v="204.23888888888888"/>
    <m/>
    <m/>
    <n v="0"/>
    <n v="0"/>
    <m/>
    <m/>
    <m/>
    <m/>
    <m/>
    <m/>
    <m/>
    <m/>
    <n v="0"/>
    <n v="0"/>
    <n v="0"/>
    <n v="0"/>
    <n v="501.06333333333333"/>
    <n v="427.57222222222219"/>
  </r>
  <r>
    <x v="9"/>
    <s v="Piedmont Community College"/>
    <m/>
    <n v="199324"/>
    <x v="8"/>
    <s v="sem"/>
    <m/>
    <m/>
    <m/>
    <n v="21429"/>
    <n v="17467"/>
    <n v="2342"/>
    <n v="2340"/>
    <n v="22761"/>
    <n v="18852"/>
    <n v="46532"/>
    <n v="1551.0666666666666"/>
    <n v="38659"/>
    <n v="1288.6333333333334"/>
    <n v="8272"/>
    <n v="4912"/>
    <n v="46532"/>
    <n v="38659"/>
    <m/>
    <m/>
    <n v="153527"/>
    <n v="209670"/>
    <n v="79157"/>
    <n v="112376"/>
    <n v="171347"/>
    <n v="203081"/>
    <n v="404031"/>
    <n v="448.92333333333335"/>
    <n v="525127"/>
    <n v="583.47444444444443"/>
    <m/>
    <m/>
    <n v="0"/>
    <n v="0"/>
    <m/>
    <m/>
    <m/>
    <m/>
    <m/>
    <m/>
    <m/>
    <m/>
    <n v="0"/>
    <n v="0"/>
    <n v="0"/>
    <n v="0"/>
    <n v="1999.99"/>
    <n v="1872.1077777777778"/>
  </r>
  <r>
    <x v="9"/>
    <s v="Richmond Community College"/>
    <s v="Met the criteria for Two-Year 2 in 2012-13."/>
    <n v="199449"/>
    <x v="8"/>
    <s v="sem"/>
    <m/>
    <m/>
    <m/>
    <n v="19596"/>
    <n v="21833"/>
    <n v="5350"/>
    <n v="4236"/>
    <n v="19527"/>
    <n v="23413"/>
    <n v="44473"/>
    <n v="1482.4333333333334"/>
    <n v="49482"/>
    <n v="1649.4"/>
    <n v="4057"/>
    <n v="5980"/>
    <n v="44473"/>
    <n v="49482"/>
    <m/>
    <m/>
    <n v="176480"/>
    <n v="194240"/>
    <n v="145615"/>
    <n v="142381"/>
    <n v="201698"/>
    <n v="208897"/>
    <n v="523793"/>
    <n v="581.99222222222227"/>
    <n v="545518"/>
    <n v="606.13111111111107"/>
    <m/>
    <m/>
    <n v="0"/>
    <n v="0"/>
    <m/>
    <m/>
    <m/>
    <m/>
    <m/>
    <m/>
    <m/>
    <m/>
    <n v="0"/>
    <n v="0"/>
    <n v="0"/>
    <n v="0"/>
    <n v="2064.4255555555555"/>
    <n v="2255.5311111111114"/>
  </r>
  <r>
    <x v="9"/>
    <s v="Roanoke-Chowan Community College"/>
    <m/>
    <n v="199467"/>
    <x v="8"/>
    <s v="sem"/>
    <m/>
    <m/>
    <m/>
    <n v="8412"/>
    <n v="7716"/>
    <n v="1"/>
    <n v="0"/>
    <n v="8427"/>
    <n v="8566"/>
    <n v="16840"/>
    <n v="561.33333333333337"/>
    <n v="16282"/>
    <n v="542.73333333333335"/>
    <n v="2033"/>
    <n v="2172"/>
    <n v="16840"/>
    <n v="16282"/>
    <m/>
    <m/>
    <n v="60093"/>
    <n v="74253"/>
    <n v="40508"/>
    <n v="46554"/>
    <n v="69663"/>
    <n v="63832"/>
    <n v="170264"/>
    <n v="189.18222222222221"/>
    <n v="184639"/>
    <n v="205.15444444444444"/>
    <m/>
    <m/>
    <n v="0"/>
    <n v="0"/>
    <m/>
    <m/>
    <m/>
    <m/>
    <m/>
    <m/>
    <m/>
    <m/>
    <n v="0"/>
    <n v="0"/>
    <n v="0"/>
    <n v="0"/>
    <n v="750.51555555555558"/>
    <n v="747.88777777777773"/>
  </r>
  <r>
    <x v="9"/>
    <s v="Rockingham Community College "/>
    <m/>
    <n v="199485"/>
    <x v="8"/>
    <s v="sem"/>
    <m/>
    <m/>
    <m/>
    <n v="22309"/>
    <n v="19300"/>
    <n v="5213"/>
    <n v="3816"/>
    <n v="24293"/>
    <n v="21803"/>
    <n v="51815"/>
    <n v="1727.1666666666667"/>
    <n v="44919"/>
    <n v="1497.3"/>
    <n v="1621"/>
    <n v="2597"/>
    <n v="51815"/>
    <n v="44919"/>
    <m/>
    <m/>
    <n v="92181"/>
    <n v="111454"/>
    <n v="65626"/>
    <n v="65301"/>
    <n v="117267"/>
    <n v="113318"/>
    <n v="275074"/>
    <n v="305.63777777777779"/>
    <n v="290073"/>
    <n v="322.30333333333334"/>
    <m/>
    <m/>
    <n v="0"/>
    <n v="0"/>
    <m/>
    <m/>
    <m/>
    <m/>
    <m/>
    <m/>
    <m/>
    <m/>
    <n v="0"/>
    <n v="0"/>
    <n v="0"/>
    <n v="0"/>
    <n v="2032.8044444444445"/>
    <n v="1819.6033333333332"/>
  </r>
  <r>
    <x v="9"/>
    <s v="Sampson Community College"/>
    <m/>
    <n v="199625"/>
    <x v="8"/>
    <s v="sem"/>
    <m/>
    <m/>
    <m/>
    <n v="13486"/>
    <n v="13272"/>
    <n v="809"/>
    <n v="863"/>
    <n v="14399"/>
    <n v="13836"/>
    <n v="28694"/>
    <n v="956.4666666666667"/>
    <n v="27971"/>
    <n v="932.36666666666667"/>
    <n v="3649"/>
    <n v="3462"/>
    <n v="28694"/>
    <n v="27971"/>
    <m/>
    <m/>
    <n v="143871"/>
    <n v="143346"/>
    <n v="132606"/>
    <n v="113581"/>
    <n v="205930"/>
    <n v="205855"/>
    <n v="482407"/>
    <n v="536.00777777777773"/>
    <n v="462782"/>
    <n v="514.20222222222219"/>
    <m/>
    <m/>
    <n v="0"/>
    <n v="0"/>
    <m/>
    <m/>
    <m/>
    <m/>
    <m/>
    <m/>
    <m/>
    <m/>
    <n v="0"/>
    <n v="0"/>
    <n v="0"/>
    <n v="0"/>
    <n v="1492.4744444444445"/>
    <n v="1446.568888888889"/>
  </r>
  <r>
    <x v="9"/>
    <s v="South Piedmont Community College"/>
    <s v="Met the criteria for Two-Year 2 in 2012-13."/>
    <n v="197850"/>
    <x v="8"/>
    <s v="sem"/>
    <m/>
    <m/>
    <m/>
    <n v="19979"/>
    <n v="17968"/>
    <n v="3697"/>
    <n v="3430"/>
    <n v="22431"/>
    <n v="20086"/>
    <n v="46107"/>
    <n v="1536.9"/>
    <n v="41484"/>
    <n v="1382.8"/>
    <n v="6356"/>
    <n v="6889"/>
    <n v="46107"/>
    <n v="41484"/>
    <m/>
    <m/>
    <n v="231117"/>
    <n v="249826"/>
    <n v="157789"/>
    <n v="171283"/>
    <n v="271992"/>
    <n v="271279"/>
    <n v="660898"/>
    <n v="734.33111111111111"/>
    <n v="692388"/>
    <n v="769.32"/>
    <m/>
    <m/>
    <n v="0"/>
    <n v="0"/>
    <m/>
    <m/>
    <m/>
    <m/>
    <m/>
    <m/>
    <m/>
    <m/>
    <n v="0"/>
    <n v="0"/>
    <n v="0"/>
    <n v="0"/>
    <n v="2271.2311111111112"/>
    <n v="2152.12"/>
  </r>
  <r>
    <x v="9"/>
    <s v="Southeastern Community College "/>
    <s v="Met the criteria for Two-Year 2 in 2012-13."/>
    <n v="199722"/>
    <x v="8"/>
    <s v="sem"/>
    <m/>
    <m/>
    <m/>
    <n v="19478"/>
    <n v="16228"/>
    <n v="6672"/>
    <n v="4842"/>
    <n v="21083"/>
    <n v="19135"/>
    <n v="47233"/>
    <n v="1574.4333333333334"/>
    <n v="40205"/>
    <n v="1340.1666666666667"/>
    <n v="3605"/>
    <n v="3032"/>
    <n v="47233"/>
    <n v="40205"/>
    <m/>
    <m/>
    <n v="255090"/>
    <n v="265023"/>
    <n v="159526"/>
    <n v="167311"/>
    <n v="256512"/>
    <n v="307655"/>
    <n v="671128"/>
    <n v="745.69777777777779"/>
    <n v="739989"/>
    <n v="822.21"/>
    <m/>
    <m/>
    <n v="0"/>
    <n v="0"/>
    <m/>
    <m/>
    <m/>
    <m/>
    <m/>
    <m/>
    <m/>
    <m/>
    <n v="0"/>
    <n v="0"/>
    <n v="0"/>
    <n v="0"/>
    <n v="2320.1311111111113"/>
    <n v="2162.376666666667"/>
  </r>
  <r>
    <x v="9"/>
    <s v="Southwestern Community College "/>
    <s v="Met the criteria for Two-Year 2 in 2012-13."/>
    <n v="199731"/>
    <x v="8"/>
    <s v="sem"/>
    <m/>
    <m/>
    <m/>
    <n v="21253"/>
    <n v="21882"/>
    <n v="6275"/>
    <n v="5625"/>
    <n v="22664"/>
    <n v="21977"/>
    <n v="50192"/>
    <n v="1673.0666666666666"/>
    <n v="49484"/>
    <n v="1649.4666666666667"/>
    <n v="6592"/>
    <n v="6882"/>
    <n v="50192"/>
    <n v="49484"/>
    <m/>
    <m/>
    <n v="190333"/>
    <n v="166775"/>
    <n v="99890"/>
    <n v="71369"/>
    <n v="199345"/>
    <n v="164413"/>
    <n v="489568"/>
    <n v="543.96444444444444"/>
    <n v="402557"/>
    <n v="447.28555555555556"/>
    <m/>
    <m/>
    <n v="0"/>
    <n v="0"/>
    <m/>
    <m/>
    <m/>
    <m/>
    <m/>
    <m/>
    <m/>
    <m/>
    <n v="0"/>
    <n v="0"/>
    <n v="0"/>
    <n v="0"/>
    <n v="2217.0311111111109"/>
    <n v="2096.7522222222224"/>
  </r>
  <r>
    <x v="9"/>
    <s v="Tri-County Community College "/>
    <m/>
    <n v="199795"/>
    <x v="8"/>
    <s v="sem"/>
    <m/>
    <m/>
    <m/>
    <n v="11498"/>
    <n v="11742"/>
    <n v="2450"/>
    <n v="1808"/>
    <n v="11545"/>
    <n v="12576"/>
    <n v="25493"/>
    <n v="849.76666666666665"/>
    <n v="26126"/>
    <n v="870.86666666666667"/>
    <n v="4834"/>
    <n v="4048"/>
    <n v="25493"/>
    <n v="26126"/>
    <m/>
    <m/>
    <n v="62294"/>
    <n v="49211"/>
    <n v="36042"/>
    <n v="34904"/>
    <n v="78550"/>
    <n v="78978"/>
    <n v="176886"/>
    <n v="196.54"/>
    <n v="163093"/>
    <n v="181.21444444444444"/>
    <m/>
    <m/>
    <n v="0"/>
    <n v="0"/>
    <m/>
    <m/>
    <m/>
    <m/>
    <m/>
    <m/>
    <m/>
    <m/>
    <n v="0"/>
    <n v="0"/>
    <n v="0"/>
    <n v="0"/>
    <n v="1046.3066666666666"/>
    <n v="1052.0811111111111"/>
  </r>
  <r>
    <x v="9"/>
    <s v="Wilson Community College"/>
    <m/>
    <n v="199953"/>
    <x v="8"/>
    <s v="sem"/>
    <m/>
    <m/>
    <m/>
    <n v="19804"/>
    <n v="17037"/>
    <n v="9162"/>
    <n v="6508"/>
    <n v="20492"/>
    <n v="17755"/>
    <n v="49458"/>
    <n v="1648.6"/>
    <n v="41300"/>
    <n v="1376.6666666666667"/>
    <n v="1425"/>
    <n v="2185"/>
    <n v="49458"/>
    <n v="41300"/>
    <m/>
    <m/>
    <n v="144901"/>
    <n v="142061"/>
    <n v="81745"/>
    <n v="86191"/>
    <n v="140580"/>
    <n v="138636"/>
    <n v="367226"/>
    <n v="408.0288888888889"/>
    <n v="366888"/>
    <n v="407.65333333333331"/>
    <m/>
    <m/>
    <n v="0"/>
    <n v="0"/>
    <m/>
    <m/>
    <m/>
    <m/>
    <m/>
    <m/>
    <m/>
    <m/>
    <n v="0"/>
    <n v="0"/>
    <n v="0"/>
    <n v="0"/>
    <n v="2056.6288888888889"/>
    <n v="1784.3200000000002"/>
  </r>
  <r>
    <x v="10"/>
    <s v="Oklahoma State University Main Campus"/>
    <m/>
    <n v="207388"/>
    <x v="0"/>
    <s v="sem"/>
    <s v="sem"/>
    <m/>
    <m/>
    <n v="243811"/>
    <n v="238876"/>
    <n v="32147"/>
    <n v="29304"/>
    <n v="268237"/>
    <n v="271847"/>
    <n v="544195"/>
    <n v="18139.833333333332"/>
    <n v="540027"/>
    <n v="18000.900000000001"/>
    <n v="1384"/>
    <n v="928"/>
    <n v="544195"/>
    <n v="540027"/>
    <m/>
    <m/>
    <m/>
    <m/>
    <m/>
    <m/>
    <m/>
    <m/>
    <n v="0"/>
    <n v="0"/>
    <n v="0"/>
    <n v="0"/>
    <m/>
    <m/>
    <n v="0"/>
    <n v="0"/>
    <m/>
    <m/>
    <n v="46816"/>
    <n v="29834"/>
    <n v="23316"/>
    <n v="11592"/>
    <n v="46543"/>
    <n v="31804"/>
    <n v="116675"/>
    <n v="4861.458333333333"/>
    <n v="73230"/>
    <n v="3051.25"/>
    <n v="23001.291666666664"/>
    <n v="21052.15"/>
  </r>
  <r>
    <x v="10"/>
    <s v="University of Oklahoma Norman Campus"/>
    <m/>
    <n v="207500"/>
    <x v="0"/>
    <s v="sem"/>
    <s v="sem"/>
    <m/>
    <m/>
    <n v="242922"/>
    <n v="252252"/>
    <n v="34284"/>
    <n v="35800"/>
    <n v="269398"/>
    <n v="274415"/>
    <n v="546604"/>
    <n v="18220.133333333335"/>
    <n v="562467"/>
    <n v="18748.900000000001"/>
    <n v="578"/>
    <n v="615"/>
    <n v="546604"/>
    <n v="562467"/>
    <m/>
    <m/>
    <m/>
    <m/>
    <m/>
    <m/>
    <m/>
    <m/>
    <n v="0"/>
    <n v="0"/>
    <n v="0"/>
    <n v="0"/>
    <m/>
    <m/>
    <n v="0"/>
    <n v="0"/>
    <m/>
    <m/>
    <n v="53722"/>
    <n v="45703"/>
    <n v="17476"/>
    <n v="14435"/>
    <n v="52520"/>
    <n v="46245"/>
    <n v="123718"/>
    <n v="5154.916666666667"/>
    <n v="106383"/>
    <n v="4432.625"/>
    <n v="23375.050000000003"/>
    <n v="23181.525000000001"/>
  </r>
  <r>
    <x v="10"/>
    <s v="Northeastern State University"/>
    <m/>
    <n v="207263"/>
    <x v="2"/>
    <s v="sem"/>
    <s v="sem"/>
    <m/>
    <m/>
    <n v="94451"/>
    <n v="85290"/>
    <n v="19543"/>
    <n v="14964"/>
    <n v="97194"/>
    <n v="89074"/>
    <n v="211188"/>
    <n v="7039.6"/>
    <n v="189328"/>
    <n v="6310.9333333333334"/>
    <n v="1257"/>
    <n v="1291"/>
    <n v="211188"/>
    <n v="189328"/>
    <m/>
    <m/>
    <m/>
    <m/>
    <m/>
    <m/>
    <m/>
    <m/>
    <n v="0"/>
    <n v="0"/>
    <n v="0"/>
    <n v="0"/>
    <m/>
    <m/>
    <n v="0"/>
    <n v="0"/>
    <m/>
    <m/>
    <n v="8145"/>
    <n v="9024"/>
    <n v="3699"/>
    <n v="3839"/>
    <n v="8755"/>
    <n v="9167"/>
    <n v="20599"/>
    <n v="858.29166666666663"/>
    <n v="22030"/>
    <n v="917.91666666666663"/>
    <n v="7897.8916666666673"/>
    <n v="7228.85"/>
  </r>
  <r>
    <x v="10"/>
    <s v="University of Central Oklahoma"/>
    <m/>
    <n v="206941"/>
    <x v="2"/>
    <s v="sem"/>
    <s v="sem"/>
    <m/>
    <m/>
    <n v="163355"/>
    <n v="162812"/>
    <n v="28818"/>
    <n v="28321"/>
    <n v="181141"/>
    <n v="179556"/>
    <n v="373314"/>
    <n v="12443.8"/>
    <n v="370689"/>
    <n v="12356.3"/>
    <n v="1280"/>
    <n v="1221"/>
    <n v="373314"/>
    <n v="370689"/>
    <m/>
    <m/>
    <m/>
    <m/>
    <m/>
    <m/>
    <m/>
    <m/>
    <n v="0"/>
    <n v="0"/>
    <n v="0"/>
    <n v="0"/>
    <m/>
    <m/>
    <n v="0"/>
    <n v="0"/>
    <m/>
    <m/>
    <n v="11856"/>
    <n v="12486"/>
    <n v="4480"/>
    <n v="4394"/>
    <n v="11896"/>
    <n v="12704"/>
    <n v="28232"/>
    <n v="1176.3333333333333"/>
    <n v="29584"/>
    <n v="1232.6666666666667"/>
    <n v="13620.133333333333"/>
    <n v="13588.966666666665"/>
  </r>
  <r>
    <x v="10"/>
    <s v="Southeastern Oklahoma State University "/>
    <s v="Reclassified: met the criteria for Four-Year 4 in 2010-11, 2011-12, and 2012-13."/>
    <n v="207847"/>
    <x v="3"/>
    <s v="sem"/>
    <s v="sem"/>
    <m/>
    <m/>
    <n v="41875"/>
    <n v="41668"/>
    <n v="9763"/>
    <n v="7910"/>
    <n v="46242"/>
    <n v="45303"/>
    <n v="97880"/>
    <n v="3262.6666666666665"/>
    <n v="94881"/>
    <n v="3162.7"/>
    <n v="1492"/>
    <n v="1420"/>
    <n v="97880"/>
    <n v="94881"/>
    <m/>
    <m/>
    <m/>
    <m/>
    <m/>
    <m/>
    <m/>
    <m/>
    <n v="0"/>
    <n v="0"/>
    <n v="0"/>
    <n v="0"/>
    <m/>
    <m/>
    <n v="0"/>
    <n v="0"/>
    <m/>
    <m/>
    <n v="2540"/>
    <n v="2410"/>
    <n v="1179"/>
    <n v="1192"/>
    <n v="2460"/>
    <n v="2539"/>
    <n v="6179"/>
    <n v="257.45833333333331"/>
    <n v="6141"/>
    <n v="255.875"/>
    <n v="3520.125"/>
    <n v="3418.5749999999998"/>
  </r>
  <r>
    <x v="10"/>
    <s v="Cameron University "/>
    <m/>
    <n v="206914"/>
    <x v="4"/>
    <s v="sem"/>
    <s v="sem"/>
    <m/>
    <m/>
    <n v="60437"/>
    <n v="60373"/>
    <n v="13235"/>
    <n v="11666"/>
    <n v="65372"/>
    <n v="61514"/>
    <n v="139044"/>
    <n v="4634.8"/>
    <n v="133553"/>
    <n v="4451.7666666666664"/>
    <n v="2388"/>
    <n v="2422"/>
    <n v="139044"/>
    <n v="133553"/>
    <m/>
    <m/>
    <m/>
    <m/>
    <m/>
    <m/>
    <m/>
    <m/>
    <n v="0"/>
    <n v="0"/>
    <n v="0"/>
    <n v="0"/>
    <m/>
    <m/>
    <n v="0"/>
    <n v="0"/>
    <m/>
    <m/>
    <n v="2960"/>
    <n v="3606"/>
    <n v="1065"/>
    <n v="1038"/>
    <n v="3424"/>
    <n v="3734"/>
    <n v="7449"/>
    <n v="310.375"/>
    <n v="8378"/>
    <n v="349.08333333333331"/>
    <n v="4945.1750000000002"/>
    <n v="4800.8499999999995"/>
  </r>
  <r>
    <x v="10"/>
    <s v="East Central University "/>
    <m/>
    <n v="207041"/>
    <x v="4"/>
    <s v="sem"/>
    <s v="sem"/>
    <m/>
    <m/>
    <n v="47494"/>
    <n v="46437"/>
    <n v="9511"/>
    <n v="7929"/>
    <n v="49659"/>
    <n v="48375"/>
    <n v="106664"/>
    <n v="3555.4666666666667"/>
    <n v="102741"/>
    <n v="3424.7"/>
    <n v="924"/>
    <n v="1013"/>
    <n v="106664"/>
    <n v="102741"/>
    <m/>
    <m/>
    <m/>
    <m/>
    <m/>
    <m/>
    <m/>
    <m/>
    <n v="0"/>
    <n v="0"/>
    <n v="0"/>
    <n v="0"/>
    <m/>
    <m/>
    <n v="0"/>
    <n v="0"/>
    <m/>
    <m/>
    <n v="5983"/>
    <n v="6248"/>
    <n v="3886"/>
    <n v="3766"/>
    <n v="5887"/>
    <n v="6269"/>
    <n v="15756"/>
    <n v="656.5"/>
    <n v="16283"/>
    <n v="678.45833333333337"/>
    <n v="4211.9666666666672"/>
    <n v="4103.1583333333328"/>
  </r>
  <r>
    <x v="10"/>
    <s v="Langston University"/>
    <m/>
    <n v="207209"/>
    <x v="4"/>
    <s v="sem"/>
    <s v="sem"/>
    <m/>
    <m/>
    <n v="27007"/>
    <n v="27049"/>
    <n v="4709"/>
    <n v="3147"/>
    <n v="30254"/>
    <n v="26360"/>
    <n v="61970"/>
    <n v="2065.6666666666665"/>
    <n v="56556"/>
    <n v="1885.2"/>
    <n v="23"/>
    <m/>
    <n v="61970"/>
    <n v="0"/>
    <m/>
    <m/>
    <m/>
    <m/>
    <m/>
    <m/>
    <m/>
    <m/>
    <n v="0"/>
    <n v="0"/>
    <n v="0"/>
    <n v="0"/>
    <m/>
    <m/>
    <n v="0"/>
    <n v="0"/>
    <m/>
    <m/>
    <n v="3946"/>
    <n v="3575"/>
    <n v="1925"/>
    <n v="1614"/>
    <n v="4124"/>
    <n v="3147"/>
    <n v="9995"/>
    <n v="416.45833333333331"/>
    <n v="8336"/>
    <n v="347.33333333333331"/>
    <n v="2482.125"/>
    <n v="2232.5333333333333"/>
  </r>
  <r>
    <x v="10"/>
    <s v="Northwestern Oklahoma State University "/>
    <m/>
    <n v="207306"/>
    <x v="4"/>
    <s v="sem"/>
    <s v="sem"/>
    <m/>
    <m/>
    <n v="25289"/>
    <n v="22172"/>
    <n v="3916"/>
    <n v="3215"/>
    <n v="27352"/>
    <n v="24835"/>
    <n v="56557"/>
    <n v="1885.2333333333333"/>
    <n v="50222"/>
    <n v="1674.0666666666666"/>
    <n v="300"/>
    <n v="498"/>
    <n v="56557"/>
    <n v="50222"/>
    <m/>
    <m/>
    <m/>
    <m/>
    <m/>
    <m/>
    <m/>
    <m/>
    <n v="0"/>
    <n v="0"/>
    <n v="0"/>
    <n v="0"/>
    <m/>
    <m/>
    <n v="0"/>
    <n v="0"/>
    <m/>
    <m/>
    <n v="965"/>
    <n v="978"/>
    <n v="566"/>
    <n v="787"/>
    <n v="911"/>
    <n v="1061"/>
    <n v="2442"/>
    <n v="101.75"/>
    <n v="2826"/>
    <n v="117.75"/>
    <n v="1986.9833333333333"/>
    <n v="1791.8166666666666"/>
  </r>
  <r>
    <x v="10"/>
    <s v="Southwestern Oklahoma State University"/>
    <m/>
    <n v="207865"/>
    <x v="4"/>
    <s v="sem"/>
    <s v="sem"/>
    <m/>
    <m/>
    <n v="54953"/>
    <n v="50372"/>
    <n v="9752"/>
    <n v="8626"/>
    <n v="60072"/>
    <n v="55001"/>
    <n v="124777"/>
    <n v="4159.2333333333336"/>
    <n v="113999"/>
    <n v="3799.9666666666667"/>
    <n v="1578"/>
    <n v="1434"/>
    <n v="124777"/>
    <n v="113999"/>
    <m/>
    <m/>
    <m/>
    <m/>
    <m/>
    <m/>
    <m/>
    <m/>
    <n v="0"/>
    <n v="0"/>
    <n v="0"/>
    <n v="0"/>
    <m/>
    <m/>
    <n v="0"/>
    <n v="0"/>
    <m/>
    <m/>
    <n v="5593"/>
    <n v="8514"/>
    <n v="3039"/>
    <n v="2357"/>
    <n v="5546"/>
    <n v="8610"/>
    <n v="14178"/>
    <n v="590.75"/>
    <n v="19481"/>
    <n v="811.70833333333337"/>
    <n v="4749.9833333333336"/>
    <n v="4611.6750000000002"/>
  </r>
  <r>
    <x v="10"/>
    <s v="Oklahoma Panhandle State University "/>
    <m/>
    <n v="207351"/>
    <x v="5"/>
    <s v="sem"/>
    <s v="sem"/>
    <m/>
    <m/>
    <n v="16985"/>
    <n v="19721"/>
    <n v="0"/>
    <n v="1777"/>
    <n v="19682"/>
    <n v="20787"/>
    <n v="36667"/>
    <n v="1222.2333333333333"/>
    <n v="42285"/>
    <n v="1409.5"/>
    <n v="531"/>
    <n v="27"/>
    <n v="36667"/>
    <n v="42285"/>
    <m/>
    <m/>
    <m/>
    <m/>
    <m/>
    <m/>
    <m/>
    <m/>
    <n v="0"/>
    <n v="0"/>
    <n v="0"/>
    <n v="0"/>
    <m/>
    <m/>
    <n v="0"/>
    <n v="0"/>
    <m/>
    <m/>
    <m/>
    <m/>
    <m/>
    <m/>
    <m/>
    <m/>
    <n v="0"/>
    <n v="0"/>
    <n v="0"/>
    <n v="0"/>
    <n v="1222.2333333333333"/>
    <n v="1409.5"/>
  </r>
  <r>
    <x v="10"/>
    <s v="Rogers State University"/>
    <m/>
    <n v="207661"/>
    <x v="5"/>
    <s v="sem"/>
    <s v="sem"/>
    <m/>
    <m/>
    <n v="45542"/>
    <n v="47320"/>
    <n v="7889"/>
    <n v="7856"/>
    <n v="51415"/>
    <n v="69164"/>
    <n v="104846"/>
    <n v="3494.8666666666668"/>
    <n v="124340"/>
    <n v="4144.666666666667"/>
    <n v="4439"/>
    <n v="4343"/>
    <n v="104846"/>
    <n v="124340"/>
    <m/>
    <m/>
    <m/>
    <m/>
    <m/>
    <m/>
    <m/>
    <m/>
    <n v="0"/>
    <n v="0"/>
    <n v="0"/>
    <n v="0"/>
    <m/>
    <m/>
    <n v="0"/>
    <n v="0"/>
    <m/>
    <m/>
    <m/>
    <m/>
    <m/>
    <m/>
    <m/>
    <m/>
    <n v="0"/>
    <n v="0"/>
    <n v="0"/>
    <n v="0"/>
    <n v="3494.8666666666668"/>
    <n v="4144.666666666667"/>
  </r>
  <r>
    <x v="10"/>
    <s v="University of Science and Arts of Oklahoma"/>
    <m/>
    <n v="207722"/>
    <x v="5"/>
    <s v="sem"/>
    <s v="sem"/>
    <m/>
    <m/>
    <n v="12170"/>
    <n v="11408"/>
    <n v="5124"/>
    <n v="4533"/>
    <n v="13516"/>
    <n v="12452"/>
    <n v="30810"/>
    <n v="1027"/>
    <n v="28393"/>
    <n v="946.43333333333328"/>
    <n v="107"/>
    <n v="81"/>
    <n v="30810"/>
    <n v="28393"/>
    <m/>
    <m/>
    <m/>
    <m/>
    <m/>
    <m/>
    <m/>
    <m/>
    <n v="0"/>
    <n v="0"/>
    <n v="0"/>
    <n v="0"/>
    <m/>
    <m/>
    <n v="0"/>
    <n v="0"/>
    <m/>
    <m/>
    <m/>
    <m/>
    <m/>
    <m/>
    <m/>
    <m/>
    <n v="0"/>
    <n v="0"/>
    <n v="0"/>
    <n v="0"/>
    <n v="1027"/>
    <n v="946.43333333333328"/>
  </r>
  <r>
    <x v="10"/>
    <s v="Oklahoma State University Technical Branch-Okmulgee "/>
    <s v="Met the criteria for Two-Year 2 institution in 2012-13."/>
    <n v="207564"/>
    <x v="11"/>
    <s v="sem"/>
    <s v="sem"/>
    <m/>
    <m/>
    <n v="33722"/>
    <n v="35913"/>
    <n v="23376"/>
    <n v="23086"/>
    <n v="38717"/>
    <n v="63107"/>
    <n v="95815"/>
    <n v="3193.8333333333335"/>
    <n v="122106"/>
    <n v="4070.2"/>
    <n v="6242"/>
    <n v="6935"/>
    <n v="95815"/>
    <n v="122106"/>
    <m/>
    <m/>
    <m/>
    <m/>
    <m/>
    <m/>
    <m/>
    <m/>
    <n v="0"/>
    <n v="0"/>
    <n v="0"/>
    <n v="0"/>
    <m/>
    <m/>
    <n v="0"/>
    <n v="0"/>
    <m/>
    <m/>
    <m/>
    <m/>
    <m/>
    <m/>
    <m/>
    <m/>
    <n v="0"/>
    <n v="0"/>
    <n v="0"/>
    <n v="0"/>
    <n v="3193.8333333333335"/>
    <n v="4070.2"/>
  </r>
  <r>
    <x v="10"/>
    <s v="Oklahoma State University-Oklahoma City "/>
    <s v="Met the criteria for Two-Year 1 institution in 2012-13."/>
    <n v="207397"/>
    <x v="11"/>
    <s v="sem"/>
    <s v="sem"/>
    <m/>
    <m/>
    <n v="72667"/>
    <n v="71170"/>
    <n v="20321"/>
    <n v="20908"/>
    <n v="76269"/>
    <n v="70785"/>
    <n v="169257"/>
    <n v="5641.9"/>
    <n v="162863"/>
    <n v="5428.7666666666664"/>
    <n v="1691"/>
    <n v="3298"/>
    <n v="169257"/>
    <n v="162863"/>
    <m/>
    <m/>
    <m/>
    <m/>
    <m/>
    <m/>
    <m/>
    <m/>
    <n v="0"/>
    <n v="0"/>
    <n v="0"/>
    <n v="0"/>
    <m/>
    <m/>
    <n v="0"/>
    <n v="0"/>
    <m/>
    <m/>
    <m/>
    <m/>
    <m/>
    <m/>
    <n v="54"/>
    <m/>
    <n v="54"/>
    <n v="2.25"/>
    <n v="0"/>
    <n v="0"/>
    <n v="5644.15"/>
    <n v="5428.7666666666664"/>
  </r>
  <r>
    <x v="10"/>
    <s v="Oklahoma City Community College "/>
    <m/>
    <n v="207449"/>
    <x v="6"/>
    <s v="sem"/>
    <s v="sem"/>
    <m/>
    <m/>
    <n v="125945"/>
    <n v="120354"/>
    <n v="34792"/>
    <n v="32182"/>
    <n v="133275"/>
    <n v="122469"/>
    <n v="294012"/>
    <n v="9800.4"/>
    <n v="275005"/>
    <n v="9166.8333333333339"/>
    <n v="19475"/>
    <n v="11026"/>
    <n v="294012"/>
    <n v="275005"/>
    <m/>
    <m/>
    <m/>
    <m/>
    <m/>
    <m/>
    <m/>
    <m/>
    <n v="0"/>
    <n v="0"/>
    <n v="0"/>
    <n v="0"/>
    <m/>
    <m/>
    <n v="0"/>
    <n v="0"/>
    <m/>
    <m/>
    <m/>
    <m/>
    <m/>
    <m/>
    <m/>
    <m/>
    <n v="0"/>
    <n v="0"/>
    <n v="0"/>
    <n v="0"/>
    <n v="9800.4"/>
    <n v="9166.8333333333339"/>
  </r>
  <r>
    <x v="10"/>
    <s v="Rose State College "/>
    <m/>
    <n v="207670"/>
    <x v="6"/>
    <s v="sem"/>
    <s v="sem"/>
    <m/>
    <m/>
    <n v="71497"/>
    <n v="67236"/>
    <n v="18714"/>
    <n v="15835"/>
    <n v="71795"/>
    <n v="69916"/>
    <n v="162006"/>
    <n v="5400.2"/>
    <n v="152987"/>
    <n v="5099.5666666666666"/>
    <n v="3652"/>
    <n v="4372"/>
    <n v="162006"/>
    <n v="152987"/>
    <m/>
    <m/>
    <m/>
    <m/>
    <m/>
    <m/>
    <m/>
    <m/>
    <n v="0"/>
    <n v="0"/>
    <n v="0"/>
    <n v="0"/>
    <m/>
    <m/>
    <n v="0"/>
    <n v="0"/>
    <m/>
    <m/>
    <m/>
    <m/>
    <m/>
    <m/>
    <m/>
    <m/>
    <n v="0"/>
    <n v="0"/>
    <n v="0"/>
    <n v="0"/>
    <n v="5400.2"/>
    <n v="5099.5666666666666"/>
  </r>
  <r>
    <x v="10"/>
    <s v="Tulsa Community College "/>
    <m/>
    <n v="207935"/>
    <x v="6"/>
    <s v="sem"/>
    <s v="sem"/>
    <m/>
    <m/>
    <n v="168178"/>
    <n v="165422"/>
    <n v="49710"/>
    <n v="47844"/>
    <n v="179122"/>
    <n v="169640"/>
    <n v="397010"/>
    <n v="13233.666666666666"/>
    <n v="382906"/>
    <n v="12763.533333333333"/>
    <n v="13897"/>
    <n v="14477"/>
    <n v="397010"/>
    <n v="382906"/>
    <m/>
    <m/>
    <m/>
    <m/>
    <m/>
    <m/>
    <m/>
    <m/>
    <n v="0"/>
    <n v="0"/>
    <n v="0"/>
    <n v="0"/>
    <m/>
    <m/>
    <n v="0"/>
    <n v="0"/>
    <m/>
    <m/>
    <m/>
    <m/>
    <m/>
    <m/>
    <m/>
    <m/>
    <n v="0"/>
    <n v="0"/>
    <n v="0"/>
    <n v="0"/>
    <n v="13233.666666666666"/>
    <n v="12763.533333333333"/>
  </r>
  <r>
    <x v="10"/>
    <s v="Carl Albert State College"/>
    <s v="Reclassified: met the criteria for Two-Year 2 institution in 2010-11, 2011-12, and 2012-13."/>
    <n v="206923"/>
    <x v="7"/>
    <s v="sem"/>
    <s v="sem"/>
    <m/>
    <m/>
    <n v="28041"/>
    <n v="28774"/>
    <n v="5656"/>
    <n v="4168"/>
    <n v="29644"/>
    <n v="29971"/>
    <n v="63341"/>
    <n v="2111.3666666666668"/>
    <n v="62913"/>
    <n v="2097.1"/>
    <n v="2257"/>
    <n v="2406"/>
    <n v="63341"/>
    <n v="62913"/>
    <m/>
    <m/>
    <m/>
    <m/>
    <m/>
    <m/>
    <m/>
    <m/>
    <n v="0"/>
    <n v="0"/>
    <n v="0"/>
    <n v="0"/>
    <m/>
    <m/>
    <n v="0"/>
    <n v="0"/>
    <m/>
    <m/>
    <m/>
    <m/>
    <m/>
    <m/>
    <m/>
    <m/>
    <n v="0"/>
    <n v="0"/>
    <n v="0"/>
    <n v="0"/>
    <n v="2111.3666666666668"/>
    <n v="2097.1"/>
  </r>
  <r>
    <x v="10"/>
    <s v="Northern Oklahoma College "/>
    <m/>
    <n v="207281"/>
    <x v="7"/>
    <s v="sem"/>
    <s v="sem"/>
    <m/>
    <m/>
    <n v="51117"/>
    <n v="49789"/>
    <n v="15509"/>
    <n v="6950"/>
    <n v="53704"/>
    <n v="31427"/>
    <n v="120330"/>
    <n v="4011"/>
    <n v="88166"/>
    <n v="2938.8666666666668"/>
    <n v="6788"/>
    <n v="6566"/>
    <n v="120330"/>
    <n v="88166"/>
    <m/>
    <m/>
    <m/>
    <m/>
    <m/>
    <m/>
    <m/>
    <m/>
    <n v="0"/>
    <n v="0"/>
    <n v="0"/>
    <n v="0"/>
    <m/>
    <m/>
    <n v="0"/>
    <n v="0"/>
    <m/>
    <m/>
    <m/>
    <m/>
    <m/>
    <m/>
    <m/>
    <m/>
    <n v="0"/>
    <n v="0"/>
    <n v="0"/>
    <n v="0"/>
    <n v="4011"/>
    <n v="2938.8666666666668"/>
  </r>
  <r>
    <x v="10"/>
    <s v="Connors State College "/>
    <s v="Met the criteria for Two-Year 2 institution in 2012-13."/>
    <n v="206996"/>
    <x v="8"/>
    <s v="sem"/>
    <s v="sem"/>
    <m/>
    <m/>
    <n v="25793"/>
    <n v="29393"/>
    <n v="5076"/>
    <m/>
    <n v="26261"/>
    <n v="32097"/>
    <n v="57130"/>
    <n v="1904.3333333333333"/>
    <n v="61490"/>
    <n v="2049.6666666666665"/>
    <n v="1770"/>
    <n v="1409"/>
    <n v="57130"/>
    <n v="61490"/>
    <m/>
    <m/>
    <m/>
    <m/>
    <m/>
    <m/>
    <m/>
    <m/>
    <n v="0"/>
    <n v="0"/>
    <n v="0"/>
    <n v="0"/>
    <m/>
    <m/>
    <n v="0"/>
    <n v="0"/>
    <m/>
    <m/>
    <m/>
    <m/>
    <m/>
    <m/>
    <m/>
    <m/>
    <n v="0"/>
    <n v="0"/>
    <n v="0"/>
    <n v="0"/>
    <n v="1904.3333333333333"/>
    <n v="2049.6666666666665"/>
  </r>
  <r>
    <x v="10"/>
    <s v="Eastern Oklahoma State College "/>
    <m/>
    <n v="207050"/>
    <x v="8"/>
    <s v="sem"/>
    <s v="sem"/>
    <m/>
    <m/>
    <n v="20733"/>
    <n v="19429"/>
    <n v="4060"/>
    <n v="3195"/>
    <n v="20564"/>
    <n v="25914"/>
    <n v="45357"/>
    <n v="1511.9"/>
    <n v="48538"/>
    <n v="1617.9333333333334"/>
    <n v="2828"/>
    <n v="3338"/>
    <n v="45357"/>
    <n v="48538"/>
    <m/>
    <m/>
    <m/>
    <m/>
    <m/>
    <m/>
    <m/>
    <m/>
    <n v="0"/>
    <n v="0"/>
    <n v="0"/>
    <n v="0"/>
    <m/>
    <m/>
    <n v="0"/>
    <n v="0"/>
    <m/>
    <m/>
    <m/>
    <m/>
    <m/>
    <m/>
    <m/>
    <m/>
    <n v="0"/>
    <n v="0"/>
    <n v="0"/>
    <n v="0"/>
    <n v="1511.9"/>
    <n v="1617.9333333333334"/>
  </r>
  <r>
    <x v="10"/>
    <s v="Murray State College "/>
    <m/>
    <n v="207236"/>
    <x v="8"/>
    <s v="sem"/>
    <s v="sem"/>
    <m/>
    <m/>
    <n v="27511"/>
    <n v="25180"/>
    <n v="5120"/>
    <n v="4778"/>
    <n v="26573"/>
    <n v="20574"/>
    <n v="59204"/>
    <n v="1973.4666666666667"/>
    <n v="50532"/>
    <n v="1684.4"/>
    <n v="4433"/>
    <n v="4680"/>
    <n v="59204"/>
    <n v="50532"/>
    <m/>
    <m/>
    <m/>
    <m/>
    <m/>
    <m/>
    <m/>
    <m/>
    <n v="0"/>
    <n v="0"/>
    <n v="0"/>
    <n v="0"/>
    <m/>
    <m/>
    <n v="0"/>
    <n v="0"/>
    <m/>
    <m/>
    <m/>
    <m/>
    <m/>
    <m/>
    <m/>
    <m/>
    <n v="0"/>
    <n v="0"/>
    <n v="0"/>
    <n v="0"/>
    <n v="1973.4666666666667"/>
    <n v="1684.4"/>
  </r>
  <r>
    <x v="10"/>
    <s v="Northeastern Oklahoma A &amp; M College "/>
    <m/>
    <n v="207290"/>
    <x v="8"/>
    <s v="sem"/>
    <s v="sem"/>
    <m/>
    <m/>
    <n v="26454"/>
    <n v="27681"/>
    <n v="5227"/>
    <n v="3957"/>
    <n v="31953"/>
    <n v="26273"/>
    <n v="63634"/>
    <n v="2121.1333333333332"/>
    <n v="57911"/>
    <n v="1930.3666666666666"/>
    <n v="2297"/>
    <n v="1902"/>
    <n v="63634"/>
    <n v="57911"/>
    <m/>
    <m/>
    <m/>
    <m/>
    <m/>
    <m/>
    <m/>
    <m/>
    <n v="0"/>
    <n v="0"/>
    <n v="0"/>
    <n v="0"/>
    <m/>
    <m/>
    <n v="0"/>
    <n v="0"/>
    <m/>
    <m/>
    <m/>
    <m/>
    <m/>
    <m/>
    <m/>
    <m/>
    <n v="0"/>
    <n v="0"/>
    <n v="0"/>
    <n v="0"/>
    <n v="2121.1333333333332"/>
    <n v="1930.3666666666666"/>
  </r>
  <r>
    <x v="10"/>
    <s v="Redlands Community College"/>
    <m/>
    <n v="207069"/>
    <x v="8"/>
    <s v="sem"/>
    <s v="sem"/>
    <m/>
    <m/>
    <n v="22228"/>
    <n v="20375"/>
    <n v="4325"/>
    <n v="3843"/>
    <n v="22478"/>
    <n v="21220"/>
    <n v="49031"/>
    <n v="1634.3666666666666"/>
    <n v="45438"/>
    <n v="1514.6"/>
    <n v="7023"/>
    <n v="6994"/>
    <n v="49031"/>
    <n v="45438"/>
    <m/>
    <m/>
    <m/>
    <m/>
    <m/>
    <m/>
    <m/>
    <m/>
    <n v="0"/>
    <n v="0"/>
    <n v="0"/>
    <n v="0"/>
    <m/>
    <m/>
    <n v="0"/>
    <n v="0"/>
    <m/>
    <m/>
    <m/>
    <m/>
    <m/>
    <m/>
    <m/>
    <m/>
    <n v="0"/>
    <n v="0"/>
    <n v="0"/>
    <n v="0"/>
    <n v="1634.3666666666666"/>
    <n v="1514.6"/>
  </r>
  <r>
    <x v="10"/>
    <s v="Seminole State College "/>
    <m/>
    <n v="207740"/>
    <x v="8"/>
    <s v="sem"/>
    <s v="sem"/>
    <m/>
    <m/>
    <n v="22183"/>
    <n v="19994"/>
    <n v="3947"/>
    <n v="2802"/>
    <n v="23763"/>
    <n v="21107"/>
    <n v="49893"/>
    <n v="1663.1"/>
    <n v="43903"/>
    <n v="1463.4333333333334"/>
    <n v="2934"/>
    <n v="3646"/>
    <n v="49893"/>
    <n v="43903"/>
    <m/>
    <m/>
    <m/>
    <m/>
    <m/>
    <m/>
    <m/>
    <m/>
    <n v="0"/>
    <n v="0"/>
    <n v="0"/>
    <n v="0"/>
    <m/>
    <m/>
    <n v="0"/>
    <n v="0"/>
    <m/>
    <m/>
    <m/>
    <m/>
    <m/>
    <m/>
    <m/>
    <m/>
    <n v="0"/>
    <n v="0"/>
    <n v="0"/>
    <n v="0"/>
    <n v="1663.1"/>
    <n v="1463.4333333333334"/>
  </r>
  <r>
    <x v="10"/>
    <s v="Western Oklahoma State College "/>
    <s v="Met the criteria for Two-Year 2 institution in 2011-12 and 2012-13."/>
    <n v="208035"/>
    <x v="8"/>
    <s v="sem"/>
    <s v="sem"/>
    <m/>
    <m/>
    <n v="21802"/>
    <n v="20607"/>
    <n v="10560"/>
    <n v="12930"/>
    <n v="30686"/>
    <n v="31032"/>
    <n v="63048"/>
    <n v="2101.6"/>
    <n v="64569"/>
    <n v="2152.3000000000002"/>
    <n v="4374"/>
    <n v="3685"/>
    <n v="63048"/>
    <n v="64569"/>
    <m/>
    <m/>
    <m/>
    <m/>
    <m/>
    <m/>
    <m/>
    <m/>
    <n v="0"/>
    <n v="0"/>
    <n v="0"/>
    <n v="0"/>
    <m/>
    <m/>
    <n v="0"/>
    <n v="0"/>
    <m/>
    <m/>
    <m/>
    <m/>
    <m/>
    <m/>
    <m/>
    <m/>
    <n v="0"/>
    <n v="0"/>
    <n v="0"/>
    <n v="0"/>
    <n v="2101.6"/>
    <n v="2152.3000000000002"/>
  </r>
  <r>
    <x v="10"/>
    <s v="Canadian Valley Technology Center                 "/>
    <m/>
    <n v="365374"/>
    <x v="9"/>
    <m/>
    <m/>
    <m/>
    <m/>
    <m/>
    <m/>
    <m/>
    <m/>
    <m/>
    <m/>
    <n v="0"/>
    <n v="0"/>
    <n v="0"/>
    <n v="0"/>
    <m/>
    <m/>
    <n v="0"/>
    <n v="0"/>
    <m/>
    <m/>
    <m/>
    <m/>
    <m/>
    <m/>
    <n v="1157859.46"/>
    <n v="1005412"/>
    <n v="1157859.46"/>
    <n v="1286.5105111111111"/>
    <n v="1005412"/>
    <n v="1117.1244444444444"/>
    <m/>
    <m/>
    <n v="0"/>
    <n v="0"/>
    <m/>
    <m/>
    <m/>
    <m/>
    <m/>
    <m/>
    <m/>
    <m/>
    <n v="0"/>
    <n v="0"/>
    <n v="0"/>
    <n v="0"/>
    <n v="1286.5105111111111"/>
    <n v="1117.1244444444444"/>
  </r>
  <r>
    <x v="10"/>
    <s v="Francis Tuttle Technology Center                  "/>
    <m/>
    <n v="245999"/>
    <x v="9"/>
    <m/>
    <m/>
    <m/>
    <m/>
    <m/>
    <m/>
    <m/>
    <m/>
    <m/>
    <m/>
    <n v="0"/>
    <n v="0"/>
    <n v="0"/>
    <n v="0"/>
    <m/>
    <m/>
    <n v="0"/>
    <n v="0"/>
    <m/>
    <m/>
    <m/>
    <m/>
    <m/>
    <m/>
    <n v="1509993.25"/>
    <n v="1452946"/>
    <n v="1509993.25"/>
    <n v="1677.7702777777777"/>
    <n v="1452946"/>
    <n v="1614.3844444444444"/>
    <m/>
    <m/>
    <n v="0"/>
    <n v="0"/>
    <m/>
    <m/>
    <m/>
    <m/>
    <m/>
    <m/>
    <m/>
    <m/>
    <n v="0"/>
    <n v="0"/>
    <n v="0"/>
    <n v="0"/>
    <n v="1677.7702777777777"/>
    <n v="1614.3844444444444"/>
  </r>
  <r>
    <x v="10"/>
    <s v="Metro Technology Centers                          "/>
    <m/>
    <n v="363165"/>
    <x v="9"/>
    <m/>
    <m/>
    <m/>
    <m/>
    <m/>
    <m/>
    <m/>
    <m/>
    <m/>
    <m/>
    <n v="0"/>
    <n v="0"/>
    <n v="0"/>
    <n v="0"/>
    <m/>
    <m/>
    <n v="0"/>
    <n v="0"/>
    <m/>
    <m/>
    <m/>
    <m/>
    <m/>
    <m/>
    <n v="1206431.8999999999"/>
    <n v="1183530"/>
    <n v="1206431.8999999999"/>
    <n v="1340.4798888888888"/>
    <n v="1183530"/>
    <n v="1315.0333333333333"/>
    <m/>
    <m/>
    <n v="0"/>
    <n v="0"/>
    <m/>
    <m/>
    <m/>
    <m/>
    <m/>
    <m/>
    <m/>
    <m/>
    <n v="0"/>
    <n v="0"/>
    <n v="0"/>
    <n v="0"/>
    <n v="1340.4798888888888"/>
    <n v="1315.0333333333333"/>
  </r>
  <r>
    <x v="10"/>
    <s v="Autry Technology Center                           "/>
    <m/>
    <n v="365213"/>
    <x v="10"/>
    <m/>
    <m/>
    <m/>
    <m/>
    <m/>
    <m/>
    <m/>
    <m/>
    <m/>
    <m/>
    <n v="0"/>
    <n v="0"/>
    <n v="0"/>
    <n v="0"/>
    <m/>
    <m/>
    <n v="0"/>
    <n v="0"/>
    <m/>
    <m/>
    <m/>
    <m/>
    <m/>
    <m/>
    <n v="499956.15"/>
    <n v="487914"/>
    <n v="499956.15"/>
    <n v="555.50683333333336"/>
    <n v="487914"/>
    <n v="542.12666666666667"/>
    <m/>
    <m/>
    <n v="0"/>
    <n v="0"/>
    <m/>
    <m/>
    <m/>
    <m/>
    <m/>
    <m/>
    <m/>
    <m/>
    <n v="0"/>
    <n v="0"/>
    <n v="0"/>
    <n v="0"/>
    <n v="555.50683333333336"/>
    <n v="542.12666666666667"/>
  </r>
  <r>
    <x v="10"/>
    <s v="Caddo Kiowa Technology Center                     "/>
    <m/>
    <n v="364946"/>
    <x v="10"/>
    <m/>
    <m/>
    <m/>
    <m/>
    <m/>
    <m/>
    <m/>
    <m/>
    <m/>
    <m/>
    <n v="0"/>
    <n v="0"/>
    <n v="0"/>
    <n v="0"/>
    <m/>
    <m/>
    <n v="0"/>
    <n v="0"/>
    <m/>
    <m/>
    <m/>
    <m/>
    <m/>
    <m/>
    <n v="357117"/>
    <n v="324735"/>
    <n v="357117"/>
    <n v="396.79666666666668"/>
    <n v="324735"/>
    <n v="360.81666666666666"/>
    <m/>
    <m/>
    <n v="0"/>
    <n v="0"/>
    <m/>
    <m/>
    <m/>
    <m/>
    <m/>
    <m/>
    <m/>
    <m/>
    <n v="0"/>
    <n v="0"/>
    <n v="0"/>
    <n v="0"/>
    <n v="396.79666666666668"/>
    <n v="360.81666666666666"/>
  </r>
  <r>
    <x v="10"/>
    <s v="Central Technology Center                         "/>
    <m/>
    <n v="246017"/>
    <x v="10"/>
    <m/>
    <m/>
    <m/>
    <m/>
    <m/>
    <m/>
    <m/>
    <m/>
    <m/>
    <m/>
    <n v="0"/>
    <n v="0"/>
    <n v="0"/>
    <n v="0"/>
    <m/>
    <m/>
    <n v="0"/>
    <n v="0"/>
    <m/>
    <m/>
    <m/>
    <m/>
    <m/>
    <m/>
    <n v="778883.75"/>
    <n v="786172"/>
    <n v="778883.75"/>
    <n v="865.42638888888894"/>
    <n v="786172"/>
    <n v="873.5244444444445"/>
    <m/>
    <m/>
    <n v="0"/>
    <n v="0"/>
    <m/>
    <m/>
    <m/>
    <m/>
    <m/>
    <m/>
    <m/>
    <m/>
    <n v="0"/>
    <n v="0"/>
    <n v="0"/>
    <n v="0"/>
    <n v="865.42638888888894"/>
    <n v="873.5244444444445"/>
  </r>
  <r>
    <x v="10"/>
    <s v="Chisholm Trail Technology Center                  "/>
    <m/>
    <n v="375656"/>
    <x v="10"/>
    <m/>
    <m/>
    <m/>
    <m/>
    <m/>
    <m/>
    <m/>
    <m/>
    <m/>
    <m/>
    <n v="0"/>
    <n v="0"/>
    <n v="0"/>
    <n v="0"/>
    <m/>
    <m/>
    <n v="0"/>
    <n v="0"/>
    <m/>
    <m/>
    <m/>
    <m/>
    <m/>
    <m/>
    <n v="111580"/>
    <n v="92664"/>
    <n v="111580"/>
    <n v="123.97777777777777"/>
    <n v="92664"/>
    <n v="102.96"/>
    <m/>
    <m/>
    <n v="0"/>
    <n v="0"/>
    <m/>
    <m/>
    <m/>
    <m/>
    <m/>
    <m/>
    <m/>
    <m/>
    <n v="0"/>
    <n v="0"/>
    <n v="0"/>
    <n v="0"/>
    <n v="123.97777777777777"/>
    <n v="102.96"/>
  </r>
  <r>
    <x v="10"/>
    <s v="Eastern Oklahoma County Technology Center         "/>
    <m/>
    <n v="418348"/>
    <x v="10"/>
    <m/>
    <m/>
    <m/>
    <m/>
    <m/>
    <m/>
    <m/>
    <m/>
    <m/>
    <m/>
    <n v="0"/>
    <n v="0"/>
    <n v="0"/>
    <n v="0"/>
    <m/>
    <m/>
    <n v="0"/>
    <n v="0"/>
    <m/>
    <m/>
    <m/>
    <m/>
    <m/>
    <m/>
    <n v="331567"/>
    <n v="326980"/>
    <n v="331567"/>
    <n v="368.40777777777777"/>
    <n v="326980"/>
    <n v="363.31111111111113"/>
    <m/>
    <m/>
    <n v="0"/>
    <n v="0"/>
    <m/>
    <m/>
    <m/>
    <m/>
    <m/>
    <m/>
    <m/>
    <m/>
    <n v="0"/>
    <n v="0"/>
    <n v="0"/>
    <n v="0"/>
    <n v="368.40777777777777"/>
    <n v="363.31111111111113"/>
  </r>
  <r>
    <x v="10"/>
    <s v="Gordon Cooper Technology Center                   "/>
    <m/>
    <n v="375683"/>
    <x v="10"/>
    <m/>
    <m/>
    <m/>
    <m/>
    <m/>
    <m/>
    <m/>
    <m/>
    <m/>
    <m/>
    <n v="0"/>
    <n v="0"/>
    <n v="0"/>
    <n v="0"/>
    <m/>
    <m/>
    <n v="0"/>
    <n v="0"/>
    <m/>
    <m/>
    <m/>
    <m/>
    <m/>
    <m/>
    <n v="670476.5"/>
    <n v="680194"/>
    <n v="670476.5"/>
    <n v="744.97388888888884"/>
    <n v="680194"/>
    <n v="755.77111111111117"/>
    <m/>
    <m/>
    <n v="0"/>
    <n v="0"/>
    <m/>
    <m/>
    <m/>
    <m/>
    <m/>
    <m/>
    <m/>
    <m/>
    <n v="0"/>
    <n v="0"/>
    <n v="0"/>
    <n v="0"/>
    <n v="744.97388888888884"/>
    <n v="755.77111111111117"/>
  </r>
  <r>
    <x v="10"/>
    <s v="Great Plains Technology Center                    "/>
    <m/>
    <n v="364548"/>
    <x v="10"/>
    <m/>
    <m/>
    <m/>
    <m/>
    <m/>
    <m/>
    <m/>
    <m/>
    <m/>
    <m/>
    <n v="0"/>
    <n v="0"/>
    <n v="0"/>
    <n v="0"/>
    <m/>
    <m/>
    <n v="0"/>
    <n v="0"/>
    <m/>
    <m/>
    <m/>
    <m/>
    <m/>
    <m/>
    <n v="876995.5"/>
    <n v="827147"/>
    <n v="876995.5"/>
    <n v="974.43944444444446"/>
    <n v="827147"/>
    <n v="919.05222222222221"/>
    <m/>
    <m/>
    <n v="0"/>
    <n v="0"/>
    <m/>
    <m/>
    <m/>
    <m/>
    <m/>
    <m/>
    <m/>
    <m/>
    <n v="0"/>
    <n v="0"/>
    <n v="0"/>
    <n v="0"/>
    <n v="974.43944444444446"/>
    <n v="919.05222222222221"/>
  </r>
  <r>
    <x v="10"/>
    <s v="Green Country Technology Center                   "/>
    <m/>
    <n v="428019"/>
    <x v="10"/>
    <m/>
    <m/>
    <m/>
    <m/>
    <m/>
    <m/>
    <m/>
    <m/>
    <m/>
    <m/>
    <n v="0"/>
    <n v="0"/>
    <n v="0"/>
    <n v="0"/>
    <m/>
    <m/>
    <n v="0"/>
    <n v="0"/>
    <m/>
    <m/>
    <m/>
    <m/>
    <m/>
    <m/>
    <n v="248913"/>
    <n v="207618"/>
    <n v="248913"/>
    <n v="276.57"/>
    <n v="207618"/>
    <n v="230.68666666666667"/>
    <m/>
    <m/>
    <n v="0"/>
    <n v="0"/>
    <m/>
    <m/>
    <m/>
    <m/>
    <m/>
    <m/>
    <m/>
    <m/>
    <n v="0"/>
    <n v="0"/>
    <n v="0"/>
    <n v="0"/>
    <n v="276.57"/>
    <n v="230.68666666666667"/>
  </r>
  <r>
    <x v="10"/>
    <s v="High Plains Technology Center                     "/>
    <m/>
    <n v="208053"/>
    <x v="10"/>
    <m/>
    <m/>
    <m/>
    <m/>
    <m/>
    <m/>
    <m/>
    <m/>
    <m/>
    <m/>
    <n v="0"/>
    <n v="0"/>
    <n v="0"/>
    <n v="0"/>
    <m/>
    <m/>
    <n v="0"/>
    <n v="0"/>
    <m/>
    <m/>
    <m/>
    <m/>
    <m/>
    <m/>
    <n v="215438.75"/>
    <n v="189990"/>
    <n v="215438.75"/>
    <n v="239.3763888888889"/>
    <n v="189990"/>
    <n v="211.1"/>
    <m/>
    <m/>
    <n v="0"/>
    <n v="0"/>
    <m/>
    <m/>
    <m/>
    <m/>
    <m/>
    <m/>
    <m/>
    <m/>
    <n v="0"/>
    <n v="0"/>
    <n v="0"/>
    <n v="0"/>
    <n v="239.3763888888889"/>
    <n v="211.1"/>
  </r>
  <r>
    <x v="10"/>
    <s v="Indian Capital Technology Center-Muskogee         "/>
    <m/>
    <n v="418296"/>
    <x v="10"/>
    <m/>
    <m/>
    <m/>
    <m/>
    <m/>
    <m/>
    <m/>
    <m/>
    <m/>
    <m/>
    <n v="0"/>
    <n v="0"/>
    <n v="0"/>
    <n v="0"/>
    <m/>
    <m/>
    <n v="0"/>
    <n v="0"/>
    <m/>
    <m/>
    <m/>
    <m/>
    <m/>
    <m/>
    <n v="490481.07"/>
    <n v="488612"/>
    <n v="490481.07"/>
    <n v="544.97896666666668"/>
    <n v="488612"/>
    <n v="542.90222222222224"/>
    <m/>
    <m/>
    <n v="0"/>
    <n v="0"/>
    <m/>
    <m/>
    <m/>
    <m/>
    <m/>
    <m/>
    <m/>
    <m/>
    <n v="0"/>
    <n v="0"/>
    <n v="0"/>
    <n v="0"/>
    <n v="544.97896666666668"/>
    <n v="542.90222222222224"/>
  </r>
  <r>
    <x v="10"/>
    <s v="Indian Capital Technology Center-Sallisaw         "/>
    <m/>
    <n v="421540"/>
    <x v="10"/>
    <m/>
    <m/>
    <m/>
    <m/>
    <m/>
    <m/>
    <m/>
    <m/>
    <m/>
    <m/>
    <n v="0"/>
    <n v="0"/>
    <n v="0"/>
    <n v="0"/>
    <m/>
    <m/>
    <n v="0"/>
    <n v="0"/>
    <m/>
    <m/>
    <m/>
    <m/>
    <m/>
    <m/>
    <n v="172153"/>
    <n v="158466"/>
    <n v="172153"/>
    <n v="191.2811111111111"/>
    <n v="158466"/>
    <n v="176.07333333333332"/>
    <m/>
    <m/>
    <n v="0"/>
    <n v="0"/>
    <m/>
    <m/>
    <m/>
    <m/>
    <m/>
    <m/>
    <m/>
    <m/>
    <n v="0"/>
    <n v="0"/>
    <n v="0"/>
    <n v="0"/>
    <n v="191.2811111111111"/>
    <n v="176.07333333333332"/>
  </r>
  <r>
    <x v="10"/>
    <s v="Indian Capital Technology Center-Stilwell         "/>
    <m/>
    <n v="421559"/>
    <x v="10"/>
    <m/>
    <m/>
    <m/>
    <m/>
    <m/>
    <m/>
    <m/>
    <m/>
    <m/>
    <m/>
    <n v="0"/>
    <n v="0"/>
    <n v="0"/>
    <n v="0"/>
    <m/>
    <m/>
    <n v="0"/>
    <n v="0"/>
    <m/>
    <m/>
    <m/>
    <m/>
    <m/>
    <m/>
    <n v="103565"/>
    <n v="117530"/>
    <n v="103565"/>
    <n v="115.07222222222222"/>
    <n v="117530"/>
    <n v="130.5888888888889"/>
    <m/>
    <m/>
    <n v="0"/>
    <n v="0"/>
    <m/>
    <m/>
    <m/>
    <m/>
    <m/>
    <m/>
    <m/>
    <m/>
    <n v="0"/>
    <n v="0"/>
    <n v="0"/>
    <n v="0"/>
    <n v="115.07222222222222"/>
    <n v="130.5888888888889"/>
  </r>
  <r>
    <x v="10"/>
    <s v="Indian Capital Technology Center-Tahlequah        "/>
    <m/>
    <n v="208026"/>
    <x v="10"/>
    <m/>
    <m/>
    <m/>
    <m/>
    <m/>
    <m/>
    <m/>
    <m/>
    <m/>
    <m/>
    <n v="0"/>
    <n v="0"/>
    <n v="0"/>
    <n v="0"/>
    <m/>
    <m/>
    <n v="0"/>
    <n v="0"/>
    <m/>
    <m/>
    <m/>
    <m/>
    <m/>
    <m/>
    <n v="209746"/>
    <n v="195943"/>
    <n v="209746"/>
    <n v="233.05111111111111"/>
    <n v="195943"/>
    <n v="217.71444444444444"/>
    <m/>
    <m/>
    <n v="0"/>
    <n v="0"/>
    <m/>
    <m/>
    <m/>
    <m/>
    <m/>
    <m/>
    <m/>
    <m/>
    <n v="0"/>
    <n v="0"/>
    <n v="0"/>
    <n v="0"/>
    <n v="233.05111111111111"/>
    <n v="217.71444444444444"/>
  </r>
  <r>
    <x v="10"/>
    <s v="Kiamichi Technology Center-Atoka                  "/>
    <m/>
    <n v="375692"/>
    <x v="10"/>
    <m/>
    <m/>
    <m/>
    <m/>
    <m/>
    <m/>
    <m/>
    <m/>
    <m/>
    <m/>
    <n v="0"/>
    <n v="0"/>
    <n v="0"/>
    <n v="0"/>
    <m/>
    <m/>
    <n v="0"/>
    <n v="0"/>
    <m/>
    <m/>
    <m/>
    <m/>
    <m/>
    <m/>
    <n v="109267.5"/>
    <n v="106717"/>
    <n v="109267.5"/>
    <n v="121.40833333333333"/>
    <n v="106717"/>
    <n v="118.57444444444444"/>
    <m/>
    <m/>
    <n v="0"/>
    <n v="0"/>
    <m/>
    <m/>
    <m/>
    <m/>
    <m/>
    <m/>
    <m/>
    <m/>
    <n v="0"/>
    <n v="0"/>
    <n v="0"/>
    <n v="0"/>
    <n v="121.40833333333333"/>
    <n v="118.57444444444444"/>
  </r>
  <r>
    <x v="10"/>
    <s v="Kiamichi Technology Center-Durant                 "/>
    <m/>
    <n v="375708"/>
    <x v="10"/>
    <m/>
    <m/>
    <m/>
    <m/>
    <m/>
    <m/>
    <m/>
    <m/>
    <m/>
    <m/>
    <n v="0"/>
    <n v="0"/>
    <n v="0"/>
    <n v="0"/>
    <m/>
    <m/>
    <n v="0"/>
    <n v="0"/>
    <m/>
    <m/>
    <m/>
    <m/>
    <m/>
    <m/>
    <n v="203568"/>
    <n v="169385"/>
    <n v="203568"/>
    <n v="226.18666666666667"/>
    <n v="169385"/>
    <n v="188.20555555555555"/>
    <m/>
    <m/>
    <n v="0"/>
    <n v="0"/>
    <m/>
    <m/>
    <m/>
    <m/>
    <m/>
    <m/>
    <m/>
    <m/>
    <n v="0"/>
    <n v="0"/>
    <n v="0"/>
    <n v="0"/>
    <n v="226.18666666666667"/>
    <n v="188.20555555555555"/>
  </r>
  <r>
    <x v="10"/>
    <s v="Kiamichi Technology Center-Hugo                   "/>
    <m/>
    <n v="375717"/>
    <x v="10"/>
    <m/>
    <m/>
    <m/>
    <m/>
    <m/>
    <m/>
    <m/>
    <m/>
    <m/>
    <m/>
    <n v="0"/>
    <n v="0"/>
    <n v="0"/>
    <n v="0"/>
    <m/>
    <m/>
    <n v="0"/>
    <n v="0"/>
    <m/>
    <m/>
    <m/>
    <m/>
    <m/>
    <m/>
    <n v="147098"/>
    <n v="139724"/>
    <n v="147098"/>
    <n v="163.44222222222223"/>
    <n v="139724"/>
    <n v="155.2488888888889"/>
    <m/>
    <m/>
    <n v="0"/>
    <n v="0"/>
    <m/>
    <m/>
    <m/>
    <m/>
    <m/>
    <m/>
    <m/>
    <m/>
    <n v="0"/>
    <n v="0"/>
    <n v="0"/>
    <n v="0"/>
    <n v="163.44222222222223"/>
    <n v="155.2488888888889"/>
  </r>
  <r>
    <x v="10"/>
    <s v="Kiamichi Technology Center-Idabel                 "/>
    <m/>
    <n v="375735"/>
    <x v="10"/>
    <m/>
    <m/>
    <m/>
    <m/>
    <m/>
    <m/>
    <m/>
    <m/>
    <m/>
    <m/>
    <n v="0"/>
    <n v="0"/>
    <n v="0"/>
    <n v="0"/>
    <m/>
    <m/>
    <n v="0"/>
    <n v="0"/>
    <m/>
    <m/>
    <m/>
    <m/>
    <m/>
    <m/>
    <n v="180915"/>
    <n v="188055"/>
    <n v="180915"/>
    <n v="201.01666666666668"/>
    <n v="188055"/>
    <n v="208.95"/>
    <m/>
    <m/>
    <n v="0"/>
    <n v="0"/>
    <m/>
    <m/>
    <m/>
    <m/>
    <m/>
    <m/>
    <m/>
    <m/>
    <n v="0"/>
    <n v="0"/>
    <n v="0"/>
    <n v="0"/>
    <n v="201.01666666666668"/>
    <n v="208.95"/>
  </r>
  <r>
    <x v="10"/>
    <s v="Kiamichi Technology Center-McAlester              "/>
    <m/>
    <n v="375726"/>
    <x v="10"/>
    <m/>
    <m/>
    <m/>
    <m/>
    <m/>
    <m/>
    <m/>
    <m/>
    <m/>
    <m/>
    <n v="0"/>
    <n v="0"/>
    <n v="0"/>
    <n v="0"/>
    <m/>
    <m/>
    <n v="0"/>
    <n v="0"/>
    <m/>
    <m/>
    <m/>
    <m/>
    <m/>
    <m/>
    <n v="321603.5"/>
    <n v="335342"/>
    <n v="321603.5"/>
    <n v="357.33722222222224"/>
    <n v="335342"/>
    <n v="372.60222222222222"/>
    <m/>
    <m/>
    <n v="0"/>
    <n v="0"/>
    <m/>
    <m/>
    <m/>
    <m/>
    <m/>
    <m/>
    <m/>
    <m/>
    <n v="0"/>
    <n v="0"/>
    <n v="0"/>
    <n v="0"/>
    <n v="357.33722222222224"/>
    <n v="372.60222222222222"/>
  </r>
  <r>
    <x v="10"/>
    <s v="Kiamichi Technology Center-Poteau                 "/>
    <m/>
    <n v="375744"/>
    <x v="10"/>
    <m/>
    <m/>
    <m/>
    <m/>
    <m/>
    <m/>
    <m/>
    <m/>
    <m/>
    <m/>
    <n v="0"/>
    <n v="0"/>
    <n v="0"/>
    <n v="0"/>
    <m/>
    <m/>
    <n v="0"/>
    <n v="0"/>
    <m/>
    <m/>
    <m/>
    <m/>
    <m/>
    <m/>
    <n v="266179.5"/>
    <n v="346977"/>
    <n v="266179.5"/>
    <n v="295.755"/>
    <n v="346977"/>
    <n v="385.53"/>
    <m/>
    <m/>
    <n v="0"/>
    <n v="0"/>
    <m/>
    <m/>
    <m/>
    <m/>
    <m/>
    <m/>
    <m/>
    <m/>
    <n v="0"/>
    <n v="0"/>
    <n v="0"/>
    <n v="0"/>
    <n v="295.755"/>
    <n v="385.53"/>
  </r>
  <r>
    <x v="10"/>
    <s v="Kiamichi Technology Center-Spiro                  "/>
    <m/>
    <n v="375753"/>
    <x v="10"/>
    <m/>
    <m/>
    <m/>
    <m/>
    <m/>
    <m/>
    <m/>
    <m/>
    <m/>
    <m/>
    <n v="0"/>
    <n v="0"/>
    <n v="0"/>
    <n v="0"/>
    <m/>
    <m/>
    <n v="0"/>
    <n v="0"/>
    <m/>
    <m/>
    <m/>
    <m/>
    <m/>
    <m/>
    <n v="24676"/>
    <n v="30277"/>
    <n v="24676"/>
    <n v="27.417777777777779"/>
    <n v="30277"/>
    <n v="33.641111111111108"/>
    <m/>
    <m/>
    <n v="0"/>
    <n v="0"/>
    <m/>
    <m/>
    <m/>
    <m/>
    <m/>
    <m/>
    <m/>
    <m/>
    <n v="0"/>
    <n v="0"/>
    <n v="0"/>
    <n v="0"/>
    <n v="27.417777777777779"/>
    <n v="33.641111111111108"/>
  </r>
  <r>
    <x v="10"/>
    <s v="Kiamichi Technology Center-Stigler                "/>
    <m/>
    <n v="405748"/>
    <x v="10"/>
    <m/>
    <m/>
    <m/>
    <m/>
    <m/>
    <m/>
    <m/>
    <m/>
    <m/>
    <m/>
    <n v="0"/>
    <n v="0"/>
    <n v="0"/>
    <n v="0"/>
    <m/>
    <m/>
    <n v="0"/>
    <n v="0"/>
    <m/>
    <m/>
    <m/>
    <m/>
    <m/>
    <m/>
    <n v="86214"/>
    <n v="87753"/>
    <n v="86214"/>
    <n v="95.793333333333337"/>
    <n v="87753"/>
    <n v="97.50333333333333"/>
    <m/>
    <m/>
    <n v="0"/>
    <n v="0"/>
    <m/>
    <m/>
    <m/>
    <m/>
    <m/>
    <m/>
    <m/>
    <m/>
    <n v="0"/>
    <n v="0"/>
    <n v="0"/>
    <n v="0"/>
    <n v="95.793333333333337"/>
    <n v="97.50333333333333"/>
  </r>
  <r>
    <x v="10"/>
    <s v="Kiamichi Technology Center-Talihina               "/>
    <m/>
    <n v="375762"/>
    <x v="10"/>
    <m/>
    <m/>
    <m/>
    <m/>
    <m/>
    <m/>
    <m/>
    <m/>
    <m/>
    <m/>
    <n v="0"/>
    <n v="0"/>
    <n v="0"/>
    <n v="0"/>
    <m/>
    <m/>
    <n v="0"/>
    <n v="0"/>
    <m/>
    <m/>
    <m/>
    <m/>
    <m/>
    <m/>
    <n v="70761"/>
    <n v="94476"/>
    <n v="70761"/>
    <n v="78.623333333333335"/>
    <n v="94476"/>
    <n v="104.97333333333333"/>
    <m/>
    <m/>
    <n v="0"/>
    <n v="0"/>
    <m/>
    <m/>
    <m/>
    <m/>
    <m/>
    <m/>
    <m/>
    <m/>
    <n v="0"/>
    <n v="0"/>
    <n v="0"/>
    <n v="0"/>
    <n v="78.623333333333335"/>
    <n v="104.97333333333333"/>
  </r>
  <r>
    <x v="10"/>
    <s v="Meridian Technology Center                        "/>
    <m/>
    <n v="365480"/>
    <x v="10"/>
    <m/>
    <m/>
    <m/>
    <m/>
    <m/>
    <m/>
    <m/>
    <m/>
    <m/>
    <m/>
    <n v="0"/>
    <n v="0"/>
    <n v="0"/>
    <n v="0"/>
    <m/>
    <m/>
    <n v="0"/>
    <n v="0"/>
    <m/>
    <m/>
    <m/>
    <m/>
    <m/>
    <m/>
    <n v="450981"/>
    <n v="508491"/>
    <n v="450981"/>
    <n v="501.09"/>
    <n v="508491"/>
    <n v="564.99"/>
    <m/>
    <m/>
    <n v="0"/>
    <n v="0"/>
    <m/>
    <m/>
    <m/>
    <m/>
    <m/>
    <m/>
    <m/>
    <m/>
    <n v="0"/>
    <n v="0"/>
    <n v="0"/>
    <n v="0"/>
    <n v="501.09"/>
    <n v="564.99"/>
  </r>
  <r>
    <x v="10"/>
    <s v="Mid-America Technology Center                     "/>
    <m/>
    <n v="418320"/>
    <x v="10"/>
    <m/>
    <m/>
    <m/>
    <m/>
    <m/>
    <m/>
    <m/>
    <m/>
    <m/>
    <m/>
    <n v="0"/>
    <n v="0"/>
    <n v="0"/>
    <n v="0"/>
    <m/>
    <m/>
    <n v="0"/>
    <n v="0"/>
    <m/>
    <m/>
    <m/>
    <m/>
    <m/>
    <m/>
    <n v="549738.5"/>
    <n v="534435"/>
    <n v="549738.5"/>
    <n v="610.82055555555553"/>
    <n v="534435"/>
    <n v="593.81666666666672"/>
    <m/>
    <m/>
    <n v="0"/>
    <n v="0"/>
    <m/>
    <m/>
    <m/>
    <m/>
    <m/>
    <m/>
    <m/>
    <m/>
    <n v="0"/>
    <n v="0"/>
    <n v="0"/>
    <n v="0"/>
    <n v="610.82055555555553"/>
    <n v="593.81666666666672"/>
  </r>
  <r>
    <x v="10"/>
    <s v="Mid-Del Technology Center                         "/>
    <m/>
    <n v="431017"/>
    <x v="10"/>
    <m/>
    <m/>
    <m/>
    <m/>
    <m/>
    <m/>
    <m/>
    <m/>
    <m/>
    <m/>
    <n v="0"/>
    <n v="0"/>
    <n v="0"/>
    <n v="0"/>
    <m/>
    <m/>
    <n v="0"/>
    <n v="0"/>
    <m/>
    <m/>
    <m/>
    <m/>
    <m/>
    <m/>
    <n v="484171"/>
    <n v="414983"/>
    <n v="484171"/>
    <n v="537.96777777777777"/>
    <n v="414983"/>
    <n v="461.09222222222223"/>
    <m/>
    <m/>
    <n v="0"/>
    <n v="0"/>
    <m/>
    <m/>
    <m/>
    <m/>
    <m/>
    <m/>
    <m/>
    <m/>
    <n v="0"/>
    <n v="0"/>
    <n v="0"/>
    <n v="0"/>
    <n v="537.96777777777777"/>
    <n v="461.09222222222223"/>
  </r>
  <r>
    <x v="10"/>
    <s v="Moore Norman Technology Center                    "/>
    <m/>
    <n v="248606"/>
    <x v="10"/>
    <m/>
    <m/>
    <m/>
    <m/>
    <m/>
    <m/>
    <m/>
    <m/>
    <m/>
    <m/>
    <n v="0"/>
    <n v="0"/>
    <n v="0"/>
    <n v="0"/>
    <m/>
    <m/>
    <n v="0"/>
    <n v="0"/>
    <m/>
    <m/>
    <m/>
    <m/>
    <m/>
    <m/>
    <n v="950240.01"/>
    <n v="806348"/>
    <n v="950240.01"/>
    <n v="1055.8222333333333"/>
    <n v="806348"/>
    <n v="895.9422222222222"/>
    <m/>
    <m/>
    <n v="0"/>
    <n v="0"/>
    <m/>
    <m/>
    <m/>
    <m/>
    <m/>
    <m/>
    <m/>
    <m/>
    <n v="0"/>
    <n v="0"/>
    <n v="0"/>
    <n v="0"/>
    <n v="1055.8222333333333"/>
    <n v="895.9422222222222"/>
  </r>
  <r>
    <x v="10"/>
    <s v="Northeast Technology Center-Afton                 "/>
    <m/>
    <n v="420459"/>
    <x v="10"/>
    <m/>
    <m/>
    <m/>
    <m/>
    <m/>
    <m/>
    <m/>
    <m/>
    <m/>
    <m/>
    <n v="0"/>
    <n v="0"/>
    <n v="0"/>
    <n v="0"/>
    <m/>
    <m/>
    <n v="0"/>
    <n v="0"/>
    <m/>
    <m/>
    <m/>
    <m/>
    <m/>
    <m/>
    <n v="295356.5"/>
    <n v="290355"/>
    <n v="295356.5"/>
    <n v="328.17388888888888"/>
    <n v="290355"/>
    <n v="322.61666666666667"/>
    <m/>
    <m/>
    <n v="0"/>
    <n v="0"/>
    <m/>
    <m/>
    <m/>
    <m/>
    <m/>
    <m/>
    <m/>
    <m/>
    <n v="0"/>
    <n v="0"/>
    <n v="0"/>
    <n v="0"/>
    <n v="328.17388888888888"/>
    <n v="322.61666666666667"/>
  </r>
  <r>
    <x v="10"/>
    <s v="Northeast Technology Center-Claremore"/>
    <s v="New institution no longer in start up phase. "/>
    <s v="456560"/>
    <x v="10"/>
    <m/>
    <m/>
    <m/>
    <m/>
    <m/>
    <m/>
    <m/>
    <m/>
    <m/>
    <m/>
    <n v="0"/>
    <n v="0"/>
    <n v="0"/>
    <n v="0"/>
    <m/>
    <m/>
    <n v="0"/>
    <n v="0"/>
    <m/>
    <m/>
    <m/>
    <m/>
    <m/>
    <m/>
    <n v="97753"/>
    <n v="105286"/>
    <n v="97753"/>
    <n v="108.61444444444444"/>
    <n v="105286"/>
    <n v="116.98444444444445"/>
    <m/>
    <m/>
    <n v="0"/>
    <n v="0"/>
    <m/>
    <m/>
    <m/>
    <m/>
    <m/>
    <m/>
    <m/>
    <m/>
    <n v="0"/>
    <n v="0"/>
    <n v="0"/>
    <n v="0"/>
    <n v="108.61444444444444"/>
    <n v="116.98444444444445"/>
  </r>
  <r>
    <x v="10"/>
    <s v="Northeast Technology Center-Kansas                "/>
    <m/>
    <n v="432074"/>
    <x v="10"/>
    <m/>
    <m/>
    <m/>
    <m/>
    <m/>
    <m/>
    <m/>
    <m/>
    <m/>
    <m/>
    <n v="0"/>
    <n v="0"/>
    <n v="0"/>
    <n v="0"/>
    <m/>
    <m/>
    <n v="0"/>
    <n v="0"/>
    <m/>
    <m/>
    <m/>
    <m/>
    <m/>
    <m/>
    <n v="161927"/>
    <n v="163349"/>
    <n v="161927"/>
    <n v="179.91888888888889"/>
    <n v="163349"/>
    <n v="181.4988888888889"/>
    <m/>
    <m/>
    <n v="0"/>
    <n v="0"/>
    <m/>
    <m/>
    <m/>
    <m/>
    <m/>
    <m/>
    <m/>
    <m/>
    <n v="0"/>
    <n v="0"/>
    <n v="0"/>
    <n v="0"/>
    <n v="179.91888888888889"/>
    <n v="181.4988888888889"/>
  </r>
  <r>
    <x v="10"/>
    <s v="Northeast Technology Center-Pryor                 "/>
    <m/>
    <n v="418339"/>
    <x v="10"/>
    <m/>
    <m/>
    <m/>
    <m/>
    <m/>
    <m/>
    <m/>
    <m/>
    <m/>
    <m/>
    <n v="0"/>
    <n v="0"/>
    <n v="0"/>
    <n v="0"/>
    <m/>
    <m/>
    <n v="0"/>
    <n v="0"/>
    <m/>
    <m/>
    <m/>
    <m/>
    <m/>
    <m/>
    <n v="277570"/>
    <n v="265031"/>
    <n v="277570"/>
    <n v="308.4111111111111"/>
    <n v="265031"/>
    <n v="294.47888888888889"/>
    <m/>
    <m/>
    <n v="0"/>
    <n v="0"/>
    <m/>
    <m/>
    <m/>
    <m/>
    <m/>
    <m/>
    <m/>
    <m/>
    <n v="0"/>
    <n v="0"/>
    <n v="0"/>
    <n v="0"/>
    <n v="308.4111111111111"/>
    <n v="294.47888888888889"/>
  </r>
  <r>
    <x v="10"/>
    <s v="Northwest Technology Center-Alva                  "/>
    <m/>
    <n v="366623"/>
    <x v="10"/>
    <m/>
    <m/>
    <m/>
    <m/>
    <m/>
    <m/>
    <m/>
    <m/>
    <m/>
    <m/>
    <n v="0"/>
    <n v="0"/>
    <n v="0"/>
    <n v="0"/>
    <m/>
    <m/>
    <n v="0"/>
    <n v="0"/>
    <m/>
    <m/>
    <m/>
    <m/>
    <m/>
    <m/>
    <n v="92776.62"/>
    <n v="99218"/>
    <n v="92776.62"/>
    <n v="103.08513333333333"/>
    <n v="99218"/>
    <n v="110.24222222222222"/>
    <m/>
    <m/>
    <n v="0"/>
    <n v="0"/>
    <m/>
    <m/>
    <m/>
    <m/>
    <m/>
    <m/>
    <m/>
    <m/>
    <n v="0"/>
    <n v="0"/>
    <n v="0"/>
    <n v="0"/>
    <n v="103.08513333333333"/>
    <n v="110.24222222222222"/>
  </r>
  <r>
    <x v="10"/>
    <s v="Northwest Technology Center-Fairview              "/>
    <m/>
    <n v="407601"/>
    <x v="10"/>
    <m/>
    <m/>
    <m/>
    <m/>
    <m/>
    <m/>
    <m/>
    <m/>
    <m/>
    <m/>
    <n v="0"/>
    <n v="0"/>
    <n v="0"/>
    <n v="0"/>
    <m/>
    <m/>
    <n v="0"/>
    <n v="0"/>
    <m/>
    <m/>
    <m/>
    <m/>
    <m/>
    <m/>
    <n v="85314.25"/>
    <n v="76702"/>
    <n v="85314.25"/>
    <n v="94.793611111111105"/>
    <n v="76702"/>
    <n v="85.224444444444444"/>
    <m/>
    <m/>
    <n v="0"/>
    <n v="0"/>
    <m/>
    <m/>
    <m/>
    <m/>
    <m/>
    <m/>
    <m/>
    <m/>
    <n v="0"/>
    <n v="0"/>
    <n v="0"/>
    <n v="0"/>
    <n v="94.793611111111105"/>
    <n v="85.224444444444444"/>
  </r>
  <r>
    <x v="10"/>
    <s v="Pioneer Technology Center                         "/>
    <m/>
    <n v="364627"/>
    <x v="10"/>
    <m/>
    <m/>
    <m/>
    <m/>
    <m/>
    <m/>
    <m/>
    <m/>
    <m/>
    <m/>
    <n v="0"/>
    <n v="0"/>
    <n v="0"/>
    <n v="0"/>
    <m/>
    <m/>
    <n v="0"/>
    <n v="0"/>
    <m/>
    <m/>
    <m/>
    <m/>
    <m/>
    <m/>
    <n v="299488.75"/>
    <n v="323062"/>
    <n v="299488.75"/>
    <n v="332.76527777777778"/>
    <n v="323062"/>
    <n v="358.95777777777778"/>
    <m/>
    <m/>
    <n v="0"/>
    <n v="0"/>
    <m/>
    <m/>
    <m/>
    <m/>
    <m/>
    <m/>
    <m/>
    <m/>
    <n v="0"/>
    <n v="0"/>
    <n v="0"/>
    <n v="0"/>
    <n v="332.76527777777778"/>
    <n v="358.95777777777778"/>
  </r>
  <r>
    <x v="10"/>
    <s v="Pontotoc Technology Center                        "/>
    <m/>
    <n v="206905"/>
    <x v="10"/>
    <m/>
    <m/>
    <m/>
    <m/>
    <m/>
    <m/>
    <m/>
    <m/>
    <m/>
    <m/>
    <n v="0"/>
    <n v="0"/>
    <n v="0"/>
    <n v="0"/>
    <m/>
    <m/>
    <n v="0"/>
    <n v="0"/>
    <m/>
    <m/>
    <m/>
    <m/>
    <m/>
    <m/>
    <n v="201922"/>
    <n v="252360"/>
    <n v="201922"/>
    <n v="224.35777777777778"/>
    <n v="252360"/>
    <n v="280.39999999999998"/>
    <m/>
    <m/>
    <n v="0"/>
    <n v="0"/>
    <m/>
    <m/>
    <m/>
    <m/>
    <m/>
    <m/>
    <m/>
    <m/>
    <n v="0"/>
    <n v="0"/>
    <n v="0"/>
    <n v="0"/>
    <n v="224.35777777777778"/>
    <n v="280.39999999999998"/>
  </r>
  <r>
    <x v="10"/>
    <s v="Red River Technology Center                       "/>
    <m/>
    <n v="250993"/>
    <x v="10"/>
    <m/>
    <m/>
    <m/>
    <m/>
    <m/>
    <m/>
    <m/>
    <m/>
    <m/>
    <m/>
    <n v="0"/>
    <n v="0"/>
    <n v="0"/>
    <n v="0"/>
    <m/>
    <m/>
    <n v="0"/>
    <n v="0"/>
    <m/>
    <m/>
    <m/>
    <m/>
    <m/>
    <m/>
    <n v="312411.40999999997"/>
    <n v="300008"/>
    <n v="312411.40999999997"/>
    <n v="347.12378888888884"/>
    <n v="300008"/>
    <n v="333.34222222222223"/>
    <m/>
    <m/>
    <n v="0"/>
    <n v="0"/>
    <m/>
    <m/>
    <m/>
    <m/>
    <m/>
    <m/>
    <m/>
    <m/>
    <n v="0"/>
    <n v="0"/>
    <n v="0"/>
    <n v="0"/>
    <n v="347.12378888888884"/>
    <n v="333.34222222222223"/>
  </r>
  <r>
    <x v="10"/>
    <s v="Southern Oklahoma Technology Center               "/>
    <m/>
    <n v="365198"/>
    <x v="10"/>
    <m/>
    <m/>
    <m/>
    <m/>
    <m/>
    <m/>
    <m/>
    <m/>
    <m/>
    <m/>
    <n v="0"/>
    <n v="0"/>
    <n v="0"/>
    <n v="0"/>
    <m/>
    <m/>
    <n v="0"/>
    <n v="0"/>
    <m/>
    <m/>
    <m/>
    <m/>
    <m/>
    <m/>
    <n v="366536"/>
    <n v="365802"/>
    <n v="366536"/>
    <n v="407.26222222222225"/>
    <n v="365802"/>
    <n v="406.44666666666666"/>
    <m/>
    <m/>
    <n v="0"/>
    <n v="0"/>
    <m/>
    <m/>
    <m/>
    <m/>
    <m/>
    <m/>
    <m/>
    <m/>
    <n v="0"/>
    <n v="0"/>
    <n v="0"/>
    <n v="0"/>
    <n v="407.26222222222225"/>
    <n v="406.44666666666666"/>
  </r>
  <r>
    <x v="10"/>
    <s v="Southwest Technology Center                       "/>
    <m/>
    <n v="368364"/>
    <x v="10"/>
    <m/>
    <m/>
    <m/>
    <m/>
    <m/>
    <m/>
    <m/>
    <m/>
    <m/>
    <m/>
    <n v="0"/>
    <n v="0"/>
    <n v="0"/>
    <n v="0"/>
    <m/>
    <m/>
    <n v="0"/>
    <n v="0"/>
    <m/>
    <m/>
    <m/>
    <m/>
    <m/>
    <m/>
    <n v="233505"/>
    <n v="216488"/>
    <n v="233505"/>
    <n v="259.45"/>
    <n v="216488"/>
    <n v="240.54222222222222"/>
    <m/>
    <m/>
    <n v="0"/>
    <n v="0"/>
    <m/>
    <m/>
    <m/>
    <m/>
    <m/>
    <m/>
    <m/>
    <m/>
    <n v="0"/>
    <n v="0"/>
    <n v="0"/>
    <n v="0"/>
    <n v="259.45"/>
    <n v="240.54222222222222"/>
  </r>
  <r>
    <x v="10"/>
    <s v="Tri County Technology Center                      "/>
    <m/>
    <n v="418287"/>
    <x v="10"/>
    <m/>
    <m/>
    <m/>
    <m/>
    <m/>
    <m/>
    <m/>
    <m/>
    <m/>
    <m/>
    <n v="0"/>
    <n v="0"/>
    <n v="0"/>
    <n v="0"/>
    <m/>
    <m/>
    <n v="0"/>
    <n v="0"/>
    <m/>
    <m/>
    <m/>
    <m/>
    <m/>
    <m/>
    <n v="409084.75"/>
    <n v="400941"/>
    <n v="409084.75"/>
    <n v="454.53861111111109"/>
    <n v="400941"/>
    <n v="445.49"/>
    <m/>
    <m/>
    <n v="0"/>
    <n v="0"/>
    <m/>
    <m/>
    <m/>
    <m/>
    <m/>
    <m/>
    <m/>
    <m/>
    <n v="0"/>
    <n v="0"/>
    <n v="0"/>
    <n v="0"/>
    <n v="454.53861111111109"/>
    <n v="445.49"/>
  </r>
  <r>
    <x v="10"/>
    <s v="Tulsa County Area Voc Tech School Dist 18-Peoria  "/>
    <m/>
    <n v="207607"/>
    <x v="10"/>
    <m/>
    <m/>
    <m/>
    <m/>
    <m/>
    <m/>
    <m/>
    <m/>
    <m/>
    <m/>
    <n v="0"/>
    <n v="0"/>
    <n v="0"/>
    <n v="0"/>
    <m/>
    <m/>
    <n v="0"/>
    <n v="0"/>
    <m/>
    <m/>
    <m/>
    <m/>
    <m/>
    <m/>
    <n v="343403.42"/>
    <n v="338177"/>
    <n v="343403.42"/>
    <n v="381.55935555555556"/>
    <n v="338177"/>
    <n v="375.7522222222222"/>
    <m/>
    <m/>
    <n v="0"/>
    <n v="0"/>
    <m/>
    <m/>
    <m/>
    <m/>
    <m/>
    <m/>
    <m/>
    <m/>
    <n v="0"/>
    <n v="0"/>
    <n v="0"/>
    <n v="0"/>
    <n v="381.55935555555556"/>
    <n v="375.7522222222222"/>
  </r>
  <r>
    <x v="10"/>
    <s v="Tulsa Technology Center-Broken Arrow Campus       "/>
    <m/>
    <n v="261393"/>
    <x v="10"/>
    <m/>
    <m/>
    <m/>
    <m/>
    <m/>
    <m/>
    <m/>
    <m/>
    <m/>
    <m/>
    <n v="0"/>
    <n v="0"/>
    <n v="0"/>
    <n v="0"/>
    <m/>
    <m/>
    <n v="0"/>
    <n v="0"/>
    <m/>
    <m/>
    <m/>
    <m/>
    <m/>
    <m/>
    <n v="619510.21"/>
    <n v="765586"/>
    <n v="619510.21"/>
    <n v="688.34467777777775"/>
    <n v="765586"/>
    <n v="850.65111111111116"/>
    <m/>
    <m/>
    <n v="0"/>
    <n v="0"/>
    <m/>
    <m/>
    <m/>
    <m/>
    <m/>
    <m/>
    <m/>
    <m/>
    <n v="0"/>
    <n v="0"/>
    <n v="0"/>
    <n v="0"/>
    <n v="688.34467777777775"/>
    <n v="850.65111111111116"/>
  </r>
  <r>
    <x v="10"/>
    <s v="Tulsa Technology Center-Lemley Campus             "/>
    <m/>
    <n v="261375"/>
    <x v="10"/>
    <m/>
    <m/>
    <m/>
    <m/>
    <m/>
    <m/>
    <m/>
    <m/>
    <m/>
    <m/>
    <n v="0"/>
    <n v="0"/>
    <n v="0"/>
    <n v="0"/>
    <m/>
    <m/>
    <n v="0"/>
    <n v="0"/>
    <m/>
    <m/>
    <m/>
    <m/>
    <m/>
    <m/>
    <n v="847545.18"/>
    <n v="747476"/>
    <n v="847545.18"/>
    <n v="941.71686666666676"/>
    <n v="747476"/>
    <n v="830.5288888888889"/>
    <m/>
    <m/>
    <n v="0"/>
    <n v="0"/>
    <m/>
    <m/>
    <m/>
    <m/>
    <m/>
    <m/>
    <m/>
    <m/>
    <n v="0"/>
    <n v="0"/>
    <n v="0"/>
    <n v="0"/>
    <n v="941.71686666666676"/>
    <n v="830.5288888888889"/>
  </r>
  <r>
    <x v="10"/>
    <s v="Tulsa Technology Center-Riverside Campus          "/>
    <m/>
    <n v="261384"/>
    <x v="10"/>
    <m/>
    <m/>
    <m/>
    <m/>
    <m/>
    <m/>
    <m/>
    <m/>
    <m/>
    <m/>
    <n v="0"/>
    <n v="0"/>
    <n v="0"/>
    <n v="0"/>
    <m/>
    <m/>
    <n v="0"/>
    <n v="0"/>
    <m/>
    <m/>
    <m/>
    <m/>
    <m/>
    <m/>
    <n v="435187.5"/>
    <n v="409746"/>
    <n v="435187.5"/>
    <n v="483.54166666666669"/>
    <n v="409746"/>
    <n v="455.27333333333331"/>
    <m/>
    <m/>
    <n v="0"/>
    <n v="0"/>
    <m/>
    <m/>
    <m/>
    <m/>
    <m/>
    <m/>
    <m/>
    <m/>
    <n v="0"/>
    <n v="0"/>
    <n v="0"/>
    <n v="0"/>
    <n v="483.54166666666669"/>
    <n v="455.27333333333331"/>
  </r>
  <r>
    <x v="10"/>
    <s v="Wes Watkins Technology Center                     "/>
    <m/>
    <n v="418357"/>
    <x v="10"/>
    <m/>
    <m/>
    <m/>
    <m/>
    <m/>
    <m/>
    <m/>
    <m/>
    <m/>
    <m/>
    <n v="0"/>
    <n v="0"/>
    <n v="0"/>
    <n v="0"/>
    <m/>
    <m/>
    <n v="0"/>
    <n v="0"/>
    <m/>
    <m/>
    <m/>
    <m/>
    <m/>
    <m/>
    <n v="203069"/>
    <n v="189543"/>
    <n v="203069"/>
    <n v="225.63222222222223"/>
    <n v="189543"/>
    <n v="210.60333333333332"/>
    <m/>
    <m/>
    <n v="0"/>
    <n v="0"/>
    <m/>
    <m/>
    <m/>
    <m/>
    <m/>
    <m/>
    <m/>
    <m/>
    <n v="0"/>
    <n v="0"/>
    <n v="0"/>
    <n v="0"/>
    <n v="225.63222222222223"/>
    <n v="210.60333333333332"/>
  </r>
  <r>
    <x v="10"/>
    <s v="Western Technology Center                         "/>
    <m/>
    <n v="418302"/>
    <x v="10"/>
    <m/>
    <m/>
    <m/>
    <m/>
    <m/>
    <m/>
    <m/>
    <m/>
    <m/>
    <m/>
    <n v="0"/>
    <n v="0"/>
    <n v="0"/>
    <n v="0"/>
    <m/>
    <m/>
    <n v="0"/>
    <n v="0"/>
    <m/>
    <m/>
    <m/>
    <m/>
    <m/>
    <m/>
    <n v="434095.55"/>
    <n v="381800"/>
    <n v="434095.55"/>
    <n v="482.32838888888887"/>
    <n v="381800"/>
    <n v="424.22222222222223"/>
    <m/>
    <m/>
    <n v="0"/>
    <n v="0"/>
    <m/>
    <m/>
    <m/>
    <m/>
    <m/>
    <m/>
    <m/>
    <m/>
    <n v="0"/>
    <n v="0"/>
    <n v="0"/>
    <n v="0"/>
    <n v="482.32838888888887"/>
    <n v="424.22222222222223"/>
  </r>
  <r>
    <x v="11"/>
    <s v="Clemson University"/>
    <m/>
    <n v="217882"/>
    <x v="0"/>
    <s v="sem"/>
    <m/>
    <m/>
    <m/>
    <n v="215291"/>
    <n v="218776"/>
    <n v="24389"/>
    <n v="26274"/>
    <n v="236236"/>
    <n v="247981"/>
    <n v="475916"/>
    <n v="15863.866666666667"/>
    <n v="493031"/>
    <n v="16434.366666666665"/>
    <m/>
    <m/>
    <n v="0"/>
    <n v="0"/>
    <m/>
    <m/>
    <m/>
    <m/>
    <m/>
    <m/>
    <m/>
    <m/>
    <n v="0"/>
    <n v="0"/>
    <n v="0"/>
    <n v="0"/>
    <m/>
    <m/>
    <n v="0"/>
    <n v="0"/>
    <m/>
    <m/>
    <n v="30766"/>
    <n v="32409"/>
    <n v="12048"/>
    <n v="11918"/>
    <n v="34457"/>
    <n v="34909"/>
    <n v="77271"/>
    <n v="3219.625"/>
    <n v="79236"/>
    <n v="3301.5"/>
    <n v="19083.491666666669"/>
    <n v="19735.866666666665"/>
  </r>
  <r>
    <x v="11"/>
    <s v="University of South Carolina-Columbia"/>
    <m/>
    <n v="218663"/>
    <x v="0"/>
    <s v="sem"/>
    <m/>
    <m/>
    <m/>
    <n v="297287"/>
    <n v="313618"/>
    <n v="32445"/>
    <n v="32571"/>
    <n v="332511"/>
    <n v="343359"/>
    <n v="662243"/>
    <n v="22074.766666666666"/>
    <n v="689548"/>
    <n v="22984.933333333334"/>
    <n v="143"/>
    <n v="135"/>
    <n v="662243"/>
    <n v="689548"/>
    <m/>
    <m/>
    <m/>
    <m/>
    <m/>
    <m/>
    <m/>
    <m/>
    <n v="0"/>
    <n v="0"/>
    <n v="0"/>
    <n v="0"/>
    <m/>
    <m/>
    <n v="0"/>
    <n v="0"/>
    <m/>
    <m/>
    <n v="50283"/>
    <n v="48022"/>
    <n v="18193"/>
    <n v="17590"/>
    <n v="49746"/>
    <n v="47595"/>
    <n v="118222"/>
    <n v="4925.916666666667"/>
    <n v="113207"/>
    <n v="4716.958333333333"/>
    <n v="27000.683333333334"/>
    <n v="27701.891666666666"/>
  </r>
  <r>
    <x v="11"/>
    <s v="College of Charleston"/>
    <m/>
    <n v="217819"/>
    <x v="2"/>
    <s v="sem"/>
    <m/>
    <m/>
    <m/>
    <n v="136212"/>
    <n v="141679"/>
    <n v="14126"/>
    <n v="14705"/>
    <n v="150084"/>
    <n v="150561"/>
    <n v="300422"/>
    <n v="10014.066666666668"/>
    <n v="306945"/>
    <n v="10231.5"/>
    <n v="224"/>
    <n v="293"/>
    <n v="300422"/>
    <n v="306945"/>
    <m/>
    <m/>
    <m/>
    <m/>
    <m/>
    <m/>
    <m/>
    <m/>
    <n v="0"/>
    <n v="0"/>
    <n v="0"/>
    <n v="0"/>
    <m/>
    <m/>
    <n v="0"/>
    <n v="0"/>
    <m/>
    <m/>
    <n v="7268"/>
    <n v="7146"/>
    <n v="5273"/>
    <n v="4882"/>
    <n v="6513"/>
    <n v="6252"/>
    <n v="19054"/>
    <n v="793.91666666666663"/>
    <n v="18280"/>
    <n v="761.66666666666663"/>
    <n v="10807.983333333334"/>
    <n v="10993.166666666666"/>
  </r>
  <r>
    <x v="11"/>
    <s v="Winthrop University "/>
    <m/>
    <n v="218964"/>
    <x v="2"/>
    <s v="sem"/>
    <m/>
    <m/>
    <m/>
    <n v="65103"/>
    <n v="65305.5"/>
    <n v="8200"/>
    <n v="7630"/>
    <n v="69093"/>
    <n v="70915"/>
    <n v="142396"/>
    <n v="4746.5333333333338"/>
    <n v="143850.5"/>
    <n v="4795.0166666666664"/>
    <n v="1059"/>
    <n v="1002"/>
    <n v="142396"/>
    <n v="143850.5"/>
    <m/>
    <m/>
    <m/>
    <m/>
    <m/>
    <m/>
    <m/>
    <m/>
    <n v="0"/>
    <n v="0"/>
    <n v="0"/>
    <n v="0"/>
    <m/>
    <m/>
    <n v="0"/>
    <n v="0"/>
    <m/>
    <m/>
    <n v="7369"/>
    <n v="7134"/>
    <n v="3820"/>
    <n v="3638"/>
    <n v="7393"/>
    <n v="7672.5"/>
    <n v="18582"/>
    <n v="774.25"/>
    <n v="18444.5"/>
    <n v="768.52083333333337"/>
    <n v="5520.7833333333338"/>
    <n v="5563.5374999999995"/>
  </r>
  <r>
    <x v="11"/>
    <s v="The Citadel, the Military College of South Carolina "/>
    <s v="Met the criteria for Four-Year 3 in 2011-12 and 2012-13."/>
    <n v="217864"/>
    <x v="3"/>
    <s v="sem"/>
    <m/>
    <m/>
    <m/>
    <n v="39629"/>
    <n v="39901"/>
    <n v="5467"/>
    <n v="6026"/>
    <n v="42142"/>
    <n v="44793"/>
    <n v="87238"/>
    <n v="2907.9333333333334"/>
    <n v="90720"/>
    <n v="3024"/>
    <n v="227"/>
    <n v="213"/>
    <n v="87238"/>
    <n v="90720"/>
    <m/>
    <m/>
    <m/>
    <m/>
    <m/>
    <m/>
    <m/>
    <m/>
    <n v="0"/>
    <n v="0"/>
    <n v="0"/>
    <n v="0"/>
    <m/>
    <m/>
    <n v="0"/>
    <n v="0"/>
    <m/>
    <m/>
    <n v="5903"/>
    <n v="4964"/>
    <n v="4727"/>
    <n v="3931"/>
    <n v="5432"/>
    <n v="5048"/>
    <n v="16062"/>
    <n v="669.25"/>
    <n v="13943"/>
    <n v="580.95833333333337"/>
    <n v="3577.1833333333334"/>
    <n v="3604.9583333333335"/>
  </r>
  <r>
    <x v="11"/>
    <s v="Coastal Carolina University"/>
    <m/>
    <n v="218724"/>
    <x v="4"/>
    <s v="sem"/>
    <m/>
    <m/>
    <m/>
    <n v="109295"/>
    <n v="114906"/>
    <n v="11181"/>
    <n v="10682"/>
    <n v="126828"/>
    <n v="128522"/>
    <n v="247304"/>
    <n v="8243.4666666666672"/>
    <n v="254110"/>
    <n v="8470.3333333333339"/>
    <n v="93"/>
    <m/>
    <n v="247304"/>
    <n v="0"/>
    <m/>
    <m/>
    <m/>
    <m/>
    <m/>
    <m/>
    <m/>
    <m/>
    <n v="0"/>
    <n v="0"/>
    <n v="0"/>
    <n v="0"/>
    <m/>
    <m/>
    <n v="0"/>
    <n v="0"/>
    <m/>
    <m/>
    <n v="2631"/>
    <n v="2857"/>
    <n v="3454"/>
    <n v="3235"/>
    <n v="3183"/>
    <n v="3492"/>
    <n v="9268"/>
    <n v="386.16666666666669"/>
    <n v="9584"/>
    <n v="399.33333333333331"/>
    <n v="8629.6333333333332"/>
    <n v="8869.6666666666679"/>
  </r>
  <r>
    <x v="11"/>
    <s v="Francis Marion University "/>
    <m/>
    <n v="218061"/>
    <x v="4"/>
    <s v="sem"/>
    <m/>
    <m/>
    <m/>
    <n v="47620"/>
    <n v="46930"/>
    <n v="5279"/>
    <n v="3724"/>
    <n v="52100"/>
    <n v="51424"/>
    <n v="104999"/>
    <n v="3499.9666666666667"/>
    <n v="102078"/>
    <n v="3402.6"/>
    <n v="1603"/>
    <n v="695"/>
    <n v="104999"/>
    <n v="102078"/>
    <m/>
    <m/>
    <m/>
    <m/>
    <m/>
    <m/>
    <m/>
    <m/>
    <n v="0"/>
    <n v="0"/>
    <n v="0"/>
    <n v="0"/>
    <m/>
    <m/>
    <n v="0"/>
    <n v="0"/>
    <m/>
    <m/>
    <n v="1272"/>
    <n v="1514"/>
    <n v="1828"/>
    <n v="1821"/>
    <n v="1867"/>
    <n v="1454"/>
    <n v="4967"/>
    <n v="206.95833333333334"/>
    <n v="4789"/>
    <n v="199.54166666666666"/>
    <n v="3706.9250000000002"/>
    <n v="3602.1416666666664"/>
  </r>
  <r>
    <x v="11"/>
    <s v="South Carolina State University "/>
    <m/>
    <n v="218733"/>
    <x v="4"/>
    <s v="sem"/>
    <m/>
    <m/>
    <m/>
    <n v="50332"/>
    <n v="48329"/>
    <n v="7507"/>
    <n v="6259"/>
    <n v="54604"/>
    <n v="46979"/>
    <n v="112443"/>
    <n v="3748.1"/>
    <n v="101567"/>
    <n v="3385.5666666666666"/>
    <m/>
    <m/>
    <n v="0"/>
    <n v="0"/>
    <m/>
    <m/>
    <m/>
    <m/>
    <m/>
    <m/>
    <m/>
    <m/>
    <n v="0"/>
    <n v="0"/>
    <n v="0"/>
    <n v="0"/>
    <m/>
    <m/>
    <n v="0"/>
    <n v="0"/>
    <m/>
    <m/>
    <n v="4286"/>
    <n v="4227"/>
    <n v="1974"/>
    <n v="1932"/>
    <n v="4234"/>
    <n v="3872"/>
    <n v="10494"/>
    <n v="437.25"/>
    <n v="10031"/>
    <n v="417.95833333333331"/>
    <n v="4185.3500000000004"/>
    <n v="3803.5250000000001"/>
  </r>
  <r>
    <x v="11"/>
    <s v="Lander University"/>
    <m/>
    <n v="218229"/>
    <x v="5"/>
    <s v="sem"/>
    <m/>
    <m/>
    <m/>
    <n v="38776"/>
    <n v="39529.01"/>
    <n v="4083"/>
    <n v="4321"/>
    <n v="42546"/>
    <n v="41793"/>
    <n v="85405"/>
    <n v="2846.8333333333335"/>
    <n v="85643.010000000009"/>
    <n v="2854.7670000000003"/>
    <n v="179"/>
    <n v="163"/>
    <n v="85405"/>
    <n v="85643.010000000009"/>
    <m/>
    <m/>
    <m/>
    <m/>
    <m/>
    <m/>
    <m/>
    <m/>
    <n v="0"/>
    <n v="0"/>
    <n v="0"/>
    <n v="0"/>
    <m/>
    <m/>
    <n v="0"/>
    <n v="0"/>
    <m/>
    <m/>
    <n v="414"/>
    <n v="357"/>
    <n v="1104"/>
    <n v="1146"/>
    <n v="156"/>
    <n v="366"/>
    <n v="1674"/>
    <n v="69.75"/>
    <n v="1869"/>
    <n v="77.875"/>
    <n v="2916.5833333333335"/>
    <n v="2932.6420000000003"/>
  </r>
  <r>
    <x v="11"/>
    <s v="University of South Carolina-Aiken"/>
    <m/>
    <n v="218645"/>
    <x v="5"/>
    <s v="sem"/>
    <m/>
    <m/>
    <m/>
    <n v="37961"/>
    <n v="37614"/>
    <n v="5294"/>
    <n v="4938"/>
    <n v="41204"/>
    <n v="40607"/>
    <n v="84459"/>
    <n v="2815.3"/>
    <n v="83159"/>
    <n v="2771.9666666666667"/>
    <n v="641"/>
    <n v="742"/>
    <n v="84459"/>
    <n v="83159"/>
    <m/>
    <m/>
    <m/>
    <m/>
    <m/>
    <m/>
    <m/>
    <m/>
    <n v="0"/>
    <n v="0"/>
    <n v="0"/>
    <n v="0"/>
    <m/>
    <m/>
    <n v="0"/>
    <n v="0"/>
    <m/>
    <m/>
    <n v="391"/>
    <n v="466"/>
    <n v="356"/>
    <n v="357"/>
    <n v="475"/>
    <n v="503"/>
    <n v="1222"/>
    <n v="50.916666666666664"/>
    <n v="1326"/>
    <n v="55.25"/>
    <n v="2866.2166666666667"/>
    <n v="2827.2166666666667"/>
  </r>
  <r>
    <x v="11"/>
    <s v="University of South Carolina-Beaufort"/>
    <m/>
    <n v="218654"/>
    <x v="5"/>
    <s v="sem"/>
    <m/>
    <m/>
    <m/>
    <n v="21353"/>
    <n v="21874"/>
    <n v="2922"/>
    <n v="2224"/>
    <n v="23892"/>
    <n v="23210"/>
    <n v="48167"/>
    <n v="1605.5666666666666"/>
    <n v="47308"/>
    <n v="1576.9333333333334"/>
    <n v="70"/>
    <n v="87"/>
    <n v="48167"/>
    <n v="47308"/>
    <m/>
    <m/>
    <m/>
    <m/>
    <m/>
    <m/>
    <m/>
    <m/>
    <n v="0"/>
    <n v="0"/>
    <n v="0"/>
    <n v="0"/>
    <m/>
    <m/>
    <n v="0"/>
    <n v="0"/>
    <m/>
    <m/>
    <m/>
    <n v="0"/>
    <m/>
    <n v="0"/>
    <m/>
    <n v="0"/>
    <n v="0"/>
    <n v="0"/>
    <n v="0"/>
    <n v="0"/>
    <n v="1605.5666666666666"/>
    <n v="1576.9333333333334"/>
  </r>
  <r>
    <x v="11"/>
    <s v="University of South Carolina-Upstate"/>
    <m/>
    <n v="218742"/>
    <x v="5"/>
    <s v="sem"/>
    <m/>
    <m/>
    <m/>
    <n v="68592"/>
    <n v="67295"/>
    <n v="8352"/>
    <n v="7526"/>
    <n v="72853"/>
    <n v="72603"/>
    <n v="149797"/>
    <n v="4993.2333333333336"/>
    <n v="147424"/>
    <n v="4914.1333333333332"/>
    <n v="2028"/>
    <n v="2008"/>
    <n v="149797"/>
    <n v="147424"/>
    <m/>
    <m/>
    <m/>
    <m/>
    <m/>
    <m/>
    <m/>
    <m/>
    <n v="0"/>
    <n v="0"/>
    <n v="0"/>
    <n v="0"/>
    <m/>
    <m/>
    <n v="0"/>
    <n v="0"/>
    <m/>
    <m/>
    <n v="526"/>
    <n v="574"/>
    <n v="503"/>
    <n v="600"/>
    <n v="328"/>
    <n v="504"/>
    <n v="1357"/>
    <n v="56.541666666666664"/>
    <n v="1678"/>
    <n v="69.916666666666671"/>
    <n v="5049.7750000000005"/>
    <n v="4984.05"/>
  </r>
  <r>
    <x v="11"/>
    <s v="Florence-Darlington Technical College "/>
    <s v="Reclassified: met the criteria for Two-Year 1 in 2010-11, 2011-12, and 2012-13."/>
    <n v="218025"/>
    <x v="6"/>
    <s v="sem"/>
    <m/>
    <m/>
    <m/>
    <n v="62769.43"/>
    <n v="62876.43"/>
    <n v="26266.17"/>
    <n v="23888.17"/>
    <n v="66154.420000000013"/>
    <n v="64363.42"/>
    <n v="155190.02000000002"/>
    <n v="5173.0006666666677"/>
    <n v="151128.02000000002"/>
    <n v="5037.6006666666672"/>
    <n v="883"/>
    <n v="363"/>
    <n v="155190.02000000002"/>
    <n v="151128.02000000002"/>
    <m/>
    <m/>
    <m/>
    <m/>
    <m/>
    <m/>
    <m/>
    <m/>
    <n v="0"/>
    <n v="0"/>
    <n v="0"/>
    <n v="0"/>
    <m/>
    <m/>
    <n v="0"/>
    <n v="0"/>
    <m/>
    <m/>
    <m/>
    <n v="0"/>
    <m/>
    <n v="0"/>
    <m/>
    <n v="0"/>
    <n v="0"/>
    <n v="0"/>
    <n v="0"/>
    <n v="0"/>
    <n v="5173.0006666666677"/>
    <n v="5037.6006666666672"/>
  </r>
  <r>
    <x v="11"/>
    <s v="Greenville Technical College "/>
    <m/>
    <n v="218113"/>
    <x v="6"/>
    <s v="sem"/>
    <m/>
    <m/>
    <m/>
    <n v="148927.34999999998"/>
    <n v="144236.34999999998"/>
    <n v="56767.560000000005"/>
    <n v="52851.560000000005"/>
    <n v="152072.21"/>
    <n v="146968.21"/>
    <n v="357767.12"/>
    <n v="11925.570666666667"/>
    <n v="344056.12"/>
    <n v="11468.537333333334"/>
    <n v="10314"/>
    <n v="10298"/>
    <n v="357767.12"/>
    <n v="344056.12"/>
    <m/>
    <m/>
    <m/>
    <m/>
    <m/>
    <m/>
    <m/>
    <m/>
    <n v="0"/>
    <n v="0"/>
    <n v="0"/>
    <n v="0"/>
    <m/>
    <m/>
    <n v="0"/>
    <n v="0"/>
    <m/>
    <m/>
    <m/>
    <n v="0"/>
    <m/>
    <n v="0"/>
    <m/>
    <n v="0"/>
    <n v="0"/>
    <n v="0"/>
    <n v="0"/>
    <n v="0"/>
    <n v="11925.570666666667"/>
    <n v="11468.537333333334"/>
  </r>
  <r>
    <x v="11"/>
    <s v="Horry-Georgetown Technical College "/>
    <m/>
    <n v="218140"/>
    <x v="6"/>
    <s v="sem"/>
    <m/>
    <m/>
    <m/>
    <n v="75067.030000000013"/>
    <n v="75945.030000000013"/>
    <n v="27859.530000000002"/>
    <n v="27424.530000000002"/>
    <n v="75063.459999999992"/>
    <n v="75778.459999999992"/>
    <n v="177990.02000000002"/>
    <n v="5933.0006666666677"/>
    <n v="179148.02000000002"/>
    <n v="5971.6006666666672"/>
    <n v="5201"/>
    <n v="2444"/>
    <n v="177990.02000000002"/>
    <n v="179148.02000000002"/>
    <m/>
    <m/>
    <m/>
    <m/>
    <m/>
    <m/>
    <m/>
    <m/>
    <n v="0"/>
    <n v="0"/>
    <n v="0"/>
    <n v="0"/>
    <m/>
    <m/>
    <n v="0"/>
    <n v="0"/>
    <m/>
    <m/>
    <m/>
    <n v="0"/>
    <m/>
    <n v="0"/>
    <m/>
    <n v="0"/>
    <n v="0"/>
    <n v="0"/>
    <n v="0"/>
    <n v="0"/>
    <n v="5933.0006666666677"/>
    <n v="5971.6006666666672"/>
  </r>
  <r>
    <x v="11"/>
    <s v="Midlands Technical College "/>
    <m/>
    <n v="218353"/>
    <x v="6"/>
    <s v="sem"/>
    <m/>
    <m/>
    <m/>
    <n v="119033.01"/>
    <n v="120662.01"/>
    <n v="54145.53"/>
    <n v="50709.53"/>
    <n v="131242.36000000002"/>
    <n v="129034.36"/>
    <n v="304420.90000000002"/>
    <n v="10147.363333333335"/>
    <n v="300405.89999999997"/>
    <n v="10013.529999999999"/>
    <n v="1423"/>
    <n v="1573"/>
    <n v="304420.90000000002"/>
    <n v="300405.89999999997"/>
    <m/>
    <m/>
    <m/>
    <m/>
    <m/>
    <m/>
    <m/>
    <m/>
    <n v="0"/>
    <n v="0"/>
    <n v="0"/>
    <n v="0"/>
    <m/>
    <m/>
    <n v="0"/>
    <n v="0"/>
    <m/>
    <m/>
    <m/>
    <n v="0"/>
    <m/>
    <n v="0"/>
    <m/>
    <n v="0"/>
    <n v="0"/>
    <n v="0"/>
    <n v="0"/>
    <n v="0"/>
    <n v="10147.363333333335"/>
    <n v="10013.529999999999"/>
  </r>
  <r>
    <x v="11"/>
    <s v="Piedmont Technical College "/>
    <s v="Reclassified: met the criteria for Two-Year 1 in 2010-11, 2011-12, and 2012-13."/>
    <n v="218520"/>
    <x v="6"/>
    <s v="sem"/>
    <m/>
    <m/>
    <m/>
    <n v="56429.969999999994"/>
    <n v="58859.969999999994"/>
    <n v="29623.039999999997"/>
    <n v="26989.039999999997"/>
    <n v="65603.86"/>
    <n v="68727.859999999986"/>
    <n v="151656.87"/>
    <n v="5055.2290000000003"/>
    <n v="154576.87"/>
    <n v="5152.5623333333333"/>
    <n v="10116"/>
    <n v="11680"/>
    <n v="151656.87"/>
    <n v="154576.87"/>
    <m/>
    <m/>
    <m/>
    <m/>
    <m/>
    <m/>
    <m/>
    <m/>
    <n v="0"/>
    <n v="0"/>
    <n v="0"/>
    <n v="0"/>
    <m/>
    <m/>
    <n v="0"/>
    <n v="0"/>
    <m/>
    <m/>
    <m/>
    <n v="0"/>
    <m/>
    <n v="0"/>
    <m/>
    <n v="0"/>
    <n v="0"/>
    <n v="0"/>
    <n v="0"/>
    <n v="0"/>
    <n v="5055.2290000000003"/>
    <n v="5152.5623333333333"/>
  </r>
  <r>
    <x v="11"/>
    <s v="Tri-County Technical College "/>
    <m/>
    <n v="218885"/>
    <x v="6"/>
    <s v="sem"/>
    <m/>
    <m/>
    <m/>
    <n v="74788.17"/>
    <n v="69376.17"/>
    <n v="28096.77"/>
    <n v="25132.77"/>
    <n v="79476.34"/>
    <n v="77607.34"/>
    <n v="182361.28"/>
    <n v="6078.7093333333332"/>
    <n v="172116.28"/>
    <n v="5737.2093333333332"/>
    <n v="5385"/>
    <n v="6144"/>
    <n v="182361.28"/>
    <n v="172116.28"/>
    <m/>
    <m/>
    <m/>
    <m/>
    <m/>
    <m/>
    <m/>
    <m/>
    <n v="0"/>
    <n v="0"/>
    <n v="0"/>
    <n v="0"/>
    <m/>
    <m/>
    <n v="0"/>
    <n v="0"/>
    <m/>
    <m/>
    <m/>
    <n v="0"/>
    <m/>
    <n v="0"/>
    <m/>
    <n v="0"/>
    <n v="0"/>
    <n v="0"/>
    <n v="0"/>
    <n v="0"/>
    <n v="6078.7093333333332"/>
    <n v="5737.2093333333332"/>
  </r>
  <r>
    <x v="11"/>
    <s v="Trident Technical College "/>
    <m/>
    <n v="218894"/>
    <x v="6"/>
    <s v="sem"/>
    <m/>
    <m/>
    <m/>
    <n v="153372.26999999999"/>
    <n v="161776.26999999999"/>
    <n v="76076.94"/>
    <n v="77027.94"/>
    <n v="166684.25999999998"/>
    <n v="169822.25999999998"/>
    <n v="396133.47"/>
    <n v="13204.448999999999"/>
    <n v="408626.47"/>
    <n v="13620.882333333333"/>
    <n v="7716"/>
    <n v="8798"/>
    <n v="396133.47"/>
    <n v="408626.47"/>
    <m/>
    <m/>
    <m/>
    <m/>
    <m/>
    <m/>
    <m/>
    <m/>
    <n v="0"/>
    <n v="0"/>
    <n v="0"/>
    <n v="0"/>
    <m/>
    <m/>
    <n v="0"/>
    <n v="0"/>
    <m/>
    <m/>
    <m/>
    <n v="0"/>
    <m/>
    <n v="0"/>
    <m/>
    <n v="0"/>
    <n v="0"/>
    <n v="0"/>
    <n v="0"/>
    <n v="0"/>
    <n v="13204.448999999999"/>
    <n v="13620.882333333333"/>
  </r>
  <r>
    <x v="11"/>
    <s v="Aiken Technical College "/>
    <m/>
    <n v="217615"/>
    <x v="7"/>
    <s v="sem"/>
    <m/>
    <m/>
    <m/>
    <n v="32334.39"/>
    <n v="31132.39"/>
    <n v="11698.03"/>
    <n v="12097.03"/>
    <n v="34484.67"/>
    <n v="32738.67"/>
    <n v="78517.09"/>
    <n v="2617.2363333333333"/>
    <n v="75968.09"/>
    <n v="2532.2696666666666"/>
    <n v="580"/>
    <n v="676"/>
    <n v="78517.09"/>
    <n v="75968.09"/>
    <m/>
    <m/>
    <m/>
    <m/>
    <m/>
    <m/>
    <m/>
    <m/>
    <n v="0"/>
    <n v="0"/>
    <n v="0"/>
    <n v="0"/>
    <m/>
    <m/>
    <n v="0"/>
    <n v="0"/>
    <m/>
    <m/>
    <m/>
    <n v="0"/>
    <m/>
    <n v="0"/>
    <m/>
    <n v="0"/>
    <n v="0"/>
    <n v="0"/>
    <n v="0"/>
    <n v="0"/>
    <n v="2617.2363333333333"/>
    <n v="2532.2696666666666"/>
  </r>
  <r>
    <x v="11"/>
    <s v="Central Carolina Technical College "/>
    <m/>
    <n v="218858"/>
    <x v="7"/>
    <s v="sem"/>
    <m/>
    <m/>
    <m/>
    <n v="37693.81"/>
    <n v="38308.81"/>
    <n v="17233.2"/>
    <n v="17067.2"/>
    <n v="41682.21"/>
    <n v="41472.21"/>
    <n v="96609.22"/>
    <n v="3220.3073333333332"/>
    <n v="96848.22"/>
    <n v="3228.2739999999999"/>
    <n v="2965"/>
    <n v="3928"/>
    <n v="96609.22"/>
    <n v="96848.22"/>
    <m/>
    <m/>
    <m/>
    <m/>
    <m/>
    <m/>
    <m/>
    <m/>
    <n v="0"/>
    <n v="0"/>
    <n v="0"/>
    <n v="0"/>
    <m/>
    <m/>
    <n v="0"/>
    <n v="0"/>
    <m/>
    <m/>
    <m/>
    <n v="0"/>
    <m/>
    <n v="0"/>
    <m/>
    <n v="0"/>
    <n v="0"/>
    <n v="0"/>
    <n v="0"/>
    <n v="0"/>
    <n v="3220.3073333333332"/>
    <n v="3228.2739999999999"/>
  </r>
  <r>
    <x v="11"/>
    <s v="Orangeburg-Calhoun Technical College "/>
    <m/>
    <n v="218487"/>
    <x v="7"/>
    <s v="sem"/>
    <m/>
    <m/>
    <m/>
    <n v="29415.019999999997"/>
    <n v="26386.019999999997"/>
    <n v="12361.019999999999"/>
    <n v="10104.019999999999"/>
    <n v="29616.820000000003"/>
    <n v="29832.820000000003"/>
    <n v="71392.86"/>
    <n v="2379.7620000000002"/>
    <n v="66322.86"/>
    <n v="2210.7620000000002"/>
    <n v="5214"/>
    <n v="5247"/>
    <n v="71392.86"/>
    <n v="66322.86"/>
    <m/>
    <m/>
    <m/>
    <m/>
    <m/>
    <m/>
    <m/>
    <m/>
    <n v="0"/>
    <n v="0"/>
    <n v="0"/>
    <n v="0"/>
    <m/>
    <m/>
    <n v="0"/>
    <n v="0"/>
    <m/>
    <m/>
    <m/>
    <n v="0"/>
    <m/>
    <n v="0"/>
    <m/>
    <n v="0"/>
    <n v="0"/>
    <n v="0"/>
    <n v="0"/>
    <n v="0"/>
    <n v="2379.7620000000002"/>
    <n v="2210.7620000000002"/>
  </r>
  <r>
    <x v="11"/>
    <s v="Spartanburg Community College "/>
    <m/>
    <n v="218830"/>
    <x v="7"/>
    <s v="sem"/>
    <m/>
    <m/>
    <m/>
    <n v="59062.23"/>
    <n v="57432.23"/>
    <n v="24762.95"/>
    <n v="22098.95"/>
    <n v="61544.94"/>
    <n v="60606.94"/>
    <n v="145370.12"/>
    <n v="4845.6706666666669"/>
    <n v="140138.12"/>
    <n v="4671.2706666666663"/>
    <n v="4306"/>
    <n v="5705"/>
    <n v="145370.12"/>
    <n v="140138.12"/>
    <m/>
    <m/>
    <m/>
    <m/>
    <m/>
    <m/>
    <m/>
    <m/>
    <n v="0"/>
    <n v="0"/>
    <n v="0"/>
    <n v="0"/>
    <m/>
    <m/>
    <n v="0"/>
    <n v="0"/>
    <m/>
    <m/>
    <m/>
    <n v="0"/>
    <m/>
    <n v="0"/>
    <m/>
    <n v="0"/>
    <n v="0"/>
    <n v="0"/>
    <n v="0"/>
    <n v="0"/>
    <n v="4845.6706666666669"/>
    <n v="4671.2706666666663"/>
  </r>
  <r>
    <x v="11"/>
    <s v="York Technical College "/>
    <m/>
    <n v="218991"/>
    <x v="7"/>
    <s v="sem"/>
    <m/>
    <m/>
    <m/>
    <n v="58380.35"/>
    <n v="52722.35"/>
    <n v="25935.54"/>
    <n v="22400.54"/>
    <n v="58007.85"/>
    <n v="51165.85"/>
    <n v="142323.74"/>
    <n v="4744.1246666666666"/>
    <n v="126288.73999999999"/>
    <n v="4209.6246666666666"/>
    <n v="6061"/>
    <n v="3136"/>
    <n v="142323.74"/>
    <n v="126288.73999999999"/>
    <m/>
    <m/>
    <m/>
    <m/>
    <m/>
    <m/>
    <m/>
    <m/>
    <n v="0"/>
    <n v="0"/>
    <n v="0"/>
    <n v="0"/>
    <m/>
    <m/>
    <n v="0"/>
    <n v="0"/>
    <m/>
    <m/>
    <m/>
    <n v="0"/>
    <m/>
    <n v="0"/>
    <m/>
    <n v="0"/>
    <n v="0"/>
    <n v="0"/>
    <n v="0"/>
    <n v="0"/>
    <n v="4744.1246666666666"/>
    <n v="4209.6246666666666"/>
  </r>
  <r>
    <x v="11"/>
    <s v="Denmark Technical College "/>
    <s v="Met the criteria for Two-Year 2 in 2012-13."/>
    <n v="217989"/>
    <x v="8"/>
    <s v="sem"/>
    <m/>
    <m/>
    <m/>
    <n v="11987"/>
    <n v="24677"/>
    <n v="3736.42"/>
    <n v="11890.42"/>
    <n v="22499.91"/>
    <n v="28216.91"/>
    <n v="38223.33"/>
    <n v="1274.1110000000001"/>
    <n v="64784.33"/>
    <n v="2159.4776666666667"/>
    <m/>
    <m/>
    <n v="0"/>
    <n v="0"/>
    <m/>
    <m/>
    <m/>
    <m/>
    <m/>
    <m/>
    <m/>
    <m/>
    <n v="0"/>
    <n v="0"/>
    <n v="0"/>
    <n v="0"/>
    <m/>
    <m/>
    <n v="0"/>
    <n v="0"/>
    <m/>
    <m/>
    <m/>
    <n v="0"/>
    <m/>
    <n v="0"/>
    <m/>
    <n v="0"/>
    <n v="0"/>
    <n v="0"/>
    <n v="0"/>
    <n v="0"/>
    <n v="1274.1110000000001"/>
    <n v="2159.4776666666667"/>
  </r>
  <r>
    <x v="11"/>
    <s v="Northeastern Technical College "/>
    <m/>
    <n v="217837"/>
    <x v="8"/>
    <s v="sem"/>
    <m/>
    <m/>
    <m/>
    <n v="13200.18"/>
    <n v="12521.18"/>
    <n v="6317.71"/>
    <n v="4788.71"/>
    <n v="14675.9"/>
    <n v="13964.9"/>
    <n v="34193.79"/>
    <n v="1139.7930000000001"/>
    <n v="31274.79"/>
    <n v="1042.4929999999999"/>
    <n v="1077"/>
    <n v="1302"/>
    <n v="34193.79"/>
    <n v="31274.79"/>
    <m/>
    <m/>
    <m/>
    <m/>
    <m/>
    <m/>
    <m/>
    <m/>
    <n v="0"/>
    <n v="0"/>
    <n v="0"/>
    <n v="0"/>
    <m/>
    <m/>
    <n v="0"/>
    <n v="0"/>
    <m/>
    <m/>
    <m/>
    <n v="0"/>
    <m/>
    <n v="0"/>
    <m/>
    <n v="0"/>
    <n v="0"/>
    <n v="0"/>
    <n v="0"/>
    <n v="0"/>
    <n v="1139.7930000000001"/>
    <n v="1042.4929999999999"/>
  </r>
  <r>
    <x v="11"/>
    <s v="Technical College of the Lowcountry"/>
    <m/>
    <n v="217712"/>
    <x v="8"/>
    <s v="sem"/>
    <m/>
    <m/>
    <m/>
    <n v="26277.49"/>
    <n v="25522.49"/>
    <n v="12049.68"/>
    <n v="9167.68"/>
    <n v="25182.799999999996"/>
    <n v="22459.799999999996"/>
    <n v="63509.969999999994"/>
    <n v="2116.9989999999998"/>
    <n v="57149.969999999994"/>
    <n v="1904.9989999999998"/>
    <n v="3230"/>
    <n v="3119"/>
    <n v="63509.969999999994"/>
    <n v="57149.969999999994"/>
    <m/>
    <m/>
    <m/>
    <m/>
    <m/>
    <m/>
    <m/>
    <m/>
    <n v="0"/>
    <n v="0"/>
    <n v="0"/>
    <n v="0"/>
    <m/>
    <m/>
    <n v="0"/>
    <n v="0"/>
    <m/>
    <m/>
    <m/>
    <n v="0"/>
    <m/>
    <n v="0"/>
    <m/>
    <n v="0"/>
    <n v="0"/>
    <n v="0"/>
    <n v="0"/>
    <n v="0"/>
    <n v="2116.9989999999998"/>
    <n v="1904.9989999999998"/>
  </r>
  <r>
    <x v="11"/>
    <s v="University of South Carolina-Lancaster"/>
    <m/>
    <n v="218672"/>
    <x v="8"/>
    <s v="sem"/>
    <m/>
    <m/>
    <m/>
    <n v="15347"/>
    <n v="16275"/>
    <n v="2302"/>
    <n v="1958"/>
    <n v="18890"/>
    <n v="19475"/>
    <n v="36539"/>
    <n v="1217.9666666666667"/>
    <n v="37708"/>
    <n v="1256.9333333333334"/>
    <n v="3394"/>
    <n v="4133"/>
    <n v="36539"/>
    <n v="37708"/>
    <m/>
    <m/>
    <m/>
    <m/>
    <m/>
    <m/>
    <m/>
    <m/>
    <n v="0"/>
    <n v="0"/>
    <n v="0"/>
    <n v="0"/>
    <m/>
    <m/>
    <n v="0"/>
    <n v="0"/>
    <m/>
    <m/>
    <m/>
    <n v="0"/>
    <m/>
    <n v="0"/>
    <m/>
    <n v="0"/>
    <n v="0"/>
    <n v="0"/>
    <n v="0"/>
    <n v="0"/>
    <n v="1217.9666666666667"/>
    <n v="1256.9333333333334"/>
  </r>
  <r>
    <x v="11"/>
    <s v="University of South Carolina-Salkehatchie"/>
    <m/>
    <n v="218681"/>
    <x v="8"/>
    <s v="sem"/>
    <m/>
    <m/>
    <m/>
    <n v="11479"/>
    <n v="11145"/>
    <n v="1205"/>
    <n v="779"/>
    <n v="11380"/>
    <n v="11935"/>
    <n v="24064"/>
    <n v="802.13333333333333"/>
    <n v="23859"/>
    <n v="795.3"/>
    <n v="1403"/>
    <n v="1881"/>
    <n v="24064"/>
    <n v="23859"/>
    <m/>
    <m/>
    <m/>
    <m/>
    <m/>
    <m/>
    <m/>
    <m/>
    <n v="0"/>
    <n v="0"/>
    <n v="0"/>
    <n v="0"/>
    <m/>
    <m/>
    <n v="0"/>
    <n v="0"/>
    <m/>
    <m/>
    <m/>
    <n v="0"/>
    <m/>
    <n v="0"/>
    <m/>
    <n v="0"/>
    <n v="0"/>
    <n v="0"/>
    <n v="0"/>
    <n v="0"/>
    <n v="802.13333333333333"/>
    <n v="795.3"/>
  </r>
  <r>
    <x v="11"/>
    <s v="University of South Carolina-Sumter"/>
    <m/>
    <n v="218690"/>
    <x v="8"/>
    <s v="sem"/>
    <m/>
    <m/>
    <m/>
    <n v="11564"/>
    <n v="9870"/>
    <n v="1439"/>
    <n v="1003"/>
    <n v="11625"/>
    <n v="10504"/>
    <n v="24628"/>
    <n v="820.93333333333328"/>
    <n v="21377"/>
    <n v="712.56666666666672"/>
    <n v="3081"/>
    <n v="2589"/>
    <n v="24628"/>
    <n v="21377"/>
    <m/>
    <m/>
    <m/>
    <m/>
    <m/>
    <m/>
    <m/>
    <m/>
    <n v="0"/>
    <n v="0"/>
    <n v="0"/>
    <n v="0"/>
    <m/>
    <m/>
    <n v="0"/>
    <n v="0"/>
    <m/>
    <m/>
    <m/>
    <n v="0"/>
    <m/>
    <n v="0"/>
    <m/>
    <n v="0"/>
    <n v="0"/>
    <n v="0"/>
    <n v="0"/>
    <n v="0"/>
    <n v="820.93333333333328"/>
    <n v="712.56666666666672"/>
  </r>
  <r>
    <x v="11"/>
    <s v="University of South Carolina-Union"/>
    <m/>
    <n v="218706"/>
    <x v="8"/>
    <s v="sem"/>
    <m/>
    <m/>
    <m/>
    <n v="5960"/>
    <n v="5684"/>
    <n v="559"/>
    <n v="314"/>
    <n v="5014"/>
    <n v="5162"/>
    <n v="11533"/>
    <n v="384.43333333333334"/>
    <n v="11160"/>
    <n v="372"/>
    <n v="3503"/>
    <n v="3265"/>
    <n v="11533"/>
    <n v="11160"/>
    <m/>
    <m/>
    <m/>
    <m/>
    <m/>
    <m/>
    <m/>
    <m/>
    <n v="0"/>
    <n v="0"/>
    <n v="0"/>
    <n v="0"/>
    <m/>
    <m/>
    <n v="0"/>
    <n v="0"/>
    <m/>
    <m/>
    <m/>
    <n v="0"/>
    <m/>
    <n v="0"/>
    <m/>
    <n v="0"/>
    <n v="0"/>
    <n v="0"/>
    <n v="0"/>
    <n v="0"/>
    <n v="384.43333333333334"/>
    <n v="372"/>
  </r>
  <r>
    <x v="11"/>
    <s v="Willamsburg Technical College "/>
    <m/>
    <n v="218955"/>
    <x v="8"/>
    <s v="sem"/>
    <m/>
    <m/>
    <m/>
    <n v="6513.01"/>
    <n v="5710.01"/>
    <n v="3810.52"/>
    <n v="2703.52"/>
    <n v="6284.96"/>
    <n v="6031.96"/>
    <n v="16608.490000000002"/>
    <n v="553.61633333333339"/>
    <n v="14445.490000000002"/>
    <n v="481.51633333333336"/>
    <n v="165"/>
    <n v="201"/>
    <n v="16608.490000000002"/>
    <n v="14445.490000000002"/>
    <m/>
    <m/>
    <m/>
    <m/>
    <m/>
    <m/>
    <m/>
    <m/>
    <n v="0"/>
    <n v="0"/>
    <n v="0"/>
    <n v="0"/>
    <m/>
    <m/>
    <n v="0"/>
    <n v="0"/>
    <m/>
    <m/>
    <m/>
    <n v="0"/>
    <m/>
    <n v="0"/>
    <m/>
    <n v="0"/>
    <n v="0"/>
    <n v="0"/>
    <n v="0"/>
    <n v="0"/>
    <n v="553.61633333333339"/>
    <n v="481.51633333333336"/>
  </r>
  <r>
    <x v="12"/>
    <s v="University of Memphis"/>
    <m/>
    <n v="220862"/>
    <x v="0"/>
    <s v="sem"/>
    <m/>
    <m/>
    <m/>
    <n v="200974"/>
    <n v="205095"/>
    <n v="30227"/>
    <n v="29622"/>
    <n v="216891"/>
    <n v="215044"/>
    <n v="448092"/>
    <n v="14936.4"/>
    <n v="449761"/>
    <n v="14992.033333333333"/>
    <m/>
    <m/>
    <n v="0"/>
    <n v="0"/>
    <m/>
    <m/>
    <m/>
    <m/>
    <m/>
    <m/>
    <m/>
    <m/>
    <n v="0"/>
    <n v="0"/>
    <n v="0"/>
    <n v="0"/>
    <m/>
    <m/>
    <n v="0"/>
    <n v="0"/>
    <m/>
    <m/>
    <n v="39257"/>
    <n v="38048"/>
    <n v="8077"/>
    <n v="8361"/>
    <n v="39175"/>
    <n v="37503"/>
    <n v="86509"/>
    <n v="3604.5416666666665"/>
    <n v="83912"/>
    <n v="3496.3333333333335"/>
    <n v="18540.941666666666"/>
    <n v="18488.366666666665"/>
  </r>
  <r>
    <x v="12"/>
    <s v="University of Tennessee, Knoxville"/>
    <m/>
    <n v="221759"/>
    <x v="0"/>
    <s v="sem"/>
    <m/>
    <m/>
    <m/>
    <n v="268598"/>
    <n v="267133"/>
    <n v="32903"/>
    <n v="35001"/>
    <n v="281570"/>
    <n v="282072"/>
    <n v="583071"/>
    <n v="19435.7"/>
    <n v="584206"/>
    <n v="19473.533333333333"/>
    <m/>
    <m/>
    <n v="0"/>
    <n v="0"/>
    <m/>
    <m/>
    <m/>
    <m/>
    <m/>
    <m/>
    <m/>
    <m/>
    <n v="0"/>
    <n v="0"/>
    <n v="0"/>
    <n v="0"/>
    <m/>
    <m/>
    <n v="0"/>
    <n v="0"/>
    <m/>
    <m/>
    <n v="49260"/>
    <n v="49019"/>
    <n v="17488"/>
    <n v="17533"/>
    <n v="50880"/>
    <n v="52657"/>
    <n v="117628"/>
    <n v="4901.166666666667"/>
    <n v="119209"/>
    <n v="4967.041666666667"/>
    <n v="24336.866666666669"/>
    <n v="24440.575000000001"/>
  </r>
  <r>
    <x v="12"/>
    <s v="Tennessee State University "/>
    <m/>
    <n v="221838"/>
    <x v="1"/>
    <s v="sem"/>
    <m/>
    <m/>
    <m/>
    <n v="82054"/>
    <n v="83514"/>
    <n v="14911"/>
    <n v="12181"/>
    <n v="88692"/>
    <n v="85330"/>
    <n v="185657"/>
    <n v="6188.5666666666666"/>
    <n v="181025"/>
    <n v="6034.166666666667"/>
    <m/>
    <m/>
    <n v="0"/>
    <n v="0"/>
    <m/>
    <m/>
    <m/>
    <m/>
    <m/>
    <m/>
    <m/>
    <m/>
    <n v="0"/>
    <n v="0"/>
    <n v="0"/>
    <n v="0"/>
    <m/>
    <m/>
    <n v="0"/>
    <n v="0"/>
    <m/>
    <m/>
    <n v="14601"/>
    <n v="14457"/>
    <n v="6421"/>
    <n v="6088"/>
    <n v="14953"/>
    <n v="14545"/>
    <n v="35975"/>
    <n v="1498.9583333333333"/>
    <n v="35090"/>
    <n v="1462.0833333333333"/>
    <n v="7687.5249999999996"/>
    <n v="7496.25"/>
  </r>
  <r>
    <x v="12"/>
    <s v="Austin Peay State University "/>
    <m/>
    <n v="219602"/>
    <x v="2"/>
    <s v="sem"/>
    <m/>
    <m/>
    <m/>
    <n v="103833"/>
    <n v="110890"/>
    <n v="22046"/>
    <n v="22384"/>
    <n v="120070"/>
    <n v="119482"/>
    <n v="245949"/>
    <n v="8198.2999999999993"/>
    <n v="252756"/>
    <n v="8425.2000000000007"/>
    <n v="1577"/>
    <n v="1845"/>
    <n v="245949"/>
    <n v="252756"/>
    <m/>
    <m/>
    <m/>
    <m/>
    <m/>
    <m/>
    <m/>
    <m/>
    <n v="0"/>
    <n v="0"/>
    <n v="0"/>
    <n v="0"/>
    <m/>
    <m/>
    <n v="0"/>
    <n v="0"/>
    <m/>
    <m/>
    <n v="6298"/>
    <n v="5962"/>
    <n v="2721"/>
    <n v="2916"/>
    <n v="6476"/>
    <n v="6505"/>
    <n v="15495"/>
    <n v="645.625"/>
    <n v="15383"/>
    <n v="640.95833333333337"/>
    <n v="8843.9249999999993"/>
    <n v="9066.1583333333347"/>
  </r>
  <r>
    <x v="12"/>
    <s v="East Tennessee State University "/>
    <m/>
    <n v="220075"/>
    <x v="2"/>
    <s v="sem"/>
    <m/>
    <m/>
    <m/>
    <n v="148311"/>
    <n v="151184"/>
    <n v="24097"/>
    <n v="23270"/>
    <n v="164764"/>
    <n v="159588"/>
    <n v="337172"/>
    <n v="11239.066666666668"/>
    <n v="334042"/>
    <n v="11134.733333333334"/>
    <m/>
    <m/>
    <n v="0"/>
    <n v="0"/>
    <m/>
    <m/>
    <m/>
    <m/>
    <m/>
    <m/>
    <m/>
    <m/>
    <n v="0"/>
    <n v="0"/>
    <n v="0"/>
    <n v="0"/>
    <m/>
    <m/>
    <n v="0"/>
    <n v="0"/>
    <m/>
    <m/>
    <n v="16849"/>
    <n v="16736"/>
    <n v="7166"/>
    <n v="7818"/>
    <n v="17492"/>
    <n v="18568"/>
    <n v="41507"/>
    <n v="1729.4583333333333"/>
    <n v="43122"/>
    <n v="1796.75"/>
    <n v="12968.525000000001"/>
    <n v="12931.483333333334"/>
  </r>
  <r>
    <x v="12"/>
    <s v="Middle Tennessee State University "/>
    <m/>
    <n v="220978"/>
    <x v="2"/>
    <s v="sem"/>
    <m/>
    <m/>
    <m/>
    <n v="280020"/>
    <n v="272267"/>
    <n v="47561"/>
    <n v="46567"/>
    <n v="301604"/>
    <n v="286959"/>
    <n v="629185"/>
    <n v="20972.833333333332"/>
    <n v="605793"/>
    <n v="20193.099999999999"/>
    <m/>
    <m/>
    <n v="0"/>
    <n v="0"/>
    <m/>
    <m/>
    <m/>
    <m/>
    <m/>
    <m/>
    <m/>
    <m/>
    <n v="0"/>
    <n v="0"/>
    <n v="0"/>
    <n v="0"/>
    <m/>
    <m/>
    <n v="0"/>
    <n v="0"/>
    <m/>
    <m/>
    <n v="19471"/>
    <n v="19237"/>
    <n v="9625"/>
    <n v="9619"/>
    <n v="20402"/>
    <n v="20316"/>
    <n v="49498"/>
    <n v="2062.4166666666665"/>
    <n v="49172"/>
    <n v="2048.8333333333335"/>
    <n v="23035.25"/>
    <n v="22241.933333333331"/>
  </r>
  <r>
    <x v="12"/>
    <s v="Tennessee Technological University "/>
    <m/>
    <n v="221847"/>
    <x v="2"/>
    <s v="sem"/>
    <m/>
    <m/>
    <m/>
    <n v="117328"/>
    <n v="121717"/>
    <n v="13099"/>
    <n v="14024"/>
    <n v="132670"/>
    <n v="134982"/>
    <n v="263097"/>
    <n v="8769.9"/>
    <n v="270723"/>
    <n v="9024.1"/>
    <m/>
    <m/>
    <n v="0"/>
    <n v="0"/>
    <m/>
    <m/>
    <m/>
    <m/>
    <m/>
    <m/>
    <m/>
    <m/>
    <n v="0"/>
    <n v="0"/>
    <n v="0"/>
    <n v="0"/>
    <m/>
    <m/>
    <n v="0"/>
    <n v="0"/>
    <m/>
    <m/>
    <n v="8437"/>
    <n v="7082"/>
    <n v="3656"/>
    <n v="3227"/>
    <n v="8165"/>
    <n v="7650"/>
    <n v="20258"/>
    <n v="844.08333333333337"/>
    <n v="17959"/>
    <n v="748.29166666666663"/>
    <n v="9613.9833333333336"/>
    <n v="9772.3916666666664"/>
  </r>
  <r>
    <x v="12"/>
    <s v="University of Tennessee at Chattanooga"/>
    <m/>
    <n v="221740"/>
    <x v="2"/>
    <s v="sem"/>
    <m/>
    <m/>
    <m/>
    <n v="109626"/>
    <n v="121325"/>
    <n v="14737"/>
    <n v="17136"/>
    <n v="132574"/>
    <n v="134842"/>
    <n v="256937"/>
    <n v="8564.5666666666675"/>
    <n v="273303"/>
    <n v="9110.1"/>
    <m/>
    <m/>
    <n v="0"/>
    <n v="0"/>
    <m/>
    <m/>
    <m/>
    <m/>
    <m/>
    <m/>
    <m/>
    <m/>
    <n v="0"/>
    <n v="0"/>
    <n v="0"/>
    <n v="0"/>
    <m/>
    <m/>
    <n v="0"/>
    <n v="0"/>
    <m/>
    <m/>
    <n v="10816"/>
    <n v="10976"/>
    <n v="5736"/>
    <n v="5913"/>
    <n v="12076"/>
    <n v="11534"/>
    <n v="28628"/>
    <n v="1192.8333333333333"/>
    <n v="28423"/>
    <n v="1184.2916666666667"/>
    <n v="9757.4000000000015"/>
    <n v="10294.391666666666"/>
  </r>
  <r>
    <x v="12"/>
    <s v="University of Tennessee at Martin"/>
    <m/>
    <n v="221768"/>
    <x v="4"/>
    <s v="sem"/>
    <m/>
    <m/>
    <m/>
    <n v="93979"/>
    <n v="91482"/>
    <n v="13865"/>
    <n v="12872"/>
    <n v="99680"/>
    <n v="98320"/>
    <n v="207524"/>
    <n v="6917.4666666666662"/>
    <n v="202674"/>
    <n v="6755.8"/>
    <n v="5557"/>
    <n v="4402"/>
    <n v="207524"/>
    <n v="202674"/>
    <m/>
    <m/>
    <m/>
    <m/>
    <m/>
    <m/>
    <m/>
    <m/>
    <n v="0"/>
    <n v="0"/>
    <n v="0"/>
    <n v="0"/>
    <m/>
    <m/>
    <n v="0"/>
    <n v="0"/>
    <m/>
    <m/>
    <n v="2874"/>
    <n v="2579"/>
    <n v="2038"/>
    <n v="1633"/>
    <n v="2485"/>
    <n v="2581"/>
    <n v="7397"/>
    <n v="308.20833333333331"/>
    <n v="6793"/>
    <n v="283.04166666666669"/>
    <n v="7225.6749999999993"/>
    <n v="7038.8416666666672"/>
  </r>
  <r>
    <x v="12"/>
    <s v="Chattanooga State Technical Community College "/>
    <m/>
    <n v="219824"/>
    <x v="6"/>
    <s v="sem"/>
    <m/>
    <m/>
    <m/>
    <n v="94137"/>
    <n v="90205"/>
    <n v="20055"/>
    <n v="19778"/>
    <n v="100065"/>
    <n v="98768"/>
    <n v="214257"/>
    <n v="7141.9"/>
    <n v="208751"/>
    <n v="6958.3666666666668"/>
    <n v="10640"/>
    <n v="11548"/>
    <n v="214257"/>
    <n v="208751"/>
    <m/>
    <m/>
    <m/>
    <m/>
    <m/>
    <m/>
    <m/>
    <m/>
    <n v="0"/>
    <n v="0"/>
    <n v="0"/>
    <n v="0"/>
    <m/>
    <m/>
    <n v="0"/>
    <n v="0"/>
    <m/>
    <m/>
    <m/>
    <m/>
    <m/>
    <m/>
    <m/>
    <m/>
    <n v="0"/>
    <n v="0"/>
    <n v="0"/>
    <n v="0"/>
    <n v="7141.9"/>
    <n v="6958.3666666666668"/>
  </r>
  <r>
    <x v="12"/>
    <s v="Nashville State Technical Community College"/>
    <m/>
    <n v="221184"/>
    <x v="6"/>
    <s v="sem"/>
    <m/>
    <m/>
    <m/>
    <n v="84010"/>
    <n v="84144"/>
    <n v="27112"/>
    <n v="22096"/>
    <n v="85290"/>
    <n v="85216"/>
    <n v="196412"/>
    <n v="6547.0666666666666"/>
    <n v="191456"/>
    <n v="6381.8666666666668"/>
    <n v="5677"/>
    <n v="6760"/>
    <n v="196412"/>
    <n v="191456"/>
    <m/>
    <m/>
    <m/>
    <m/>
    <m/>
    <m/>
    <m/>
    <m/>
    <n v="0"/>
    <n v="0"/>
    <n v="0"/>
    <n v="0"/>
    <m/>
    <m/>
    <n v="0"/>
    <n v="0"/>
    <m/>
    <m/>
    <m/>
    <m/>
    <m/>
    <m/>
    <m/>
    <m/>
    <n v="0"/>
    <n v="0"/>
    <n v="0"/>
    <n v="0"/>
    <n v="6547.0666666666666"/>
    <n v="6381.8666666666668"/>
  </r>
  <r>
    <x v="12"/>
    <s v="Pellissippi State Technical Community College"/>
    <m/>
    <n v="221643"/>
    <x v="6"/>
    <s v="sem"/>
    <m/>
    <m/>
    <m/>
    <n v="100060"/>
    <n v="98536"/>
    <n v="25201"/>
    <n v="20180"/>
    <n v="111029"/>
    <n v="105861"/>
    <n v="236290"/>
    <n v="7876.333333333333"/>
    <n v="224577"/>
    <n v="7485.9"/>
    <n v="6884"/>
    <n v="6888"/>
    <n v="236290"/>
    <n v="224577"/>
    <m/>
    <m/>
    <m/>
    <m/>
    <m/>
    <m/>
    <m/>
    <m/>
    <n v="0"/>
    <n v="0"/>
    <n v="0"/>
    <n v="0"/>
    <m/>
    <m/>
    <n v="0"/>
    <n v="0"/>
    <m/>
    <m/>
    <m/>
    <m/>
    <m/>
    <m/>
    <m/>
    <m/>
    <n v="0"/>
    <n v="0"/>
    <n v="0"/>
    <n v="0"/>
    <n v="7876.333333333333"/>
    <n v="7485.9"/>
  </r>
  <r>
    <x v="12"/>
    <s v="Southwest Tennessee Community College"/>
    <m/>
    <n v="221485"/>
    <x v="6"/>
    <s v="sem"/>
    <m/>
    <m/>
    <m/>
    <n v="117785"/>
    <n v="115229"/>
    <n v="45229"/>
    <n v="31469"/>
    <n v="123233"/>
    <n v="113328"/>
    <n v="286247"/>
    <n v="9541.5666666666675"/>
    <n v="260026"/>
    <n v="8667.5333333333328"/>
    <n v="1611"/>
    <n v="1851"/>
    <n v="286247"/>
    <n v="260026"/>
    <m/>
    <m/>
    <m/>
    <m/>
    <m/>
    <m/>
    <m/>
    <m/>
    <n v="0"/>
    <n v="0"/>
    <n v="0"/>
    <n v="0"/>
    <m/>
    <m/>
    <n v="0"/>
    <n v="0"/>
    <m/>
    <m/>
    <m/>
    <m/>
    <m/>
    <m/>
    <m/>
    <m/>
    <n v="0"/>
    <n v="0"/>
    <n v="0"/>
    <n v="0"/>
    <n v="9541.5666666666675"/>
    <n v="8667.5333333333328"/>
  </r>
  <r>
    <x v="12"/>
    <s v="Volunteer State Community College "/>
    <m/>
    <n v="222053"/>
    <x v="6"/>
    <s v="sem"/>
    <m/>
    <m/>
    <m/>
    <n v="76398"/>
    <n v="72241"/>
    <n v="19259"/>
    <n v="16149"/>
    <n v="81735"/>
    <n v="76369"/>
    <n v="177392"/>
    <n v="5913.0666666666666"/>
    <n v="164759"/>
    <n v="5491.9666666666662"/>
    <n v="10522"/>
    <n v="11351"/>
    <n v="177392"/>
    <n v="164759"/>
    <m/>
    <m/>
    <m/>
    <m/>
    <m/>
    <m/>
    <m/>
    <m/>
    <n v="0"/>
    <n v="0"/>
    <n v="0"/>
    <n v="0"/>
    <m/>
    <m/>
    <n v="0"/>
    <n v="0"/>
    <m/>
    <m/>
    <m/>
    <m/>
    <m/>
    <m/>
    <m/>
    <m/>
    <n v="0"/>
    <n v="0"/>
    <n v="0"/>
    <n v="0"/>
    <n v="5913.0666666666666"/>
    <n v="5491.9666666666662"/>
  </r>
  <r>
    <x v="12"/>
    <s v="Cleveland State Community College "/>
    <m/>
    <n v="219879"/>
    <x v="7"/>
    <s v="sem"/>
    <m/>
    <m/>
    <m/>
    <n v="35853"/>
    <n v="33841"/>
    <n v="6569"/>
    <n v="5742"/>
    <n v="39251"/>
    <n v="37234"/>
    <n v="81673"/>
    <n v="2722.4333333333334"/>
    <n v="76817"/>
    <n v="2560.5666666666666"/>
    <n v="3694"/>
    <n v="3886"/>
    <n v="81673"/>
    <n v="76817"/>
    <m/>
    <m/>
    <m/>
    <m/>
    <m/>
    <m/>
    <m/>
    <m/>
    <n v="0"/>
    <n v="0"/>
    <n v="0"/>
    <n v="0"/>
    <m/>
    <m/>
    <n v="0"/>
    <n v="0"/>
    <m/>
    <m/>
    <m/>
    <m/>
    <m/>
    <m/>
    <m/>
    <m/>
    <n v="0"/>
    <n v="0"/>
    <n v="0"/>
    <n v="0"/>
    <n v="2722.4333333333334"/>
    <n v="2560.5666666666666"/>
  </r>
  <r>
    <x v="12"/>
    <s v="Columbia State Community College "/>
    <m/>
    <n v="219888"/>
    <x v="7"/>
    <s v="sem"/>
    <m/>
    <m/>
    <m/>
    <n v="49503"/>
    <n v="46049"/>
    <n v="10063"/>
    <n v="9491"/>
    <n v="51259"/>
    <n v="50221"/>
    <n v="110825"/>
    <n v="3694.1666666666665"/>
    <n v="105761"/>
    <n v="3525.3666666666668"/>
    <n v="4299"/>
    <n v="4890"/>
    <n v="110825"/>
    <n v="105761"/>
    <m/>
    <m/>
    <m/>
    <m/>
    <m/>
    <m/>
    <m/>
    <m/>
    <n v="0"/>
    <n v="0"/>
    <n v="0"/>
    <n v="0"/>
    <m/>
    <m/>
    <n v="0"/>
    <n v="0"/>
    <m/>
    <m/>
    <m/>
    <m/>
    <m/>
    <m/>
    <m/>
    <m/>
    <n v="0"/>
    <n v="0"/>
    <n v="0"/>
    <n v="0"/>
    <n v="3694.1666666666665"/>
    <n v="3525.3666666666668"/>
  </r>
  <r>
    <x v="12"/>
    <s v="Dyersburg State Community College "/>
    <m/>
    <n v="220057"/>
    <x v="7"/>
    <s v="sem"/>
    <m/>
    <m/>
    <m/>
    <n v="32038"/>
    <n v="30823"/>
    <n v="4254"/>
    <n v="4226"/>
    <n v="35004"/>
    <n v="33257"/>
    <n v="71296"/>
    <n v="2376.5333333333333"/>
    <n v="68306"/>
    <n v="2276.8666666666668"/>
    <n v="6900"/>
    <n v="6665"/>
    <n v="71296"/>
    <n v="68306"/>
    <m/>
    <m/>
    <m/>
    <m/>
    <m/>
    <m/>
    <m/>
    <m/>
    <n v="0"/>
    <n v="0"/>
    <n v="0"/>
    <n v="0"/>
    <m/>
    <m/>
    <n v="0"/>
    <n v="0"/>
    <m/>
    <m/>
    <m/>
    <m/>
    <m/>
    <m/>
    <m/>
    <m/>
    <n v="0"/>
    <n v="0"/>
    <n v="0"/>
    <n v="0"/>
    <n v="2376.5333333333333"/>
    <n v="2276.8666666666668"/>
  </r>
  <r>
    <x v="12"/>
    <s v="Jackson State Community College "/>
    <m/>
    <n v="220400"/>
    <x v="7"/>
    <s v="sem"/>
    <m/>
    <m/>
    <m/>
    <n v="46043"/>
    <n v="42087"/>
    <n v="10492"/>
    <n v="8448"/>
    <n v="48893"/>
    <n v="42708"/>
    <n v="105428"/>
    <n v="3514.2666666666669"/>
    <n v="93243"/>
    <n v="3108.1"/>
    <n v="4920"/>
    <n v="4424"/>
    <n v="105428"/>
    <n v="93243"/>
    <m/>
    <m/>
    <m/>
    <m/>
    <m/>
    <m/>
    <m/>
    <m/>
    <n v="0"/>
    <n v="0"/>
    <n v="0"/>
    <n v="0"/>
    <m/>
    <m/>
    <n v="0"/>
    <n v="0"/>
    <m/>
    <m/>
    <m/>
    <m/>
    <m/>
    <m/>
    <m/>
    <m/>
    <n v="0"/>
    <n v="0"/>
    <n v="0"/>
    <n v="0"/>
    <n v="3514.2666666666669"/>
    <n v="3108.1"/>
  </r>
  <r>
    <x v="12"/>
    <s v="Motlow State Community College "/>
    <m/>
    <n v="221096"/>
    <x v="7"/>
    <s v="sem"/>
    <m/>
    <m/>
    <m/>
    <n v="44700"/>
    <n v="42418"/>
    <n v="8939"/>
    <n v="8091"/>
    <n v="46034"/>
    <n v="43877"/>
    <n v="99673"/>
    <n v="3322.4333333333334"/>
    <n v="94386"/>
    <n v="3146.2"/>
    <n v="5207"/>
    <n v="5608"/>
    <n v="99673"/>
    <n v="94386"/>
    <m/>
    <m/>
    <m/>
    <m/>
    <m/>
    <m/>
    <m/>
    <m/>
    <n v="0"/>
    <n v="0"/>
    <n v="0"/>
    <n v="0"/>
    <m/>
    <m/>
    <n v="0"/>
    <n v="0"/>
    <m/>
    <m/>
    <m/>
    <m/>
    <m/>
    <m/>
    <m/>
    <m/>
    <n v="0"/>
    <n v="0"/>
    <n v="0"/>
    <n v="0"/>
    <n v="3322.4333333333334"/>
    <n v="3146.2"/>
  </r>
  <r>
    <x v="12"/>
    <s v="Northeast State Technical Community College"/>
    <m/>
    <n v="221908"/>
    <x v="7"/>
    <s v="sem"/>
    <m/>
    <m/>
    <m/>
    <n v="64441"/>
    <n v="60770"/>
    <n v="13266"/>
    <n v="11624"/>
    <n v="66339"/>
    <n v="64335"/>
    <n v="144046"/>
    <n v="4801.5333333333338"/>
    <n v="136729"/>
    <n v="4557.6333333333332"/>
    <n v="4114"/>
    <n v="5712"/>
    <n v="144046"/>
    <n v="136729"/>
    <m/>
    <m/>
    <m/>
    <m/>
    <m/>
    <m/>
    <m/>
    <m/>
    <n v="0"/>
    <n v="0"/>
    <n v="0"/>
    <n v="0"/>
    <m/>
    <m/>
    <n v="0"/>
    <n v="0"/>
    <m/>
    <m/>
    <m/>
    <m/>
    <m/>
    <m/>
    <m/>
    <m/>
    <n v="0"/>
    <n v="0"/>
    <n v="0"/>
    <n v="0"/>
    <n v="4801.5333333333338"/>
    <n v="4557.6333333333332"/>
  </r>
  <r>
    <x v="12"/>
    <s v="Roane State Community College "/>
    <m/>
    <n v="221397"/>
    <x v="7"/>
    <s v="sem"/>
    <m/>
    <m/>
    <m/>
    <n v="63123"/>
    <n v="59056"/>
    <n v="9542"/>
    <n v="9156"/>
    <n v="63077"/>
    <n v="62292"/>
    <n v="135742"/>
    <n v="4524.7333333333336"/>
    <n v="130504"/>
    <n v="4350.1333333333332"/>
    <n v="8615"/>
    <n v="8830"/>
    <n v="135742"/>
    <n v="130504"/>
    <m/>
    <m/>
    <m/>
    <m/>
    <m/>
    <m/>
    <m/>
    <m/>
    <n v="0"/>
    <n v="0"/>
    <n v="0"/>
    <n v="0"/>
    <m/>
    <m/>
    <n v="0"/>
    <n v="0"/>
    <m/>
    <m/>
    <m/>
    <m/>
    <m/>
    <m/>
    <m/>
    <m/>
    <n v="0"/>
    <n v="0"/>
    <n v="0"/>
    <n v="0"/>
    <n v="4524.7333333333336"/>
    <n v="4350.1333333333332"/>
  </r>
  <r>
    <x v="12"/>
    <s v="Walters State Community College "/>
    <m/>
    <n v="222062"/>
    <x v="7"/>
    <s v="sem"/>
    <m/>
    <m/>
    <m/>
    <n v="65479"/>
    <n v="60228"/>
    <n v="10622"/>
    <n v="7839"/>
    <n v="68930"/>
    <n v="66380"/>
    <n v="145031"/>
    <n v="4834.3666666666668"/>
    <n v="134447"/>
    <n v="4481.5666666666666"/>
    <n v="7563"/>
    <n v="9115"/>
    <n v="145031"/>
    <n v="134447"/>
    <m/>
    <m/>
    <m/>
    <m/>
    <m/>
    <m/>
    <m/>
    <m/>
    <n v="0"/>
    <n v="0"/>
    <n v="0"/>
    <n v="0"/>
    <m/>
    <m/>
    <n v="0"/>
    <n v="0"/>
    <m/>
    <m/>
    <m/>
    <m/>
    <m/>
    <m/>
    <m/>
    <m/>
    <n v="0"/>
    <n v="0"/>
    <n v="0"/>
    <n v="0"/>
    <n v="4834.3666666666668"/>
    <n v="4481.5666666666666"/>
  </r>
  <r>
    <x v="12"/>
    <s v="Tennessee Technology Center at Chattanooga"/>
    <s v="Reclassified: Met the criteria for Technical Institute or College 1 in 2010-11, 2011-12, and 2012-13."/>
    <s v="219824B"/>
    <x v="9"/>
    <s v="sem"/>
    <m/>
    <m/>
    <m/>
    <m/>
    <m/>
    <m/>
    <m/>
    <m/>
    <m/>
    <n v="0"/>
    <n v="0"/>
    <n v="0"/>
    <n v="0"/>
    <m/>
    <m/>
    <n v="0"/>
    <n v="0"/>
    <m/>
    <m/>
    <n v="356303"/>
    <n v="364757"/>
    <n v="234404"/>
    <n v="219520"/>
    <n v="374364"/>
    <n v="353100"/>
    <n v="965071"/>
    <n v="1072.3011111111111"/>
    <n v="937377"/>
    <n v="1041.53"/>
    <m/>
    <m/>
    <n v="0"/>
    <n v="0"/>
    <m/>
    <m/>
    <m/>
    <m/>
    <m/>
    <m/>
    <m/>
    <m/>
    <n v="0"/>
    <n v="0"/>
    <n v="0"/>
    <n v="0"/>
    <n v="1072.3011111111111"/>
    <n v="1041.53"/>
  </r>
  <r>
    <x v="12"/>
    <s v="Tennessee Technology Center at Athens"/>
    <m/>
    <n v="219596"/>
    <x v="10"/>
    <s v="sem"/>
    <m/>
    <m/>
    <m/>
    <m/>
    <m/>
    <m/>
    <m/>
    <m/>
    <m/>
    <n v="0"/>
    <n v="0"/>
    <n v="0"/>
    <n v="0"/>
    <m/>
    <m/>
    <n v="0"/>
    <n v="0"/>
    <m/>
    <m/>
    <n v="77484"/>
    <n v="72045"/>
    <n v="67456"/>
    <n v="73033"/>
    <n v="74277"/>
    <n v="66625"/>
    <n v="219217"/>
    <n v="243.57444444444445"/>
    <n v="211703"/>
    <n v="235.22555555555556"/>
    <m/>
    <m/>
    <n v="0"/>
    <n v="0"/>
    <m/>
    <m/>
    <m/>
    <m/>
    <m/>
    <m/>
    <m/>
    <m/>
    <n v="0"/>
    <n v="0"/>
    <n v="0"/>
    <n v="0"/>
    <n v="243.57444444444445"/>
    <n v="235.22555555555556"/>
  </r>
  <r>
    <x v="12"/>
    <s v="Tennessee Technology Center at Covington"/>
    <m/>
    <n v="219921"/>
    <x v="10"/>
    <s v="sem"/>
    <m/>
    <m/>
    <m/>
    <m/>
    <m/>
    <m/>
    <m/>
    <m/>
    <m/>
    <n v="0"/>
    <n v="0"/>
    <n v="0"/>
    <n v="0"/>
    <m/>
    <m/>
    <n v="0"/>
    <n v="0"/>
    <m/>
    <m/>
    <n v="57639"/>
    <n v="59532"/>
    <n v="49086"/>
    <n v="45039"/>
    <n v="62556"/>
    <n v="60013"/>
    <n v="169281"/>
    <n v="188.09"/>
    <n v="164584"/>
    <n v="182.87111111111111"/>
    <m/>
    <m/>
    <n v="0"/>
    <n v="0"/>
    <m/>
    <m/>
    <m/>
    <m/>
    <m/>
    <m/>
    <m/>
    <m/>
    <n v="0"/>
    <n v="0"/>
    <n v="0"/>
    <n v="0"/>
    <n v="188.09"/>
    <n v="182.87111111111111"/>
  </r>
  <r>
    <x v="12"/>
    <s v="Tennessee Technology Center at Crossville"/>
    <m/>
    <n v="221591"/>
    <x v="10"/>
    <s v="sem"/>
    <m/>
    <m/>
    <m/>
    <m/>
    <m/>
    <m/>
    <m/>
    <m/>
    <m/>
    <n v="0"/>
    <n v="0"/>
    <n v="0"/>
    <n v="0"/>
    <m/>
    <m/>
    <n v="0"/>
    <n v="0"/>
    <m/>
    <m/>
    <n v="114661"/>
    <n v="102602"/>
    <n v="87519"/>
    <n v="89133"/>
    <n v="107870"/>
    <n v="104786"/>
    <n v="310050"/>
    <n v="344.5"/>
    <n v="296521"/>
    <n v="329.46777777777777"/>
    <m/>
    <m/>
    <n v="0"/>
    <n v="0"/>
    <m/>
    <m/>
    <m/>
    <m/>
    <m/>
    <m/>
    <m/>
    <m/>
    <n v="0"/>
    <n v="0"/>
    <n v="0"/>
    <n v="0"/>
    <n v="344.5"/>
    <n v="329.46777777777777"/>
  </r>
  <r>
    <x v="12"/>
    <s v="Tennessee Technology Center at Crump"/>
    <m/>
    <n v="221430"/>
    <x v="10"/>
    <s v="sem"/>
    <m/>
    <m/>
    <m/>
    <m/>
    <m/>
    <m/>
    <m/>
    <m/>
    <m/>
    <n v="0"/>
    <n v="0"/>
    <n v="0"/>
    <n v="0"/>
    <m/>
    <m/>
    <n v="0"/>
    <n v="0"/>
    <m/>
    <m/>
    <n v="77512"/>
    <n v="72478"/>
    <n v="65429"/>
    <n v="66877"/>
    <n v="69188"/>
    <n v="74884"/>
    <n v="212129"/>
    <n v="235.69888888888889"/>
    <n v="214239"/>
    <n v="238.04333333333332"/>
    <m/>
    <m/>
    <n v="0"/>
    <n v="0"/>
    <m/>
    <m/>
    <m/>
    <m/>
    <m/>
    <m/>
    <m/>
    <m/>
    <n v="0"/>
    <n v="0"/>
    <n v="0"/>
    <n v="0"/>
    <n v="235.69888888888889"/>
    <n v="238.04333333333332"/>
  </r>
  <r>
    <x v="12"/>
    <s v="Tennessee Technology Center at Dickson"/>
    <m/>
    <n v="219994"/>
    <x v="10"/>
    <s v="sem"/>
    <m/>
    <m/>
    <m/>
    <m/>
    <m/>
    <m/>
    <m/>
    <m/>
    <m/>
    <n v="0"/>
    <n v="0"/>
    <n v="0"/>
    <n v="0"/>
    <m/>
    <m/>
    <n v="0"/>
    <n v="0"/>
    <m/>
    <m/>
    <n v="177826"/>
    <n v="159343"/>
    <n v="161193"/>
    <n v="150435"/>
    <n v="168944"/>
    <n v="166077"/>
    <n v="507963"/>
    <n v="564.40333333333331"/>
    <n v="475855"/>
    <n v="528.72777777777776"/>
    <m/>
    <m/>
    <n v="0"/>
    <n v="0"/>
    <m/>
    <m/>
    <m/>
    <m/>
    <m/>
    <m/>
    <m/>
    <m/>
    <n v="0"/>
    <n v="0"/>
    <n v="0"/>
    <n v="0"/>
    <n v="564.40333333333331"/>
    <n v="528.72777777777776"/>
  </r>
  <r>
    <x v="12"/>
    <s v="Tennessee Technology Center at Elizabethton"/>
    <m/>
    <n v="220127"/>
    <x v="10"/>
    <s v="sem"/>
    <m/>
    <m/>
    <m/>
    <m/>
    <m/>
    <m/>
    <m/>
    <m/>
    <m/>
    <n v="0"/>
    <n v="0"/>
    <n v="0"/>
    <n v="0"/>
    <m/>
    <m/>
    <n v="0"/>
    <n v="0"/>
    <m/>
    <m/>
    <n v="166940"/>
    <n v="164284"/>
    <n v="158091"/>
    <n v="162034"/>
    <n v="161088"/>
    <n v="175859"/>
    <n v="486119"/>
    <n v="540.13222222222225"/>
    <n v="502177"/>
    <n v="557.97444444444443"/>
    <m/>
    <m/>
    <n v="0"/>
    <n v="0"/>
    <m/>
    <m/>
    <m/>
    <m/>
    <m/>
    <m/>
    <m/>
    <m/>
    <n v="0"/>
    <n v="0"/>
    <n v="0"/>
    <n v="0"/>
    <n v="540.13222222222225"/>
    <n v="557.97444444444443"/>
  </r>
  <r>
    <x v="12"/>
    <s v="Tennessee Technology Center at Harriman"/>
    <m/>
    <n v="220251"/>
    <x v="10"/>
    <s v="sem"/>
    <m/>
    <m/>
    <m/>
    <m/>
    <m/>
    <m/>
    <m/>
    <m/>
    <m/>
    <n v="0"/>
    <n v="0"/>
    <n v="0"/>
    <n v="0"/>
    <m/>
    <m/>
    <n v="0"/>
    <n v="0"/>
    <m/>
    <m/>
    <n v="100943"/>
    <n v="75914"/>
    <n v="69188"/>
    <n v="73031"/>
    <n v="76853"/>
    <n v="86975"/>
    <n v="246984"/>
    <n v="274.42666666666668"/>
    <n v="235920"/>
    <n v="262.13333333333333"/>
    <m/>
    <m/>
    <n v="0"/>
    <n v="0"/>
    <m/>
    <m/>
    <m/>
    <m/>
    <m/>
    <m/>
    <m/>
    <m/>
    <n v="0"/>
    <n v="0"/>
    <n v="0"/>
    <n v="0"/>
    <n v="274.42666666666668"/>
    <n v="262.13333333333333"/>
  </r>
  <r>
    <x v="12"/>
    <s v="Tennessee Technology Center at Hartsville"/>
    <m/>
    <n v="220279"/>
    <x v="10"/>
    <s v="sem"/>
    <m/>
    <m/>
    <m/>
    <m/>
    <m/>
    <m/>
    <m/>
    <m/>
    <m/>
    <n v="0"/>
    <n v="0"/>
    <n v="0"/>
    <n v="0"/>
    <m/>
    <m/>
    <n v="0"/>
    <n v="0"/>
    <m/>
    <m/>
    <n v="142474"/>
    <n v="129652"/>
    <n v="97558"/>
    <n v="96744"/>
    <n v="141691"/>
    <n v="136225"/>
    <n v="381723"/>
    <n v="424.13666666666666"/>
    <n v="362621"/>
    <n v="402.91222222222223"/>
    <m/>
    <m/>
    <n v="0"/>
    <n v="0"/>
    <m/>
    <m/>
    <m/>
    <m/>
    <m/>
    <m/>
    <m/>
    <m/>
    <n v="0"/>
    <n v="0"/>
    <n v="0"/>
    <n v="0"/>
    <n v="424.13666666666666"/>
    <n v="402.91222222222223"/>
  </r>
  <r>
    <x v="12"/>
    <s v="Tennessee Technology Center at Hohenwald"/>
    <m/>
    <n v="220321"/>
    <x v="10"/>
    <s v="sem"/>
    <m/>
    <m/>
    <m/>
    <m/>
    <m/>
    <m/>
    <m/>
    <m/>
    <m/>
    <n v="0"/>
    <n v="0"/>
    <n v="0"/>
    <n v="0"/>
    <m/>
    <m/>
    <n v="0"/>
    <n v="0"/>
    <m/>
    <m/>
    <n v="145278"/>
    <n v="129225"/>
    <n v="121653"/>
    <n v="107374"/>
    <n v="144376"/>
    <n v="120338"/>
    <n v="411307"/>
    <n v="457.00777777777779"/>
    <n v="356937"/>
    <n v="396.59666666666669"/>
    <m/>
    <m/>
    <n v="0"/>
    <n v="0"/>
    <m/>
    <m/>
    <m/>
    <m/>
    <m/>
    <m/>
    <m/>
    <m/>
    <n v="0"/>
    <n v="0"/>
    <n v="0"/>
    <n v="0"/>
    <n v="457.00777777777779"/>
    <n v="396.59666666666669"/>
  </r>
  <r>
    <x v="12"/>
    <s v="Tennessee Technology Center at Jacksboro"/>
    <m/>
    <n v="220394"/>
    <x v="10"/>
    <s v="sem"/>
    <m/>
    <m/>
    <m/>
    <m/>
    <m/>
    <m/>
    <m/>
    <m/>
    <m/>
    <n v="0"/>
    <n v="0"/>
    <n v="0"/>
    <n v="0"/>
    <m/>
    <m/>
    <n v="0"/>
    <n v="0"/>
    <m/>
    <m/>
    <n v="61317"/>
    <n v="62072"/>
    <n v="55502"/>
    <n v="56566"/>
    <n v="66281"/>
    <n v="66056"/>
    <n v="183100"/>
    <n v="203.44444444444446"/>
    <n v="184694"/>
    <n v="205.21555555555557"/>
    <m/>
    <m/>
    <n v="0"/>
    <n v="0"/>
    <m/>
    <m/>
    <m/>
    <m/>
    <m/>
    <m/>
    <m/>
    <m/>
    <n v="0"/>
    <n v="0"/>
    <n v="0"/>
    <n v="0"/>
    <n v="203.44444444444446"/>
    <n v="205.21555555555557"/>
  </r>
  <r>
    <x v="12"/>
    <s v="Tennessee Technology Center at Jackson"/>
    <m/>
    <n v="221616"/>
    <x v="10"/>
    <s v="sem"/>
    <m/>
    <m/>
    <m/>
    <m/>
    <m/>
    <m/>
    <m/>
    <m/>
    <m/>
    <n v="0"/>
    <n v="0"/>
    <n v="0"/>
    <n v="0"/>
    <m/>
    <m/>
    <n v="0"/>
    <n v="0"/>
    <m/>
    <m/>
    <n v="183294"/>
    <n v="148611"/>
    <n v="164025"/>
    <n v="143264"/>
    <n v="158591"/>
    <n v="167214"/>
    <n v="505910"/>
    <n v="562.12222222222226"/>
    <n v="459089"/>
    <n v="510.09888888888889"/>
    <m/>
    <m/>
    <n v="0"/>
    <n v="0"/>
    <m/>
    <m/>
    <m/>
    <m/>
    <m/>
    <m/>
    <m/>
    <m/>
    <n v="0"/>
    <n v="0"/>
    <n v="0"/>
    <n v="0"/>
    <n v="562.12222222222226"/>
    <n v="510.09888888888889"/>
  </r>
  <r>
    <x v="12"/>
    <s v="Tennessee Technology Center at Knoxville"/>
    <m/>
    <n v="221625"/>
    <x v="10"/>
    <s v="sem"/>
    <m/>
    <m/>
    <m/>
    <m/>
    <m/>
    <m/>
    <m/>
    <m/>
    <m/>
    <n v="0"/>
    <n v="0"/>
    <n v="0"/>
    <n v="0"/>
    <m/>
    <m/>
    <n v="0"/>
    <n v="0"/>
    <m/>
    <m/>
    <n v="196747"/>
    <n v="182313"/>
    <n v="188863"/>
    <n v="185487"/>
    <n v="199118"/>
    <n v="194748"/>
    <n v="584728"/>
    <n v="649.69777777777779"/>
    <n v="562548"/>
    <n v="625.05333333333328"/>
    <m/>
    <m/>
    <n v="0"/>
    <n v="0"/>
    <m/>
    <m/>
    <m/>
    <m/>
    <m/>
    <m/>
    <m/>
    <m/>
    <n v="0"/>
    <n v="0"/>
    <n v="0"/>
    <n v="0"/>
    <n v="649.69777777777779"/>
    <n v="625.05333333333328"/>
  </r>
  <r>
    <x v="12"/>
    <s v="Tennessee Technology Center at Livingston"/>
    <m/>
    <n v="220640"/>
    <x v="10"/>
    <s v="sem"/>
    <m/>
    <m/>
    <m/>
    <m/>
    <m/>
    <m/>
    <m/>
    <m/>
    <m/>
    <n v="0"/>
    <n v="0"/>
    <n v="0"/>
    <n v="0"/>
    <m/>
    <m/>
    <n v="0"/>
    <n v="0"/>
    <m/>
    <m/>
    <n v="135869"/>
    <n v="119619"/>
    <n v="99908"/>
    <n v="93735"/>
    <n v="129030"/>
    <n v="141385"/>
    <n v="364807"/>
    <n v="405.3411111111111"/>
    <n v="354739"/>
    <n v="394.15444444444444"/>
    <m/>
    <m/>
    <n v="0"/>
    <n v="0"/>
    <m/>
    <m/>
    <m/>
    <m/>
    <m/>
    <m/>
    <m/>
    <m/>
    <n v="0"/>
    <n v="0"/>
    <n v="0"/>
    <n v="0"/>
    <n v="405.3411111111111"/>
    <n v="394.15444444444444"/>
  </r>
  <r>
    <x v="12"/>
    <s v="Tennessee Technology Center at McKenzie"/>
    <m/>
    <n v="220756"/>
    <x v="10"/>
    <s v="sem"/>
    <m/>
    <m/>
    <m/>
    <m/>
    <m/>
    <m/>
    <m/>
    <m/>
    <m/>
    <n v="0"/>
    <n v="0"/>
    <n v="0"/>
    <n v="0"/>
    <m/>
    <m/>
    <n v="0"/>
    <n v="0"/>
    <m/>
    <m/>
    <n v="73229"/>
    <n v="84891"/>
    <n v="61828"/>
    <n v="71589"/>
    <n v="74666"/>
    <n v="85717"/>
    <n v="209723"/>
    <n v="233.02555555555554"/>
    <n v="242197"/>
    <n v="269.10777777777776"/>
    <m/>
    <m/>
    <n v="0"/>
    <n v="0"/>
    <m/>
    <m/>
    <m/>
    <m/>
    <m/>
    <m/>
    <m/>
    <m/>
    <n v="0"/>
    <n v="0"/>
    <n v="0"/>
    <n v="0"/>
    <n v="233.02555555555554"/>
    <n v="269.10777777777776"/>
  </r>
  <r>
    <x v="12"/>
    <s v="Tennessee Technology Center at McMinnville"/>
    <m/>
    <n v="221607"/>
    <x v="10"/>
    <s v="sem"/>
    <m/>
    <m/>
    <m/>
    <m/>
    <m/>
    <m/>
    <m/>
    <m/>
    <m/>
    <n v="0"/>
    <n v="0"/>
    <n v="0"/>
    <n v="0"/>
    <m/>
    <m/>
    <n v="0"/>
    <n v="0"/>
    <m/>
    <m/>
    <n v="85258"/>
    <n v="69968"/>
    <n v="82238"/>
    <n v="65409"/>
    <n v="78420"/>
    <n v="73565"/>
    <n v="245916"/>
    <n v="273.24"/>
    <n v="208942"/>
    <n v="232.15777777777777"/>
    <m/>
    <m/>
    <n v="0"/>
    <n v="0"/>
    <m/>
    <m/>
    <m/>
    <m/>
    <m/>
    <m/>
    <m/>
    <m/>
    <n v="0"/>
    <n v="0"/>
    <n v="0"/>
    <n v="0"/>
    <n v="273.24"/>
    <n v="232.15777777777777"/>
  </r>
  <r>
    <x v="12"/>
    <s v="Tennessee Technology Center at Memphis"/>
    <m/>
    <n v="220853"/>
    <x v="10"/>
    <s v="sem"/>
    <m/>
    <m/>
    <m/>
    <m/>
    <m/>
    <m/>
    <m/>
    <m/>
    <m/>
    <n v="0"/>
    <n v="0"/>
    <n v="0"/>
    <n v="0"/>
    <m/>
    <m/>
    <n v="0"/>
    <n v="0"/>
    <m/>
    <m/>
    <n v="266610"/>
    <n v="259997"/>
    <n v="251758"/>
    <n v="243393"/>
    <n v="280423"/>
    <n v="276408"/>
    <n v="798791"/>
    <n v="887.54555555555555"/>
    <n v="779798"/>
    <n v="866.4422222222222"/>
    <m/>
    <m/>
    <n v="0"/>
    <n v="0"/>
    <m/>
    <m/>
    <m/>
    <m/>
    <m/>
    <m/>
    <m/>
    <m/>
    <n v="0"/>
    <n v="0"/>
    <n v="0"/>
    <n v="0"/>
    <n v="887.54555555555555"/>
    <n v="866.4422222222222"/>
  </r>
  <r>
    <x v="12"/>
    <s v="Tennessee Technology Center at Morristown"/>
    <m/>
    <n v="221050"/>
    <x v="10"/>
    <s v="sem"/>
    <m/>
    <m/>
    <m/>
    <m/>
    <m/>
    <m/>
    <m/>
    <m/>
    <m/>
    <n v="0"/>
    <n v="0"/>
    <n v="0"/>
    <n v="0"/>
    <m/>
    <m/>
    <n v="0"/>
    <n v="0"/>
    <m/>
    <m/>
    <n v="185104"/>
    <n v="179417"/>
    <n v="159218"/>
    <n v="164143"/>
    <n v="181089"/>
    <n v="171154"/>
    <n v="525411"/>
    <n v="583.79"/>
    <n v="514714"/>
    <n v="571.90444444444449"/>
    <m/>
    <m/>
    <n v="0"/>
    <n v="0"/>
    <m/>
    <m/>
    <m/>
    <m/>
    <m/>
    <m/>
    <m/>
    <m/>
    <n v="0"/>
    <n v="0"/>
    <n v="0"/>
    <n v="0"/>
    <n v="583.79"/>
    <n v="571.90444444444449"/>
  </r>
  <r>
    <x v="12"/>
    <s v="Tennessee Technology Center at Murfreesboro"/>
    <m/>
    <n v="221102"/>
    <x v="10"/>
    <s v="sem"/>
    <m/>
    <m/>
    <m/>
    <m/>
    <m/>
    <m/>
    <m/>
    <m/>
    <m/>
    <n v="0"/>
    <n v="0"/>
    <n v="0"/>
    <n v="0"/>
    <m/>
    <m/>
    <n v="0"/>
    <n v="0"/>
    <m/>
    <m/>
    <n v="174185"/>
    <n v="141188"/>
    <n v="134883"/>
    <n v="148748"/>
    <n v="148391"/>
    <n v="139536"/>
    <n v="457459"/>
    <n v="508.28777777777776"/>
    <n v="429472"/>
    <n v="477.19111111111113"/>
    <m/>
    <m/>
    <n v="0"/>
    <n v="0"/>
    <m/>
    <m/>
    <m/>
    <m/>
    <m/>
    <m/>
    <m/>
    <m/>
    <n v="0"/>
    <n v="0"/>
    <n v="0"/>
    <n v="0"/>
    <n v="508.28777777777776"/>
    <n v="477.19111111111113"/>
  </r>
  <r>
    <x v="12"/>
    <s v="Tennessee Technology Center at Nashville"/>
    <m/>
    <n v="248925"/>
    <x v="10"/>
    <s v="sem"/>
    <m/>
    <m/>
    <m/>
    <m/>
    <m/>
    <m/>
    <m/>
    <m/>
    <m/>
    <n v="0"/>
    <n v="0"/>
    <n v="0"/>
    <n v="0"/>
    <m/>
    <m/>
    <n v="0"/>
    <n v="0"/>
    <m/>
    <m/>
    <n v="257568"/>
    <n v="278262"/>
    <n v="229722"/>
    <n v="219552"/>
    <n v="264258"/>
    <n v="242102"/>
    <n v="751548"/>
    <n v="835.05333333333328"/>
    <n v="739916"/>
    <n v="822.12888888888892"/>
    <m/>
    <m/>
    <n v="0"/>
    <n v="0"/>
    <m/>
    <m/>
    <m/>
    <m/>
    <m/>
    <m/>
    <m/>
    <m/>
    <n v="0"/>
    <n v="0"/>
    <n v="0"/>
    <n v="0"/>
    <n v="835.05333333333328"/>
    <n v="822.12888888888892"/>
  </r>
  <r>
    <x v="12"/>
    <s v="Tennessee Technology Center at Newbern"/>
    <m/>
    <n v="221236"/>
    <x v="10"/>
    <s v="sem"/>
    <m/>
    <m/>
    <m/>
    <m/>
    <m/>
    <m/>
    <m/>
    <m/>
    <m/>
    <n v="0"/>
    <n v="0"/>
    <n v="0"/>
    <n v="0"/>
    <m/>
    <m/>
    <n v="0"/>
    <n v="0"/>
    <m/>
    <m/>
    <n v="77916"/>
    <n v="128808"/>
    <n v="64752"/>
    <n v="110683"/>
    <n v="103196"/>
    <n v="117982"/>
    <n v="245864"/>
    <n v="273.18222222222221"/>
    <n v="357473"/>
    <n v="397.1922222222222"/>
    <m/>
    <m/>
    <n v="0"/>
    <n v="0"/>
    <m/>
    <m/>
    <m/>
    <m/>
    <m/>
    <m/>
    <m/>
    <m/>
    <n v="0"/>
    <n v="0"/>
    <n v="0"/>
    <n v="0"/>
    <n v="273.18222222222221"/>
    <n v="397.1922222222222"/>
  </r>
  <r>
    <x v="12"/>
    <s v="Tennessee Technology Center at Oneida"/>
    <m/>
    <n v="221582"/>
    <x v="10"/>
    <s v="sem"/>
    <m/>
    <m/>
    <m/>
    <m/>
    <m/>
    <m/>
    <m/>
    <m/>
    <m/>
    <n v="0"/>
    <n v="0"/>
    <n v="0"/>
    <n v="0"/>
    <m/>
    <m/>
    <n v="0"/>
    <n v="0"/>
    <m/>
    <m/>
    <n v="116904"/>
    <n v="74206"/>
    <n v="75489"/>
    <n v="54433"/>
    <n v="86633"/>
    <n v="73250"/>
    <n v="279026"/>
    <n v="310.0288888888889"/>
    <n v="201889"/>
    <n v="224.32111111111112"/>
    <m/>
    <m/>
    <n v="0"/>
    <n v="0"/>
    <m/>
    <m/>
    <m/>
    <m/>
    <m/>
    <m/>
    <m/>
    <m/>
    <n v="0"/>
    <n v="0"/>
    <n v="0"/>
    <n v="0"/>
    <n v="310.0288888888889"/>
    <n v="224.32111111111112"/>
  </r>
  <r>
    <x v="12"/>
    <s v="Tennessee Technology Center at Paris"/>
    <m/>
    <n v="221281"/>
    <x v="10"/>
    <s v="sem"/>
    <m/>
    <m/>
    <m/>
    <m/>
    <m/>
    <m/>
    <m/>
    <m/>
    <m/>
    <n v="0"/>
    <n v="0"/>
    <n v="0"/>
    <n v="0"/>
    <m/>
    <m/>
    <n v="0"/>
    <n v="0"/>
    <m/>
    <m/>
    <n v="103602"/>
    <n v="111690"/>
    <n v="91638"/>
    <n v="105413"/>
    <n v="100354"/>
    <n v="106651"/>
    <n v="295594"/>
    <n v="328.4377777777778"/>
    <n v="323754"/>
    <n v="359.72666666666669"/>
    <m/>
    <m/>
    <n v="0"/>
    <n v="0"/>
    <m/>
    <m/>
    <m/>
    <m/>
    <m/>
    <m/>
    <m/>
    <m/>
    <n v="0"/>
    <n v="0"/>
    <n v="0"/>
    <n v="0"/>
    <n v="328.4377777777778"/>
    <n v="359.72666666666669"/>
  </r>
  <r>
    <x v="12"/>
    <s v="Tennessee Technology Center at Pulaski"/>
    <m/>
    <n v="221333"/>
    <x v="10"/>
    <s v="sem"/>
    <m/>
    <m/>
    <m/>
    <m/>
    <m/>
    <m/>
    <m/>
    <m/>
    <m/>
    <n v="0"/>
    <n v="0"/>
    <n v="0"/>
    <n v="0"/>
    <m/>
    <m/>
    <n v="0"/>
    <n v="0"/>
    <m/>
    <m/>
    <n v="167365"/>
    <n v="127721"/>
    <n v="74065"/>
    <n v="63907"/>
    <n v="126508"/>
    <n v="117700"/>
    <n v="367938"/>
    <n v="408.82"/>
    <n v="309328"/>
    <n v="343.69777777777779"/>
    <m/>
    <m/>
    <n v="0"/>
    <n v="0"/>
    <m/>
    <m/>
    <m/>
    <m/>
    <m/>
    <m/>
    <m/>
    <m/>
    <n v="0"/>
    <n v="0"/>
    <n v="0"/>
    <n v="0"/>
    <n v="408.82"/>
    <n v="343.69777777777779"/>
  </r>
  <r>
    <x v="12"/>
    <s v="Tennessee Technology Center at Ripley"/>
    <m/>
    <n v="221388"/>
    <x v="10"/>
    <s v="sem"/>
    <m/>
    <m/>
    <m/>
    <m/>
    <m/>
    <m/>
    <m/>
    <m/>
    <m/>
    <n v="0"/>
    <n v="0"/>
    <n v="0"/>
    <n v="0"/>
    <m/>
    <m/>
    <n v="0"/>
    <n v="0"/>
    <m/>
    <m/>
    <n v="58840"/>
    <n v="56880"/>
    <n v="50002"/>
    <n v="49724"/>
    <n v="58646"/>
    <n v="51382"/>
    <n v="167488"/>
    <n v="186.09777777777776"/>
    <n v="157986"/>
    <n v="175.54"/>
    <m/>
    <m/>
    <n v="0"/>
    <n v="0"/>
    <m/>
    <m/>
    <m/>
    <m/>
    <m/>
    <m/>
    <m/>
    <m/>
    <n v="0"/>
    <n v="0"/>
    <n v="0"/>
    <n v="0"/>
    <n v="186.09777777777776"/>
    <n v="175.54"/>
  </r>
  <r>
    <x v="12"/>
    <s v="Tennessee Technology Center at Shelbyville"/>
    <m/>
    <n v="221494"/>
    <x v="10"/>
    <s v="sem"/>
    <m/>
    <m/>
    <m/>
    <m/>
    <m/>
    <m/>
    <m/>
    <m/>
    <m/>
    <n v="0"/>
    <n v="0"/>
    <n v="0"/>
    <n v="0"/>
    <m/>
    <m/>
    <n v="0"/>
    <n v="0"/>
    <m/>
    <m/>
    <n v="155729"/>
    <n v="157881"/>
    <n v="144143"/>
    <n v="151235"/>
    <n v="162810"/>
    <n v="161268"/>
    <n v="462682"/>
    <n v="514.0911111111111"/>
    <n v="470384"/>
    <n v="522.64888888888891"/>
    <m/>
    <m/>
    <n v="0"/>
    <n v="0"/>
    <m/>
    <m/>
    <m/>
    <m/>
    <m/>
    <m/>
    <m/>
    <m/>
    <n v="0"/>
    <n v="0"/>
    <n v="0"/>
    <n v="0"/>
    <n v="514.0911111111111"/>
    <n v="522.64888888888891"/>
  </r>
  <r>
    <x v="12"/>
    <s v="Tennessee Technology Center at Whiteville"/>
    <m/>
    <n v="221634"/>
    <x v="10"/>
    <s v="sem"/>
    <m/>
    <m/>
    <m/>
    <m/>
    <m/>
    <m/>
    <m/>
    <m/>
    <m/>
    <n v="0"/>
    <n v="0"/>
    <n v="0"/>
    <n v="0"/>
    <m/>
    <m/>
    <n v="0"/>
    <n v="0"/>
    <m/>
    <m/>
    <n v="62782"/>
    <n v="52309"/>
    <n v="54946"/>
    <n v="42222"/>
    <n v="55338"/>
    <n v="51522"/>
    <n v="173066"/>
    <n v="192.29555555555555"/>
    <n v="146053"/>
    <n v="162.2811111111111"/>
    <m/>
    <m/>
    <n v="0"/>
    <n v="0"/>
    <m/>
    <m/>
    <m/>
    <m/>
    <m/>
    <m/>
    <m/>
    <m/>
    <n v="0"/>
    <n v="0"/>
    <n v="0"/>
    <n v="0"/>
    <n v="192.29555555555555"/>
    <n v="162.2811111111111"/>
  </r>
  <r>
    <x v="13"/>
    <s v="Texas A&amp;M University "/>
    <m/>
    <n v="228723"/>
    <x v="0"/>
    <s v="sem"/>
    <s v="sem"/>
    <m/>
    <m/>
    <n v="482895"/>
    <n v="487578"/>
    <n v="69004"/>
    <n v="67755"/>
    <n v="526750"/>
    <n v="527575"/>
    <n v="1078649"/>
    <n v="35954.966666666667"/>
    <n v="1082908"/>
    <n v="36096.933333333334"/>
    <n v="0"/>
    <n v="0"/>
    <n v="1078649"/>
    <n v="1082908"/>
    <m/>
    <m/>
    <m/>
    <m/>
    <m/>
    <m/>
    <m/>
    <m/>
    <n v="0"/>
    <n v="0"/>
    <n v="0"/>
    <n v="0"/>
    <m/>
    <m/>
    <n v="0"/>
    <n v="0"/>
    <m/>
    <m/>
    <n v="71856"/>
    <n v="71993"/>
    <n v="26290"/>
    <n v="26996"/>
    <n v="78350"/>
    <n v="80035"/>
    <n v="176496"/>
    <n v="7354"/>
    <n v="179024"/>
    <n v="7459.333333333333"/>
    <n v="43308.966666666667"/>
    <n v="43556.26666666667"/>
  </r>
  <r>
    <x v="13"/>
    <s v="Texas Tech University "/>
    <m/>
    <n v="229115"/>
    <x v="0"/>
    <s v="sem"/>
    <s v="sem"/>
    <m/>
    <m/>
    <n v="307954"/>
    <n v="312080"/>
    <n v="56185"/>
    <n v="60841"/>
    <n v="339414"/>
    <n v="342993"/>
    <n v="703553"/>
    <n v="23451.766666666666"/>
    <n v="715914"/>
    <n v="23863.8"/>
    <n v="0"/>
    <n v="0"/>
    <n v="703553"/>
    <n v="715914"/>
    <m/>
    <m/>
    <m/>
    <m/>
    <m/>
    <m/>
    <m/>
    <m/>
    <n v="0"/>
    <n v="0"/>
    <n v="0"/>
    <n v="0"/>
    <m/>
    <m/>
    <n v="0"/>
    <n v="0"/>
    <m/>
    <m/>
    <n v="48305"/>
    <n v="47982"/>
    <n v="20755"/>
    <n v="21815"/>
    <n v="51353"/>
    <n v="49549"/>
    <n v="120413"/>
    <n v="5017.208333333333"/>
    <n v="119346"/>
    <n v="4972.75"/>
    <n v="28468.974999999999"/>
    <n v="28836.55"/>
  </r>
  <r>
    <x v="13"/>
    <s v="University of Houston"/>
    <m/>
    <n v="225511"/>
    <x v="0"/>
    <s v="sem"/>
    <s v="sem"/>
    <m/>
    <m/>
    <n v="342055"/>
    <n v="351355"/>
    <n v="59414"/>
    <n v="59472"/>
    <n v="371406"/>
    <n v="381811"/>
    <n v="772875"/>
    <n v="25762.5"/>
    <n v="792638"/>
    <n v="26421.266666666666"/>
    <n v="42"/>
    <n v="9"/>
    <n v="772875"/>
    <n v="792638"/>
    <m/>
    <m/>
    <m/>
    <m/>
    <m/>
    <m/>
    <m/>
    <m/>
    <n v="0"/>
    <n v="0"/>
    <n v="0"/>
    <n v="0"/>
    <m/>
    <m/>
    <n v="0"/>
    <n v="0"/>
    <m/>
    <m/>
    <n v="76288"/>
    <n v="75964"/>
    <n v="24898"/>
    <n v="23480"/>
    <n v="78640"/>
    <n v="77398"/>
    <n v="179826"/>
    <n v="7492.75"/>
    <n v="176842"/>
    <n v="7368.416666666667"/>
    <n v="33255.25"/>
    <n v="33789.683333333334"/>
  </r>
  <r>
    <x v="13"/>
    <s v="University of North Texas"/>
    <m/>
    <n v="227216"/>
    <x v="0"/>
    <s v="sem"/>
    <s v="sem"/>
    <m/>
    <m/>
    <n v="322161"/>
    <n v="320167"/>
    <n v="78715"/>
    <n v="71578"/>
    <n v="348202"/>
    <n v="359234"/>
    <n v="749078"/>
    <n v="24969.266666666666"/>
    <n v="750979"/>
    <n v="25032.633333333335"/>
    <n v="9"/>
    <n v="0"/>
    <n v="749078"/>
    <n v="750979"/>
    <m/>
    <m/>
    <m/>
    <m/>
    <m/>
    <m/>
    <m/>
    <m/>
    <n v="0"/>
    <n v="0"/>
    <n v="0"/>
    <n v="0"/>
    <m/>
    <m/>
    <n v="0"/>
    <n v="0"/>
    <m/>
    <m/>
    <n v="45471"/>
    <n v="43300"/>
    <n v="19006"/>
    <n v="17512"/>
    <n v="45604"/>
    <n v="42588"/>
    <n v="110081"/>
    <n v="4586.708333333333"/>
    <n v="103400"/>
    <n v="4308.333333333333"/>
    <n v="29555.974999999999"/>
    <n v="29340.966666666667"/>
  </r>
  <r>
    <x v="13"/>
    <s v="University of Texas at Arlington"/>
    <m/>
    <n v="228769"/>
    <x v="0"/>
    <s v="sem"/>
    <s v="sem"/>
    <m/>
    <m/>
    <n v="276224"/>
    <n v="275569"/>
    <n v="92280"/>
    <n v="86203"/>
    <n v="266722"/>
    <n v="269106"/>
    <n v="635226"/>
    <n v="21174.2"/>
    <n v="630878"/>
    <n v="21029.266666666666"/>
    <n v="5900"/>
    <n v="1789"/>
    <n v="635226"/>
    <n v="630878"/>
    <m/>
    <m/>
    <m/>
    <m/>
    <m/>
    <m/>
    <m/>
    <m/>
    <n v="0"/>
    <n v="0"/>
    <n v="0"/>
    <n v="0"/>
    <m/>
    <m/>
    <n v="0"/>
    <n v="0"/>
    <m/>
    <m/>
    <n v="56387"/>
    <n v="55709"/>
    <n v="34695"/>
    <n v="30908"/>
    <n v="50079"/>
    <n v="49000"/>
    <n v="141161"/>
    <n v="5881.708333333333"/>
    <n v="135617"/>
    <n v="5650.708333333333"/>
    <n v="27055.908333333333"/>
    <n v="26679.974999999999"/>
  </r>
  <r>
    <x v="13"/>
    <s v="University of Texas at Austin"/>
    <m/>
    <n v="228778"/>
    <x v="0"/>
    <s v="sem"/>
    <s v="sem"/>
    <m/>
    <m/>
    <n v="473427"/>
    <n v="479745"/>
    <n v="63032"/>
    <n v="62147"/>
    <n v="507622"/>
    <n v="531841"/>
    <n v="1044081"/>
    <n v="34802.699999999997"/>
    <n v="1073733"/>
    <n v="35791.1"/>
    <n v="0"/>
    <n v="0"/>
    <n v="1044081"/>
    <n v="1073733"/>
    <m/>
    <m/>
    <m/>
    <m/>
    <m/>
    <m/>
    <m/>
    <m/>
    <n v="0"/>
    <n v="0"/>
    <n v="0"/>
    <n v="0"/>
    <m/>
    <m/>
    <n v="0"/>
    <n v="0"/>
    <m/>
    <m/>
    <n v="119353"/>
    <n v="118576"/>
    <n v="25330"/>
    <n v="23200"/>
    <n v="124092"/>
    <n v="120566"/>
    <n v="268775"/>
    <n v="11198.958333333334"/>
    <n v="262342"/>
    <n v="10930.916666666666"/>
    <n v="46001.658333333333"/>
    <n v="46722.016666666663"/>
  </r>
  <r>
    <x v="13"/>
    <s v="University of Texas at Dallas"/>
    <m/>
    <n v="228787"/>
    <x v="0"/>
    <s v="sem"/>
    <s v="sem"/>
    <m/>
    <m/>
    <n v="124322"/>
    <n v="139810"/>
    <n v="21405"/>
    <n v="22247"/>
    <n v="147398"/>
    <n v="153081"/>
    <n v="293125"/>
    <n v="9770.8333333333339"/>
    <n v="315138"/>
    <n v="10504.6"/>
    <n v="0"/>
    <n v="0"/>
    <n v="293125"/>
    <n v="315138"/>
    <m/>
    <m/>
    <m/>
    <m/>
    <m/>
    <m/>
    <m/>
    <m/>
    <n v="0"/>
    <n v="0"/>
    <n v="0"/>
    <n v="0"/>
    <m/>
    <m/>
    <n v="0"/>
    <n v="0"/>
    <m/>
    <m/>
    <n v="46614"/>
    <n v="52527"/>
    <n v="19490"/>
    <n v="19285"/>
    <n v="53976"/>
    <n v="58762"/>
    <n v="120080"/>
    <n v="5003.333333333333"/>
    <n v="130574"/>
    <n v="5440.583333333333"/>
    <n v="14774.166666666668"/>
    <n v="15945.183333333334"/>
  </r>
  <r>
    <x v="13"/>
    <s v="Texas Woman's University"/>
    <m/>
    <n v="229179"/>
    <x v="1"/>
    <s v="sem"/>
    <s v="sem"/>
    <m/>
    <m/>
    <n v="93769"/>
    <n v="97792"/>
    <n v="22813"/>
    <n v="22120"/>
    <n v="104993"/>
    <n v="109096"/>
    <n v="221575"/>
    <n v="7385.833333333333"/>
    <n v="229008"/>
    <n v="7633.6"/>
    <n v="0"/>
    <n v="1872"/>
    <n v="221575"/>
    <n v="229008"/>
    <m/>
    <m/>
    <m/>
    <m/>
    <m/>
    <m/>
    <m/>
    <m/>
    <n v="0"/>
    <n v="0"/>
    <n v="0"/>
    <n v="0"/>
    <m/>
    <m/>
    <n v="0"/>
    <n v="0"/>
    <m/>
    <m/>
    <n v="33912"/>
    <n v="34002"/>
    <n v="28120"/>
    <n v="28288"/>
    <n v="38991"/>
    <n v="35470"/>
    <n v="101023"/>
    <n v="4209.291666666667"/>
    <n v="97760"/>
    <n v="4073.3333333333335"/>
    <n v="11595.125"/>
    <n v="11706.933333333334"/>
  </r>
  <r>
    <x v="13"/>
    <s v="University of Texas at El Paso"/>
    <m/>
    <n v="228796"/>
    <x v="1"/>
    <s v="sem"/>
    <s v="sem"/>
    <m/>
    <m/>
    <n v="192515"/>
    <n v="197653"/>
    <n v="56925"/>
    <n v="50496"/>
    <n v="208966"/>
    <n v="210047"/>
    <n v="458406"/>
    <n v="15280.2"/>
    <n v="458196"/>
    <n v="15273.2"/>
    <n v="495"/>
    <n v="0"/>
    <n v="458406"/>
    <n v="458196"/>
    <m/>
    <m/>
    <m/>
    <m/>
    <m/>
    <m/>
    <m/>
    <m/>
    <n v="0"/>
    <n v="0"/>
    <n v="0"/>
    <n v="0"/>
    <m/>
    <m/>
    <n v="0"/>
    <n v="0"/>
    <m/>
    <m/>
    <n v="25128"/>
    <n v="24745"/>
    <n v="11253"/>
    <n v="11164"/>
    <n v="24541"/>
    <n v="23460"/>
    <n v="60922"/>
    <n v="2538.4166666666665"/>
    <n v="59369"/>
    <n v="2473.7083333333335"/>
    <n v="17818.616666666669"/>
    <n v="17746.908333333333"/>
  </r>
  <r>
    <x v="13"/>
    <s v="University of Texas at San Antonio"/>
    <m/>
    <n v="229027"/>
    <x v="1"/>
    <s v="sem"/>
    <s v="sem"/>
    <m/>
    <m/>
    <n v="278553"/>
    <n v="285614"/>
    <n v="58082"/>
    <n v="52071"/>
    <n v="316003"/>
    <n v="305203"/>
    <n v="652638"/>
    <n v="21754.6"/>
    <n v="642888"/>
    <n v="21429.599999999999"/>
    <n v="726"/>
    <n v="333"/>
    <n v="652638"/>
    <n v="642888"/>
    <m/>
    <m/>
    <m/>
    <m/>
    <m/>
    <m/>
    <m/>
    <m/>
    <n v="0"/>
    <n v="0"/>
    <n v="0"/>
    <n v="0"/>
    <m/>
    <m/>
    <n v="0"/>
    <n v="0"/>
    <m/>
    <m/>
    <n v="28383"/>
    <n v="29754"/>
    <n v="10436"/>
    <n v="11612"/>
    <n v="31077"/>
    <n v="29605"/>
    <n v="69896"/>
    <n v="2912.3333333333335"/>
    <n v="70971"/>
    <n v="2957.125"/>
    <n v="24666.933333333331"/>
    <n v="24386.724999999999"/>
  </r>
  <r>
    <x v="13"/>
    <s v="Angelo State University"/>
    <m/>
    <n v="222831"/>
    <x v="2"/>
    <s v="sem"/>
    <s v="sem"/>
    <m/>
    <m/>
    <n v="65927"/>
    <n v="63537"/>
    <n v="12312"/>
    <n v="12199"/>
    <n v="73820"/>
    <n v="74515"/>
    <n v="152059"/>
    <n v="5068.6333333333332"/>
    <n v="150251"/>
    <n v="5008.3666666666668"/>
    <n v="411"/>
    <n v="436"/>
    <n v="152059"/>
    <n v="150251"/>
    <m/>
    <m/>
    <m/>
    <m/>
    <m/>
    <m/>
    <m/>
    <m/>
    <n v="0"/>
    <n v="0"/>
    <n v="0"/>
    <n v="0"/>
    <m/>
    <m/>
    <n v="0"/>
    <n v="0"/>
    <m/>
    <m/>
    <n v="5059"/>
    <n v="5915"/>
    <n v="4082"/>
    <n v="4217"/>
    <n v="5547"/>
    <n v="4942"/>
    <n v="14688"/>
    <n v="612"/>
    <n v="15074"/>
    <n v="628.08333333333337"/>
    <n v="5680.6333333333332"/>
    <n v="5636.45"/>
  </r>
  <r>
    <x v="13"/>
    <s v="Lamar University"/>
    <m/>
    <n v="226091"/>
    <x v="2"/>
    <s v="sem"/>
    <s v="sem"/>
    <m/>
    <m/>
    <n v="100855"/>
    <n v="100939"/>
    <n v="27853"/>
    <n v="25948"/>
    <n v="111067"/>
    <n v="108011"/>
    <n v="239775"/>
    <n v="7992.5"/>
    <n v="234898"/>
    <n v="7829.9333333333334"/>
    <n v="3546"/>
    <n v="4551"/>
    <n v="239775"/>
    <n v="234898"/>
    <m/>
    <m/>
    <m/>
    <m/>
    <m/>
    <m/>
    <m/>
    <m/>
    <n v="0"/>
    <n v="0"/>
    <n v="0"/>
    <n v="0"/>
    <m/>
    <m/>
    <n v="0"/>
    <n v="0"/>
    <m/>
    <m/>
    <n v="34182"/>
    <n v="33798"/>
    <n v="27577"/>
    <n v="30578"/>
    <n v="17028"/>
    <n v="27457"/>
    <n v="78787"/>
    <n v="3282.7916666666665"/>
    <n v="91833"/>
    <n v="3826.375"/>
    <n v="11275.291666666666"/>
    <n v="11656.308333333334"/>
  </r>
  <r>
    <x v="13"/>
    <s v="Midwestern State University"/>
    <m/>
    <n v="226833"/>
    <x v="2"/>
    <s v="sem"/>
    <s v="sem"/>
    <m/>
    <m/>
    <n v="61553"/>
    <n v="57294"/>
    <n v="15083"/>
    <n v="13394"/>
    <n v="62216"/>
    <n v="59232"/>
    <n v="138852"/>
    <n v="4628.3999999999996"/>
    <n v="129920"/>
    <n v="4330.666666666667"/>
    <n v="144"/>
    <n v="229"/>
    <n v="138852"/>
    <n v="129920"/>
    <m/>
    <m/>
    <m/>
    <m/>
    <m/>
    <m/>
    <m/>
    <m/>
    <n v="0"/>
    <n v="0"/>
    <n v="0"/>
    <n v="0"/>
    <m/>
    <m/>
    <n v="0"/>
    <n v="0"/>
    <m/>
    <m/>
    <n v="3256"/>
    <n v="2958"/>
    <n v="1991"/>
    <n v="1912"/>
    <n v="3202"/>
    <n v="3156"/>
    <n v="8449"/>
    <n v="352.04166666666669"/>
    <n v="8026"/>
    <n v="334.41666666666669"/>
    <n v="4980.4416666666666"/>
    <n v="4665.0833333333339"/>
  </r>
  <r>
    <x v="13"/>
    <s v="Prairie View A&amp;M University"/>
    <m/>
    <n v="227526"/>
    <x v="2"/>
    <s v="sem"/>
    <s v="sem"/>
    <m/>
    <m/>
    <n v="81756"/>
    <n v="80259"/>
    <n v="11817"/>
    <n v="14211"/>
    <n v="87342"/>
    <n v="89083"/>
    <n v="180915"/>
    <n v="6030.5"/>
    <n v="183553"/>
    <n v="6118.4333333333334"/>
    <n v="0"/>
    <n v="0"/>
    <n v="180915"/>
    <n v="183553"/>
    <m/>
    <m/>
    <m/>
    <m/>
    <m/>
    <m/>
    <m/>
    <m/>
    <n v="0"/>
    <n v="0"/>
    <n v="0"/>
    <n v="0"/>
    <m/>
    <m/>
    <n v="0"/>
    <n v="0"/>
    <m/>
    <m/>
    <n v="11686"/>
    <n v="10809"/>
    <n v="5543"/>
    <n v="5250"/>
    <n v="10825"/>
    <n v="10718"/>
    <n v="28054"/>
    <n v="1168.9166666666667"/>
    <n v="26777"/>
    <n v="1115.7083333333333"/>
    <n v="7199.416666666667"/>
    <n v="7234.1416666666664"/>
  </r>
  <r>
    <x v="13"/>
    <s v="Sam Houston State University "/>
    <m/>
    <n v="227881"/>
    <x v="2"/>
    <s v="sem"/>
    <s v="sem"/>
    <m/>
    <m/>
    <n v="177518"/>
    <n v="176959"/>
    <n v="37775"/>
    <n v="34348"/>
    <n v="188617"/>
    <n v="197545"/>
    <n v="403910"/>
    <n v="13463.666666666666"/>
    <n v="408852"/>
    <n v="13628.4"/>
    <n v="0"/>
    <n v="0"/>
    <n v="403910"/>
    <n v="408852"/>
    <m/>
    <m/>
    <m/>
    <m/>
    <m/>
    <m/>
    <m/>
    <m/>
    <n v="0"/>
    <n v="0"/>
    <n v="0"/>
    <n v="0"/>
    <m/>
    <m/>
    <n v="0"/>
    <n v="0"/>
    <m/>
    <m/>
    <n v="15603"/>
    <n v="15307"/>
    <n v="12900"/>
    <n v="13335"/>
    <n v="14970"/>
    <n v="16186"/>
    <n v="43473"/>
    <n v="1811.375"/>
    <n v="44828"/>
    <n v="1867.8333333333333"/>
    <n v="15275.041666666666"/>
    <n v="15496.233333333334"/>
  </r>
  <r>
    <x v="13"/>
    <s v="Stephen F. Austin State University"/>
    <m/>
    <n v="228431"/>
    <x v="2"/>
    <s v="sem"/>
    <s v="sem"/>
    <m/>
    <m/>
    <n v="130422"/>
    <n v="131478"/>
    <n v="29504"/>
    <n v="29548"/>
    <n v="142610"/>
    <n v="141922"/>
    <n v="302536"/>
    <n v="10084.533333333333"/>
    <n v="302948"/>
    <n v="10098.266666666666"/>
    <n v="1909"/>
    <n v="1892"/>
    <n v="302536"/>
    <n v="302948"/>
    <m/>
    <m/>
    <m/>
    <m/>
    <m/>
    <m/>
    <m/>
    <m/>
    <n v="0"/>
    <n v="0"/>
    <n v="0"/>
    <n v="0"/>
    <m/>
    <m/>
    <n v="0"/>
    <n v="0"/>
    <m/>
    <m/>
    <n v="9342"/>
    <n v="9666"/>
    <n v="5498"/>
    <n v="7147"/>
    <n v="9410"/>
    <n v="10261"/>
    <n v="24250"/>
    <n v="1010.4166666666666"/>
    <n v="27074"/>
    <n v="1128.0833333333333"/>
    <n v="11094.949999999999"/>
    <n v="11226.35"/>
  </r>
  <r>
    <x v="13"/>
    <s v="Sul Ross State University "/>
    <m/>
    <n v="228501"/>
    <x v="2"/>
    <s v="sem"/>
    <s v="sem"/>
    <m/>
    <m/>
    <n v="16529"/>
    <n v="15958"/>
    <n v="2873"/>
    <n v="2831"/>
    <n v="18435"/>
    <n v="15518"/>
    <n v="37837"/>
    <n v="1261.2333333333333"/>
    <n v="34307"/>
    <n v="1143.5666666666666"/>
    <n v="784"/>
    <n v="604"/>
    <n v="37837"/>
    <n v="34307"/>
    <m/>
    <m/>
    <m/>
    <m/>
    <m/>
    <m/>
    <m/>
    <m/>
    <n v="0"/>
    <n v="0"/>
    <n v="0"/>
    <n v="0"/>
    <m/>
    <m/>
    <n v="0"/>
    <n v="0"/>
    <m/>
    <m/>
    <n v="3306"/>
    <n v="3121"/>
    <n v="2559"/>
    <n v="2553"/>
    <n v="3122"/>
    <n v="3071"/>
    <n v="8987"/>
    <n v="374.45833333333331"/>
    <n v="8745"/>
    <n v="364.375"/>
    <n v="1635.6916666666666"/>
    <n v="1507.9416666666666"/>
  </r>
  <r>
    <x v="13"/>
    <s v="Tarleton State University"/>
    <m/>
    <n v="228529"/>
    <x v="2"/>
    <s v="sem"/>
    <s v="sem"/>
    <m/>
    <m/>
    <n v="86497"/>
    <n v="95400"/>
    <n v="23214"/>
    <n v="24025"/>
    <n v="101496"/>
    <n v="108102"/>
    <n v="211207"/>
    <n v="7040.2333333333336"/>
    <n v="227527"/>
    <n v="7584.2333333333336"/>
    <n v="0"/>
    <n v="0"/>
    <n v="211207"/>
    <n v="227527"/>
    <m/>
    <m/>
    <m/>
    <m/>
    <m/>
    <m/>
    <m/>
    <m/>
    <n v="0"/>
    <n v="0"/>
    <n v="0"/>
    <n v="0"/>
    <m/>
    <m/>
    <n v="0"/>
    <n v="0"/>
    <m/>
    <m/>
    <n v="7866"/>
    <n v="8078"/>
    <n v="6390"/>
    <n v="6113"/>
    <n v="8184"/>
    <n v="7981"/>
    <n v="22440"/>
    <n v="935"/>
    <n v="22172"/>
    <n v="923.83333333333337"/>
    <n v="7975.2333333333336"/>
    <n v="8508.0666666666675"/>
  </r>
  <r>
    <x v="13"/>
    <s v="Texas A&amp;M International University"/>
    <m/>
    <n v="226152"/>
    <x v="2"/>
    <s v="sem"/>
    <s v="sem"/>
    <m/>
    <m/>
    <n v="59699"/>
    <n v="60213"/>
    <n v="16480"/>
    <n v="13241"/>
    <n v="64682"/>
    <n v="65955"/>
    <n v="140861"/>
    <n v="4695.3666666666668"/>
    <n v="139409"/>
    <n v="4646.9666666666662"/>
    <n v="8904"/>
    <n v="9092"/>
    <n v="140861"/>
    <n v="139409"/>
    <m/>
    <m/>
    <m/>
    <m/>
    <m/>
    <m/>
    <m/>
    <m/>
    <n v="0"/>
    <n v="0"/>
    <n v="0"/>
    <n v="0"/>
    <m/>
    <m/>
    <n v="0"/>
    <n v="0"/>
    <m/>
    <m/>
    <n v="5379"/>
    <n v="4602"/>
    <n v="2381"/>
    <n v="1914"/>
    <n v="4901"/>
    <n v="4258"/>
    <n v="12661"/>
    <n v="527.54166666666663"/>
    <n v="10774"/>
    <n v="448.91666666666669"/>
    <n v="5222.9083333333338"/>
    <n v="5095.8833333333332"/>
  </r>
  <r>
    <x v="13"/>
    <s v="Texas A&amp;M University-Commerce"/>
    <m/>
    <n v="224554"/>
    <x v="2"/>
    <s v="sem"/>
    <s v="sem"/>
    <m/>
    <m/>
    <n v="70278"/>
    <n v="69494"/>
    <n v="16936"/>
    <n v="16728"/>
    <n v="77029"/>
    <n v="78226"/>
    <n v="164243"/>
    <n v="5474.7666666666664"/>
    <n v="164448"/>
    <n v="5481.6"/>
    <n v="1131"/>
    <n v="1509"/>
    <n v="164243"/>
    <n v="164448"/>
    <m/>
    <m/>
    <m/>
    <m/>
    <m/>
    <m/>
    <m/>
    <m/>
    <n v="0"/>
    <n v="0"/>
    <n v="0"/>
    <n v="0"/>
    <m/>
    <m/>
    <n v="0"/>
    <n v="0"/>
    <m/>
    <m/>
    <n v="27975"/>
    <n v="22939"/>
    <n v="16018"/>
    <n v="25705"/>
    <n v="26259"/>
    <n v="26391"/>
    <n v="70252"/>
    <n v="2927.1666666666665"/>
    <n v="75035"/>
    <n v="3126.4583333333335"/>
    <n v="8401.9333333333325"/>
    <n v="8608.0583333333343"/>
  </r>
  <r>
    <x v="13"/>
    <s v="Texas A&amp;M University-Corpus Christi "/>
    <m/>
    <n v="224147"/>
    <x v="2"/>
    <s v="sem"/>
    <s v="sem"/>
    <m/>
    <m/>
    <n v="91746"/>
    <n v="94638"/>
    <n v="26511"/>
    <n v="26068"/>
    <n v="101133"/>
    <n v="106847"/>
    <n v="219390"/>
    <n v="7313"/>
    <n v="227553"/>
    <n v="7585.1"/>
    <n v="1388"/>
    <n v="951"/>
    <n v="219390"/>
    <n v="227553"/>
    <m/>
    <m/>
    <m/>
    <m/>
    <m/>
    <m/>
    <m/>
    <m/>
    <n v="0"/>
    <n v="0"/>
    <n v="0"/>
    <n v="0"/>
    <m/>
    <m/>
    <n v="0"/>
    <n v="0"/>
    <m/>
    <m/>
    <n v="11468"/>
    <n v="10807"/>
    <n v="7706"/>
    <n v="6629"/>
    <n v="11520"/>
    <n v="11077"/>
    <n v="30694"/>
    <n v="1278.9166666666667"/>
    <n v="28513"/>
    <n v="1188.0416666666667"/>
    <n v="8591.9166666666661"/>
    <n v="8773.1416666666664"/>
  </r>
  <r>
    <x v="13"/>
    <s v="Texas A&amp;M University-Kingsville"/>
    <m/>
    <n v="228705"/>
    <x v="2"/>
    <s v="sem"/>
    <s v="sem"/>
    <m/>
    <m/>
    <n v="59321"/>
    <n v="63861"/>
    <n v="12071"/>
    <n v="11924"/>
    <n v="68663"/>
    <n v="74102"/>
    <n v="140055"/>
    <n v="4668.5"/>
    <n v="149887"/>
    <n v="4996.2333333333336"/>
    <n v="2469"/>
    <n v="3179"/>
    <n v="140055"/>
    <n v="149887"/>
    <m/>
    <m/>
    <m/>
    <m/>
    <m/>
    <m/>
    <m/>
    <m/>
    <n v="0"/>
    <n v="0"/>
    <n v="0"/>
    <n v="0"/>
    <m/>
    <m/>
    <n v="0"/>
    <n v="0"/>
    <m/>
    <m/>
    <n v="8680"/>
    <n v="8365"/>
    <n v="4529"/>
    <n v="5100"/>
    <n v="8286"/>
    <n v="9280"/>
    <n v="21495"/>
    <n v="895.625"/>
    <n v="22745"/>
    <n v="947.70833333333337"/>
    <n v="5564.125"/>
    <n v="5943.9416666666666"/>
  </r>
  <r>
    <x v="13"/>
    <s v="Texas Southern University "/>
    <m/>
    <n v="229063"/>
    <x v="2"/>
    <s v="sem"/>
    <s v="sem"/>
    <m/>
    <m/>
    <n v="79547"/>
    <n v="79510"/>
    <n v="15051"/>
    <n v="10554"/>
    <n v="86507"/>
    <n v="90474"/>
    <n v="181105"/>
    <n v="6036.833333333333"/>
    <n v="180538"/>
    <n v="6017.9333333333334"/>
    <n v="0"/>
    <n v="0"/>
    <n v="181105"/>
    <n v="180538"/>
    <m/>
    <m/>
    <m/>
    <m/>
    <m/>
    <m/>
    <m/>
    <m/>
    <n v="0"/>
    <n v="0"/>
    <n v="0"/>
    <n v="0"/>
    <m/>
    <m/>
    <n v="0"/>
    <n v="0"/>
    <m/>
    <m/>
    <n v="25298"/>
    <n v="26383"/>
    <n v="6827"/>
    <n v="6443"/>
    <n v="27072"/>
    <n v="25778"/>
    <n v="59197"/>
    <n v="2466.5416666666665"/>
    <n v="58604"/>
    <n v="2441.8333333333335"/>
    <n v="8503.375"/>
    <n v="8459.7666666666664"/>
  </r>
  <r>
    <x v="13"/>
    <s v="Texas State University-San Marcos"/>
    <m/>
    <n v="228459"/>
    <x v="2"/>
    <s v="sem"/>
    <s v="sem"/>
    <m/>
    <m/>
    <n v="321170"/>
    <n v="337603"/>
    <n v="66826"/>
    <n v="61868"/>
    <n v="360420"/>
    <n v="370796"/>
    <n v="748416"/>
    <n v="24947.200000000001"/>
    <n v="770267"/>
    <n v="25675.566666666666"/>
    <n v="0"/>
    <n v="0"/>
    <n v="748416"/>
    <n v="770267"/>
    <m/>
    <m/>
    <m/>
    <m/>
    <m/>
    <m/>
    <m/>
    <m/>
    <n v="0"/>
    <n v="0"/>
    <n v="0"/>
    <n v="0"/>
    <m/>
    <m/>
    <n v="0"/>
    <n v="0"/>
    <m/>
    <m/>
    <n v="32041"/>
    <n v="31807"/>
    <n v="13597"/>
    <n v="13620"/>
    <n v="33972"/>
    <n v="32060"/>
    <n v="79610"/>
    <n v="3317.0833333333335"/>
    <n v="77487"/>
    <n v="3228.625"/>
    <n v="28264.283333333333"/>
    <n v="28904.191666666666"/>
  </r>
  <r>
    <x v="13"/>
    <s v="University of Houston-Clear Lake "/>
    <m/>
    <n v="225414"/>
    <x v="2"/>
    <s v="sem"/>
    <s v="sem"/>
    <m/>
    <m/>
    <n v="45981"/>
    <n v="45631"/>
    <n v="14140"/>
    <n v="13246"/>
    <n v="46189"/>
    <n v="45352"/>
    <n v="106310"/>
    <n v="3543.6666666666665"/>
    <n v="104229"/>
    <n v="3474.3"/>
    <n v="0"/>
    <n v="0"/>
    <n v="106310"/>
    <n v="104229"/>
    <m/>
    <m/>
    <m/>
    <m/>
    <m/>
    <m/>
    <m/>
    <m/>
    <n v="0"/>
    <n v="0"/>
    <n v="0"/>
    <n v="0"/>
    <m/>
    <m/>
    <n v="0"/>
    <n v="0"/>
    <m/>
    <m/>
    <n v="21880"/>
    <n v="22085"/>
    <n v="9328"/>
    <n v="9537"/>
    <n v="22596"/>
    <n v="22237"/>
    <n v="53804"/>
    <n v="2241.8333333333335"/>
    <n v="53859"/>
    <n v="2244.125"/>
    <n v="5785.5"/>
    <n v="5718.4250000000002"/>
  </r>
  <r>
    <x v="13"/>
    <s v="University of Texas at Brownsville"/>
    <m/>
    <n v="227377"/>
    <x v="2"/>
    <s v="sem"/>
    <s v="sem"/>
    <m/>
    <m/>
    <n v="38999"/>
    <n v="34052"/>
    <n v="12697"/>
    <n v="16988"/>
    <n v="51008"/>
    <n v="74854"/>
    <n v="102704"/>
    <n v="3423.4666666666667"/>
    <n v="125894"/>
    <n v="4196.4666666666662"/>
    <n v="7547"/>
    <n v="2638"/>
    <n v="102704"/>
    <n v="125894"/>
    <m/>
    <m/>
    <m/>
    <m/>
    <m/>
    <m/>
    <m/>
    <m/>
    <n v="0"/>
    <n v="0"/>
    <n v="0"/>
    <n v="0"/>
    <m/>
    <m/>
    <n v="0"/>
    <n v="0"/>
    <m/>
    <m/>
    <n v="5110"/>
    <n v="5855"/>
    <n v="2661"/>
    <n v="2757"/>
    <n v="5912"/>
    <n v="6258"/>
    <n v="13683"/>
    <n v="570.125"/>
    <n v="14870"/>
    <n v="619.58333333333337"/>
    <n v="3993.5916666666667"/>
    <n v="4816.0499999999993"/>
  </r>
  <r>
    <x v="13"/>
    <s v="University of Texas at Tyler"/>
    <m/>
    <n v="228802"/>
    <x v="2"/>
    <s v="sem"/>
    <s v="sem"/>
    <m/>
    <m/>
    <n v="56557"/>
    <n v="57825"/>
    <n v="8668"/>
    <n v="10180"/>
    <n v="61301"/>
    <n v="63891"/>
    <n v="126526"/>
    <n v="4217.5333333333338"/>
    <n v="131896"/>
    <n v="4396.5333333333338"/>
    <n v="0"/>
    <n v="0"/>
    <n v="126526"/>
    <n v="131896"/>
    <m/>
    <m/>
    <m/>
    <m/>
    <m/>
    <m/>
    <m/>
    <m/>
    <n v="0"/>
    <n v="0"/>
    <n v="0"/>
    <n v="0"/>
    <m/>
    <m/>
    <n v="0"/>
    <n v="0"/>
    <m/>
    <m/>
    <n v="8571"/>
    <n v="9411"/>
    <n v="5098"/>
    <n v="5980"/>
    <n v="9792"/>
    <n v="9948"/>
    <n v="23461"/>
    <n v="977.54166666666663"/>
    <n v="25339"/>
    <n v="1055.7916666666667"/>
    <n v="5195.0750000000007"/>
    <n v="5452.3250000000007"/>
  </r>
  <r>
    <x v="13"/>
    <s v="University of Texas of the Permian Basin"/>
    <m/>
    <n v="229018"/>
    <x v="2"/>
    <s v="sem"/>
    <s v="sem"/>
    <m/>
    <m/>
    <n v="33947"/>
    <n v="32385"/>
    <n v="7048"/>
    <n v="6714"/>
    <n v="35149"/>
    <n v="36364"/>
    <n v="76144"/>
    <n v="2538.1333333333332"/>
    <n v="75463"/>
    <n v="2515.4333333333334"/>
    <n v="3182"/>
    <n v="3777"/>
    <n v="76144"/>
    <n v="75463"/>
    <m/>
    <m/>
    <m/>
    <m/>
    <m/>
    <m/>
    <m/>
    <m/>
    <n v="0"/>
    <n v="0"/>
    <n v="0"/>
    <n v="0"/>
    <m/>
    <m/>
    <n v="0"/>
    <n v="0"/>
    <m/>
    <m/>
    <n v="3361"/>
    <n v="3153"/>
    <n v="2402"/>
    <n v="2031"/>
    <n v="3148"/>
    <n v="3097"/>
    <n v="8911"/>
    <n v="371.29166666666669"/>
    <n v="8281"/>
    <n v="345.04166666666669"/>
    <n v="2909.4249999999997"/>
    <n v="2860.4749999999999"/>
  </r>
  <r>
    <x v="13"/>
    <s v="University of Texas-Pan American"/>
    <m/>
    <n v="227368"/>
    <x v="2"/>
    <s v="sem"/>
    <s v="sem"/>
    <m/>
    <m/>
    <n v="172535"/>
    <n v="176048"/>
    <n v="71749"/>
    <n v="60103"/>
    <n v="190475"/>
    <n v="195825"/>
    <n v="434759"/>
    <n v="14491.966666666667"/>
    <n v="431976"/>
    <n v="14399.2"/>
    <n v="4352"/>
    <n v="5042"/>
    <n v="434759"/>
    <n v="431976"/>
    <m/>
    <m/>
    <m/>
    <m/>
    <m/>
    <m/>
    <m/>
    <m/>
    <n v="0"/>
    <n v="0"/>
    <n v="0"/>
    <n v="0"/>
    <m/>
    <m/>
    <n v="0"/>
    <n v="0"/>
    <m/>
    <m/>
    <n v="16607"/>
    <n v="16375"/>
    <n v="9136"/>
    <n v="8988"/>
    <n v="17125"/>
    <n v="17038"/>
    <n v="42868"/>
    <n v="1786.1666666666667"/>
    <n v="42401"/>
    <n v="1766.7083333333333"/>
    <n v="16278.133333333333"/>
    <n v="16165.908333333335"/>
  </r>
  <r>
    <x v="13"/>
    <s v="West Texas A&amp;M University"/>
    <m/>
    <n v="229814"/>
    <x v="2"/>
    <s v="sem"/>
    <s v="sem"/>
    <m/>
    <m/>
    <n v="75667"/>
    <n v="76311"/>
    <n v="14088"/>
    <n v="13194"/>
    <n v="82848"/>
    <n v="83753"/>
    <n v="172603"/>
    <n v="5753.4333333333334"/>
    <n v="173258"/>
    <n v="5775.2666666666664"/>
    <n v="0"/>
    <n v="0"/>
    <n v="172603"/>
    <n v="173258"/>
    <m/>
    <m/>
    <m/>
    <m/>
    <m/>
    <m/>
    <m/>
    <m/>
    <n v="0"/>
    <n v="0"/>
    <n v="0"/>
    <n v="0"/>
    <m/>
    <m/>
    <n v="0"/>
    <n v="0"/>
    <m/>
    <m/>
    <n v="7627"/>
    <n v="7682"/>
    <n v="4558"/>
    <n v="5178"/>
    <n v="7913"/>
    <n v="8049"/>
    <n v="20098"/>
    <n v="837.41666666666663"/>
    <n v="20909"/>
    <n v="871.20833333333337"/>
    <n v="6590.85"/>
    <n v="6646.4749999999995"/>
  </r>
  <r>
    <x v="13"/>
    <s v="Texas A &amp; M University - Central Texas"/>
    <s v="Reclassified: met the criteria for Four-Year 4 in 2010-11, 2011-12, and 2012-13."/>
    <s v="???"/>
    <x v="3"/>
    <s v="sem"/>
    <s v="sem"/>
    <m/>
    <m/>
    <n v="12402"/>
    <n v="13599"/>
    <n v="8451"/>
    <n v="8595"/>
    <n v="10262"/>
    <n v="11549"/>
    <n v="31115"/>
    <n v="1037.1666666666667"/>
    <n v="33743"/>
    <n v="1124.7666666666667"/>
    <n v="0"/>
    <n v="0"/>
    <n v="31115"/>
    <n v="33743"/>
    <m/>
    <m/>
    <m/>
    <m/>
    <m/>
    <m/>
    <m/>
    <m/>
    <n v="0"/>
    <n v="0"/>
    <n v="0"/>
    <n v="0"/>
    <m/>
    <m/>
    <n v="0"/>
    <n v="0"/>
    <m/>
    <m/>
    <n v="4516"/>
    <n v="4299"/>
    <n v="3173"/>
    <n v="3624"/>
    <n v="3797"/>
    <n v="4027"/>
    <n v="11486"/>
    <n v="478.58333333333331"/>
    <n v="11950"/>
    <n v="497.91666666666669"/>
    <n v="1515.75"/>
    <n v="1622.6833333333334"/>
  </r>
  <r>
    <x v="13"/>
    <s v="Texas A&amp;M -Texarkana"/>
    <m/>
    <n v="224545"/>
    <x v="3"/>
    <s v="sem"/>
    <s v="sem"/>
    <m/>
    <m/>
    <n v="13019"/>
    <n v="15171"/>
    <n v="3367"/>
    <n v="3470"/>
    <n v="16519"/>
    <n v="16149"/>
    <n v="32905"/>
    <n v="1096.8333333333333"/>
    <n v="34790"/>
    <n v="1159.6666666666667"/>
    <n v="16"/>
    <n v="0"/>
    <n v="32905"/>
    <n v="34790"/>
    <m/>
    <m/>
    <m/>
    <m/>
    <m/>
    <m/>
    <m/>
    <m/>
    <n v="0"/>
    <n v="0"/>
    <n v="0"/>
    <n v="0"/>
    <m/>
    <m/>
    <n v="0"/>
    <n v="0"/>
    <m/>
    <m/>
    <n v="3203"/>
    <n v="2346"/>
    <n v="1929"/>
    <n v="2396"/>
    <n v="2473"/>
    <n v="2565"/>
    <n v="7605"/>
    <n v="316.875"/>
    <n v="7307"/>
    <n v="304.45833333333331"/>
    <n v="1413.7083333333333"/>
    <n v="1464.125"/>
  </r>
  <r>
    <x v="13"/>
    <s v="University of Houston-Victoria"/>
    <m/>
    <n v="225502"/>
    <x v="3"/>
    <s v="sem"/>
    <s v="sem"/>
    <m/>
    <m/>
    <n v="23743"/>
    <n v="24503"/>
    <n v="9065"/>
    <n v="9014"/>
    <n v="25288"/>
    <n v="26009"/>
    <n v="58096"/>
    <n v="1936.5333333333333"/>
    <n v="59526"/>
    <n v="1984.2"/>
    <n v="0"/>
    <n v="0"/>
    <n v="58096"/>
    <n v="59526"/>
    <m/>
    <m/>
    <m/>
    <m/>
    <m/>
    <m/>
    <m/>
    <m/>
    <n v="0"/>
    <n v="0"/>
    <n v="0"/>
    <n v="0"/>
    <m/>
    <m/>
    <n v="0"/>
    <n v="0"/>
    <m/>
    <m/>
    <n v="11076"/>
    <n v="10302"/>
    <n v="5553"/>
    <n v="5323"/>
    <n v="10605"/>
    <n v="10039"/>
    <n v="27234"/>
    <n v="1134.75"/>
    <n v="25664"/>
    <n v="1069.3333333333333"/>
    <n v="3071.2833333333333"/>
    <n v="3053.5333333333333"/>
  </r>
  <r>
    <x v="13"/>
    <s v="Sul Ross State University-Rio Grande College"/>
    <m/>
    <s v="228501B"/>
    <x v="4"/>
    <s v="sem"/>
    <s v="sem"/>
    <m/>
    <m/>
    <n v="6668"/>
    <n v="6237"/>
    <n v="3639"/>
    <n v="3018"/>
    <n v="6552"/>
    <n v="6061"/>
    <n v="16859"/>
    <n v="561.9666666666667"/>
    <n v="15316"/>
    <n v="510.53333333333336"/>
    <n v="0"/>
    <n v="0"/>
    <n v="16859"/>
    <n v="15316"/>
    <m/>
    <m/>
    <m/>
    <m/>
    <m/>
    <m/>
    <m/>
    <m/>
    <n v="0"/>
    <n v="0"/>
    <n v="0"/>
    <n v="0"/>
    <m/>
    <m/>
    <n v="0"/>
    <n v="0"/>
    <m/>
    <m/>
    <n v="1419"/>
    <n v="948"/>
    <n v="789"/>
    <n v="765"/>
    <n v="1068"/>
    <n v="774"/>
    <n v="3276"/>
    <n v="136.5"/>
    <n v="2487"/>
    <n v="103.625"/>
    <n v="698.4666666666667"/>
    <n v="614.1583333333333"/>
  </r>
  <r>
    <x v="13"/>
    <s v="Texas A &amp; M University - San Antonio"/>
    <s v="Reclassified: met the criteria for Four-Year 5 in 2010-11, 2011-12, and 2012-13."/>
    <n v="870501"/>
    <x v="4"/>
    <s v="sem"/>
    <s v="sem"/>
    <m/>
    <m/>
    <n v="21987"/>
    <n v="25392"/>
    <n v="6950"/>
    <n v="6638"/>
    <n v="25096"/>
    <n v="28926"/>
    <n v="54033"/>
    <n v="1801.1"/>
    <n v="60956"/>
    <n v="2031.8666666666666"/>
    <n v="0"/>
    <n v="0"/>
    <n v="54033"/>
    <n v="60956"/>
    <m/>
    <m/>
    <m/>
    <m/>
    <m/>
    <m/>
    <m/>
    <m/>
    <n v="0"/>
    <n v="0"/>
    <n v="0"/>
    <n v="0"/>
    <m/>
    <m/>
    <n v="0"/>
    <n v="0"/>
    <m/>
    <m/>
    <n v="5762"/>
    <n v="6438"/>
    <n v="2996"/>
    <n v="3413"/>
    <n v="6123"/>
    <n v="7257"/>
    <n v="14881"/>
    <n v="620.04166666666663"/>
    <n v="17108"/>
    <n v="712.83333333333337"/>
    <n v="2421.1416666666664"/>
    <n v="2744.7"/>
  </r>
  <r>
    <x v="13"/>
    <s v="University of Houston-Downtown"/>
    <m/>
    <n v="225432"/>
    <x v="4"/>
    <s v="sem"/>
    <s v="sem"/>
    <m/>
    <m/>
    <n v="116033"/>
    <n v="116385"/>
    <n v="31347"/>
    <n v="31298"/>
    <n v="120657"/>
    <n v="129224"/>
    <n v="268037"/>
    <n v="8934.5666666666675"/>
    <n v="276907"/>
    <n v="9230.2333333333336"/>
    <n v="373"/>
    <n v="677"/>
    <n v="268037"/>
    <n v="276907"/>
    <m/>
    <m/>
    <m/>
    <m/>
    <m/>
    <m/>
    <m/>
    <m/>
    <n v="0"/>
    <n v="0"/>
    <n v="0"/>
    <n v="0"/>
    <m/>
    <m/>
    <n v="0"/>
    <n v="0"/>
    <m/>
    <m/>
    <n v="786"/>
    <n v="1036"/>
    <n v="420"/>
    <n v="742"/>
    <n v="963"/>
    <n v="1033"/>
    <n v="2169"/>
    <n v="90.375"/>
    <n v="2811"/>
    <n v="117.125"/>
    <n v="9024.9416666666675"/>
    <n v="9347.3583333333336"/>
  </r>
  <r>
    <x v="13"/>
    <s v="Texas A&amp;M University at Galveston"/>
    <m/>
    <n v="228714"/>
    <x v="5"/>
    <s v="sem"/>
    <s v="sem"/>
    <m/>
    <m/>
    <n v="23424"/>
    <n v="24269"/>
    <n v="4200"/>
    <n v="3879"/>
    <n v="26542"/>
    <n v="25867"/>
    <n v="54166"/>
    <n v="1805.5333333333333"/>
    <n v="54015"/>
    <n v="1800.5"/>
    <n v="0"/>
    <n v="0"/>
    <n v="54166"/>
    <n v="54015"/>
    <m/>
    <m/>
    <m/>
    <m/>
    <m/>
    <m/>
    <m/>
    <m/>
    <n v="0"/>
    <n v="0"/>
    <n v="0"/>
    <n v="0"/>
    <m/>
    <m/>
    <n v="0"/>
    <n v="0"/>
    <m/>
    <m/>
    <n v="494"/>
    <n v="572"/>
    <n v="187"/>
    <n v="208"/>
    <n v="530"/>
    <n v="708"/>
    <n v="1211"/>
    <n v="50.458333333333336"/>
    <n v="1488"/>
    <n v="62"/>
    <n v="1855.9916666666666"/>
    <n v="1862.5"/>
  </r>
  <r>
    <x v="13"/>
    <s v="Brazosport College "/>
    <m/>
    <n v="223506"/>
    <x v="11"/>
    <s v="sem"/>
    <s v="sem"/>
    <n v="33617"/>
    <n v="31950"/>
    <n v="10798"/>
    <n v="10328"/>
    <n v="3216"/>
    <n v="2800"/>
    <n v="34167"/>
    <n v="31524"/>
    <n v="81798"/>
    <n v="2726.6"/>
    <n v="76602"/>
    <n v="2553.4"/>
    <n v="12243"/>
    <n v="12016"/>
    <n v="81798"/>
    <n v="76602"/>
    <n v="18371"/>
    <n v="17301"/>
    <n v="7152"/>
    <n v="14199"/>
    <n v="12866"/>
    <n v="4751"/>
    <n v="10502"/>
    <n v="12291"/>
    <n v="48891"/>
    <n v="54.323333333333331"/>
    <n v="48542"/>
    <n v="53.935555555555553"/>
    <m/>
    <m/>
    <n v="0"/>
    <n v="0"/>
    <m/>
    <m/>
    <m/>
    <m/>
    <m/>
    <m/>
    <m/>
    <m/>
    <n v="0"/>
    <n v="0"/>
    <n v="0"/>
    <n v="0"/>
    <n v="2780.9233333333332"/>
    <n v="2607.3355555555559"/>
  </r>
  <r>
    <x v="13"/>
    <s v="Midland College "/>
    <m/>
    <n v="226806"/>
    <x v="11"/>
    <s v="sem"/>
    <s v="sem"/>
    <n v="51588"/>
    <n v="47276"/>
    <n v="13589"/>
    <n v="13690"/>
    <n v="10307"/>
    <n v="10455"/>
    <n v="48132"/>
    <n v="44378"/>
    <n v="123616"/>
    <n v="4120.5333333333338"/>
    <n v="115799"/>
    <n v="3859.9666666666667"/>
    <n v="7934"/>
    <n v="7820"/>
    <n v="123616"/>
    <n v="115799"/>
    <n v="42506"/>
    <n v="49865"/>
    <n v="60064"/>
    <n v="48781"/>
    <n v="48889"/>
    <n v="54645"/>
    <n v="57666"/>
    <n v="81586"/>
    <n v="209125"/>
    <n v="232.36111111111111"/>
    <n v="234877"/>
    <n v="260.97444444444443"/>
    <m/>
    <m/>
    <n v="0"/>
    <n v="0"/>
    <m/>
    <m/>
    <m/>
    <m/>
    <m/>
    <m/>
    <m/>
    <m/>
    <n v="0"/>
    <n v="0"/>
    <n v="0"/>
    <n v="0"/>
    <n v="4352.8944444444451"/>
    <n v="4120.9411111111112"/>
  </r>
  <r>
    <x v="13"/>
    <s v="South Texas College"/>
    <m/>
    <n v="409315"/>
    <x v="11"/>
    <s v="sem"/>
    <s v="sem"/>
    <n v="229196"/>
    <n v="235789"/>
    <n v="46364"/>
    <n v="39471"/>
    <n v="38815"/>
    <n v="28487"/>
    <n v="248052"/>
    <n v="247460"/>
    <n v="562427"/>
    <n v="18747.566666666666"/>
    <n v="551207"/>
    <n v="18373.566666666666"/>
    <n v="107334"/>
    <n v="124002"/>
    <n v="562427"/>
    <n v="551207"/>
    <n v="27394"/>
    <n v="48147"/>
    <n v="40064"/>
    <n v="60509"/>
    <n v="54817"/>
    <n v="67819"/>
    <n v="43514"/>
    <n v="170775"/>
    <n v="165789"/>
    <n v="184.21"/>
    <n v="347250"/>
    <n v="385.83333333333331"/>
    <m/>
    <m/>
    <n v="0"/>
    <n v="0"/>
    <m/>
    <m/>
    <m/>
    <m/>
    <m/>
    <m/>
    <m/>
    <m/>
    <n v="0"/>
    <n v="0"/>
    <n v="0"/>
    <n v="0"/>
    <n v="18931.776666666665"/>
    <n v="18759.399999999998"/>
  </r>
  <r>
    <x v="13"/>
    <s v="Amarillo College "/>
    <m/>
    <n v="222576"/>
    <x v="6"/>
    <s v="sem"/>
    <s v="sem"/>
    <n v="93647"/>
    <n v="87451"/>
    <n v="25696"/>
    <n v="24513"/>
    <n v="0"/>
    <n v="0"/>
    <n v="92437"/>
    <n v="86691"/>
    <n v="211780"/>
    <n v="7059.333333333333"/>
    <n v="198655"/>
    <n v="6621.833333333333"/>
    <n v="20284"/>
    <n v="21310"/>
    <n v="211780"/>
    <n v="198655"/>
    <n v="122097"/>
    <n v="123852"/>
    <n v="125316"/>
    <n v="150274"/>
    <n v="123689"/>
    <n v="110459"/>
    <n v="134519"/>
    <n v="158658"/>
    <n v="505621"/>
    <n v="561.80111111111114"/>
    <n v="543243"/>
    <n v="603.60333333333335"/>
    <m/>
    <m/>
    <n v="0"/>
    <n v="0"/>
    <m/>
    <m/>
    <m/>
    <m/>
    <m/>
    <m/>
    <m/>
    <m/>
    <n v="0"/>
    <n v="0"/>
    <n v="0"/>
    <n v="0"/>
    <n v="7621.1344444444439"/>
    <n v="7225.4366666666665"/>
  </r>
  <r>
    <x v="13"/>
    <s v="Austin Community College "/>
    <m/>
    <n v="222992"/>
    <x v="6"/>
    <s v="sem"/>
    <s v="sem"/>
    <n v="344605"/>
    <n v="328386"/>
    <n v="185154"/>
    <n v="172797"/>
    <n v="0"/>
    <n v="0"/>
    <n v="306105"/>
    <n v="290811"/>
    <n v="835864"/>
    <n v="27862.133333333335"/>
    <n v="791994"/>
    <n v="26399.8"/>
    <n v="50586"/>
    <n v="53331"/>
    <n v="835864"/>
    <n v="791994"/>
    <n v="96828"/>
    <n v="124524"/>
    <n v="106623"/>
    <n v="67441"/>
    <n v="116457"/>
    <n v="161638"/>
    <n v="106873"/>
    <n v="115888"/>
    <n v="426781"/>
    <n v="474.20111111111112"/>
    <n v="469491"/>
    <n v="521.65666666666664"/>
    <m/>
    <m/>
    <n v="0"/>
    <n v="0"/>
    <m/>
    <m/>
    <m/>
    <m/>
    <m/>
    <m/>
    <m/>
    <m/>
    <n v="0"/>
    <n v="0"/>
    <n v="0"/>
    <n v="0"/>
    <n v="28336.334444444445"/>
    <n v="26921.456666666665"/>
  </r>
  <r>
    <x v="13"/>
    <s v="Blinn College "/>
    <m/>
    <n v="223427"/>
    <x v="6"/>
    <s v="sem"/>
    <s v="sem"/>
    <n v="164807"/>
    <n v="169126"/>
    <n v="30098"/>
    <n v="49542"/>
    <n v="17968"/>
    <n v="0"/>
    <n v="183245"/>
    <n v="180304"/>
    <n v="396118"/>
    <n v="13203.933333333332"/>
    <n v="398972"/>
    <n v="13299.066666666668"/>
    <n v="12947"/>
    <n v="15268"/>
    <n v="396118"/>
    <n v="398972"/>
    <n v="45281"/>
    <n v="34151"/>
    <n v="35766"/>
    <n v="40990"/>
    <n v="33585"/>
    <n v="33412"/>
    <n v="47267"/>
    <n v="35333"/>
    <n v="161899"/>
    <n v="179.88777777777779"/>
    <n v="143886"/>
    <n v="159.87333333333333"/>
    <m/>
    <m/>
    <n v="0"/>
    <n v="0"/>
    <m/>
    <m/>
    <m/>
    <m/>
    <m/>
    <m/>
    <m/>
    <m/>
    <n v="0"/>
    <n v="0"/>
    <n v="0"/>
    <n v="0"/>
    <n v="13383.82111111111"/>
    <n v="13458.94"/>
  </r>
  <r>
    <x v="13"/>
    <s v="Brookhaven College  (DCCCD)"/>
    <m/>
    <n v="223524"/>
    <x v="6"/>
    <s v="sem"/>
    <s v="sem"/>
    <n v="89352"/>
    <n v="86029"/>
    <n v="33853"/>
    <n v="46359"/>
    <n v="17093"/>
    <n v="0"/>
    <n v="74937"/>
    <n v="70915"/>
    <n v="215235"/>
    <n v="7174.5"/>
    <n v="203303"/>
    <n v="6776.7666666666664"/>
    <n v="9195"/>
    <n v="8669"/>
    <n v="215235"/>
    <n v="203303"/>
    <n v="72299"/>
    <n v="65960"/>
    <n v="75368"/>
    <n v="64564"/>
    <n v="54799"/>
    <n v="57663"/>
    <n v="76757"/>
    <n v="70341"/>
    <n v="279223"/>
    <n v="310.2477777777778"/>
    <n v="258528"/>
    <n v="287.25333333333333"/>
    <m/>
    <m/>
    <n v="0"/>
    <n v="0"/>
    <m/>
    <m/>
    <m/>
    <m/>
    <m/>
    <m/>
    <m/>
    <m/>
    <n v="0"/>
    <n v="0"/>
    <n v="0"/>
    <n v="0"/>
    <n v="7484.7477777777776"/>
    <n v="7064.0199999999995"/>
  </r>
  <r>
    <x v="13"/>
    <s v="Central Texas College "/>
    <m/>
    <n v="223816"/>
    <x v="6"/>
    <s v="sem"/>
    <s v="sem"/>
    <n v="126523"/>
    <n v="123024"/>
    <n v="92122"/>
    <n v="92510"/>
    <n v="5181"/>
    <n v="3994"/>
    <n v="96668"/>
    <n v="96353"/>
    <n v="320494"/>
    <n v="10683.133333333333"/>
    <n v="315881"/>
    <n v="10529.366666666667"/>
    <n v="19759"/>
    <n v="16799"/>
    <n v="320494"/>
    <n v="315881"/>
    <n v="99494"/>
    <n v="90921"/>
    <n v="115731"/>
    <n v="123240"/>
    <n v="84710"/>
    <n v="116694"/>
    <n v="98587"/>
    <n v="105520"/>
    <n v="398522"/>
    <n v="442.80222222222221"/>
    <n v="436375"/>
    <n v="484.86111111111109"/>
    <m/>
    <m/>
    <n v="0"/>
    <n v="0"/>
    <m/>
    <m/>
    <m/>
    <m/>
    <m/>
    <m/>
    <m/>
    <m/>
    <n v="0"/>
    <n v="0"/>
    <n v="0"/>
    <n v="0"/>
    <n v="11125.935555555556"/>
    <n v="11014.227777777778"/>
  </r>
  <r>
    <x v="13"/>
    <s v="Collin County Community College District"/>
    <m/>
    <n v="247834"/>
    <x v="6"/>
    <s v="sem"/>
    <s v="sem"/>
    <n v="223300"/>
    <n v="220007"/>
    <n v="47013"/>
    <n v="45459"/>
    <n v="40934"/>
    <n v="42198"/>
    <n v="226025"/>
    <n v="228868"/>
    <n v="537272"/>
    <n v="17909.066666666666"/>
    <n v="536532"/>
    <n v="17884.400000000001"/>
    <n v="21365"/>
    <n v="22205"/>
    <n v="537272"/>
    <n v="536532"/>
    <n v="129730"/>
    <n v="149880"/>
    <n v="99184"/>
    <n v="124339"/>
    <n v="127316"/>
    <n v="131161"/>
    <n v="180375"/>
    <n v="226703"/>
    <n v="536605"/>
    <n v="596.22777777777776"/>
    <n v="632083"/>
    <n v="702.31444444444446"/>
    <m/>
    <m/>
    <n v="0"/>
    <n v="0"/>
    <m/>
    <m/>
    <m/>
    <m/>
    <m/>
    <m/>
    <m/>
    <m/>
    <n v="0"/>
    <n v="0"/>
    <n v="0"/>
    <n v="0"/>
    <n v="18505.294444444444"/>
    <n v="18586.714444444446"/>
  </r>
  <r>
    <x v="13"/>
    <s v="Del Mar College "/>
    <m/>
    <n v="224350"/>
    <x v="6"/>
    <s v="sem"/>
    <s v="sem"/>
    <n v="97094"/>
    <n v="92301"/>
    <n v="25321"/>
    <n v="22086"/>
    <n v="11668"/>
    <n v="10123"/>
    <n v="96822"/>
    <n v="89028"/>
    <n v="230905"/>
    <n v="7696.833333333333"/>
    <n v="213538"/>
    <n v="7117.9333333333334"/>
    <n v="15131"/>
    <n v="16321"/>
    <n v="230905"/>
    <n v="213538"/>
    <n v="84561"/>
    <n v="84288"/>
    <n v="44534"/>
    <n v="58476"/>
    <n v="61228"/>
    <n v="63174"/>
    <n v="91039"/>
    <n v="89576"/>
    <n v="281362"/>
    <n v="312.62444444444446"/>
    <n v="295514"/>
    <n v="328.34888888888889"/>
    <m/>
    <m/>
    <n v="0"/>
    <n v="0"/>
    <m/>
    <m/>
    <m/>
    <m/>
    <m/>
    <m/>
    <m/>
    <m/>
    <n v="0"/>
    <n v="0"/>
    <n v="0"/>
    <n v="0"/>
    <n v="8009.4577777777777"/>
    <n v="7446.2822222222221"/>
  </r>
  <r>
    <x v="13"/>
    <s v="Eastfield College  (DCCCD)"/>
    <m/>
    <n v="224572"/>
    <x v="6"/>
    <s v="sem"/>
    <s v="sem"/>
    <n v="99334"/>
    <n v="94072"/>
    <n v="36921"/>
    <n v="49420"/>
    <n v="16027"/>
    <n v="0"/>
    <n v="88527"/>
    <n v="87939"/>
    <n v="240809"/>
    <n v="8026.9666666666662"/>
    <n v="231431"/>
    <n v="7714.3666666666668"/>
    <n v="23314"/>
    <n v="17724"/>
    <n v="240809"/>
    <n v="231431"/>
    <n v="93754"/>
    <n v="89159"/>
    <n v="103607"/>
    <n v="58288"/>
    <n v="91037"/>
    <n v="53746"/>
    <n v="105570"/>
    <n v="82288"/>
    <n v="393968"/>
    <n v="437.74222222222221"/>
    <n v="283481"/>
    <n v="314.97888888888889"/>
    <m/>
    <m/>
    <n v="0"/>
    <n v="0"/>
    <m/>
    <m/>
    <m/>
    <m/>
    <m/>
    <m/>
    <m/>
    <m/>
    <n v="0"/>
    <n v="0"/>
    <n v="0"/>
    <n v="0"/>
    <n v="8464.7088888888884"/>
    <n v="8029.3455555555556"/>
  </r>
  <r>
    <x v="13"/>
    <s v="El Centro College  (DCCCD)"/>
    <m/>
    <n v="224615"/>
    <x v="6"/>
    <s v="sem"/>
    <s v="sem"/>
    <n v="78880"/>
    <n v="77644"/>
    <n v="22066"/>
    <n v="30159"/>
    <n v="11053"/>
    <n v="0"/>
    <n v="77983"/>
    <n v="70587"/>
    <n v="189982"/>
    <n v="6332.7333333333336"/>
    <n v="178390"/>
    <n v="5946.333333333333"/>
    <n v="13033"/>
    <n v="11192"/>
    <n v="189982"/>
    <n v="178390"/>
    <n v="199547"/>
    <n v="233456"/>
    <n v="203570"/>
    <n v="368027"/>
    <n v="144259"/>
    <n v="334014"/>
    <n v="242244"/>
    <n v="271796"/>
    <n v="789620"/>
    <n v="877.35555555555561"/>
    <n v="1207293"/>
    <n v="1341.4366666666667"/>
    <m/>
    <m/>
    <n v="0"/>
    <n v="0"/>
    <m/>
    <m/>
    <m/>
    <m/>
    <m/>
    <m/>
    <m/>
    <m/>
    <n v="0"/>
    <n v="0"/>
    <n v="0"/>
    <n v="0"/>
    <n v="7210.0888888888894"/>
    <n v="7287.7699999999995"/>
  </r>
  <r>
    <x v="13"/>
    <s v="El Paso County Community College District"/>
    <m/>
    <n v="224642"/>
    <x v="6"/>
    <s v="sem"/>
    <s v="sem"/>
    <n v="252345"/>
    <n v="253084"/>
    <n v="68077"/>
    <n v="58283"/>
    <n v="0"/>
    <n v="0"/>
    <n v="261904"/>
    <n v="263960"/>
    <n v="582326"/>
    <n v="19410.866666666665"/>
    <n v="575327"/>
    <n v="19177.566666666666"/>
    <n v="52573"/>
    <n v="70271"/>
    <n v="582326"/>
    <n v="575327"/>
    <n v="129563"/>
    <n v="121978"/>
    <n v="133119"/>
    <n v="126534"/>
    <n v="166435"/>
    <n v="110699"/>
    <n v="163887"/>
    <n v="157377"/>
    <n v="593004"/>
    <n v="658.89333333333332"/>
    <n v="516588"/>
    <n v="573.98666666666668"/>
    <m/>
    <m/>
    <n v="0"/>
    <n v="0"/>
    <m/>
    <m/>
    <m/>
    <m/>
    <m/>
    <m/>
    <m/>
    <m/>
    <n v="0"/>
    <n v="0"/>
    <n v="0"/>
    <n v="0"/>
    <n v="20069.759999999998"/>
    <n v="19751.553333333333"/>
  </r>
  <r>
    <x v="13"/>
    <s v="Houston Community College"/>
    <m/>
    <n v="225423"/>
    <x v="6"/>
    <s v="sem"/>
    <s v="sem"/>
    <n v="519200"/>
    <n v="494412"/>
    <n v="274376"/>
    <n v="269882"/>
    <n v="0"/>
    <n v="0"/>
    <n v="390312"/>
    <n v="368037"/>
    <n v="1183888"/>
    <n v="39462.933333333334"/>
    <n v="1132331"/>
    <n v="37744.366666666669"/>
    <n v="44317"/>
    <n v="73521"/>
    <n v="1183888"/>
    <n v="1132331"/>
    <n v="537454"/>
    <n v="428435"/>
    <n v="384249"/>
    <n v="473653"/>
    <n v="388800"/>
    <n v="323638"/>
    <n v="573214"/>
    <n v="589403"/>
    <n v="1883717"/>
    <n v="2093.0188888888888"/>
    <n v="1815129"/>
    <n v="2016.81"/>
    <m/>
    <m/>
    <n v="0"/>
    <n v="0"/>
    <m/>
    <m/>
    <m/>
    <m/>
    <m/>
    <m/>
    <m/>
    <m/>
    <n v="0"/>
    <n v="0"/>
    <n v="0"/>
    <n v="0"/>
    <n v="41555.952222222222"/>
    <n v="39761.176666666666"/>
  </r>
  <r>
    <x v="13"/>
    <s v="Kilgore College "/>
    <m/>
    <n v="226019"/>
    <x v="6"/>
    <s v="sem"/>
    <s v="sem"/>
    <n v="63398"/>
    <n v="59183"/>
    <n v="11755"/>
    <n v="9925"/>
    <n v="6823"/>
    <n v="4662"/>
    <n v="61104"/>
    <n v="59315"/>
    <n v="143080"/>
    <n v="4769.333333333333"/>
    <n v="133085"/>
    <n v="4436.166666666667"/>
    <n v="10814"/>
    <n v="12147"/>
    <n v="143080"/>
    <n v="133085"/>
    <n v="185513"/>
    <n v="140614"/>
    <n v="161528"/>
    <n v="142264"/>
    <n v="157431"/>
    <n v="140561"/>
    <n v="136908"/>
    <n v="123321"/>
    <n v="641380"/>
    <n v="712.64444444444439"/>
    <n v="546760"/>
    <n v="607.51111111111106"/>
    <m/>
    <m/>
    <n v="0"/>
    <n v="0"/>
    <m/>
    <m/>
    <m/>
    <m/>
    <m/>
    <m/>
    <m/>
    <m/>
    <n v="0"/>
    <n v="0"/>
    <n v="0"/>
    <n v="0"/>
    <n v="5481.9777777777772"/>
    <n v="5043.6777777777779"/>
  </r>
  <r>
    <x v="13"/>
    <s v="Laredo Community College "/>
    <m/>
    <n v="226134"/>
    <x v="6"/>
    <s v="sem"/>
    <s v="sem"/>
    <n v="80549"/>
    <n v="78062"/>
    <n v="15303"/>
    <n v="14802"/>
    <n v="7807"/>
    <n v="5888"/>
    <n v="85876"/>
    <n v="80078"/>
    <n v="189535"/>
    <n v="6317.833333333333"/>
    <n v="178830"/>
    <n v="5961"/>
    <n v="4560"/>
    <n v="6203"/>
    <n v="189535"/>
    <n v="178830"/>
    <n v="23823"/>
    <n v="6814"/>
    <n v="18475"/>
    <n v="20380"/>
    <n v="21435"/>
    <n v="25910"/>
    <n v="9747"/>
    <n v="14670"/>
    <n v="73480"/>
    <n v="81.644444444444446"/>
    <n v="67774"/>
    <n v="75.304444444444442"/>
    <m/>
    <m/>
    <n v="0"/>
    <n v="0"/>
    <m/>
    <m/>
    <m/>
    <m/>
    <m/>
    <m/>
    <m/>
    <m/>
    <n v="0"/>
    <n v="0"/>
    <n v="0"/>
    <n v="0"/>
    <n v="6399.4777777777772"/>
    <n v="6036.304444444444"/>
  </r>
  <r>
    <x v="13"/>
    <s v="Lone Star College System District"/>
    <m/>
    <n v="227182"/>
    <x v="6"/>
    <s v="sem"/>
    <s v="sem"/>
    <n v="480156"/>
    <n v="511892"/>
    <n v="222911"/>
    <n v="236690"/>
    <n v="0"/>
    <n v="0"/>
    <n v="450754"/>
    <n v="480347"/>
    <n v="1153821"/>
    <n v="38460.699999999997"/>
    <n v="1228929"/>
    <n v="40964.300000000003"/>
    <n v="59785"/>
    <n v="48881"/>
    <n v="1153821"/>
    <n v="1228929"/>
    <n v="118699"/>
    <n v="121269"/>
    <n v="135513"/>
    <n v="118951"/>
    <n v="109266"/>
    <n v="119810"/>
    <n v="163531"/>
    <n v="166108"/>
    <n v="527009"/>
    <n v="585.56555555555553"/>
    <n v="526138"/>
    <n v="584.59777777777776"/>
    <m/>
    <m/>
    <n v="0"/>
    <n v="0"/>
    <m/>
    <m/>
    <m/>
    <m/>
    <m/>
    <m/>
    <m/>
    <m/>
    <n v="0"/>
    <n v="0"/>
    <n v="0"/>
    <n v="0"/>
    <n v="39046.265555555554"/>
    <n v="41548.897777777784"/>
  </r>
  <r>
    <x v="13"/>
    <s v="McLennan Community College "/>
    <m/>
    <n v="226578"/>
    <x v="6"/>
    <s v="sem"/>
    <s v="sem"/>
    <n v="96362"/>
    <n v="90152"/>
    <n v="21067"/>
    <n v="19460"/>
    <n v="12768"/>
    <n v="10768"/>
    <n v="95215"/>
    <n v="86885"/>
    <n v="225412"/>
    <n v="7513.7333333333336"/>
    <n v="207265"/>
    <n v="6908.833333333333"/>
    <n v="10107"/>
    <n v="9733"/>
    <n v="225412"/>
    <n v="207265"/>
    <n v="41450"/>
    <n v="49034"/>
    <n v="49581"/>
    <n v="51392"/>
    <n v="55229"/>
    <n v="72977"/>
    <n v="40685"/>
    <n v="44422"/>
    <n v="186945"/>
    <n v="207.71666666666667"/>
    <n v="217825"/>
    <n v="242.02777777777777"/>
    <m/>
    <m/>
    <n v="0"/>
    <n v="0"/>
    <m/>
    <m/>
    <m/>
    <m/>
    <m/>
    <m/>
    <m/>
    <m/>
    <n v="0"/>
    <n v="0"/>
    <n v="0"/>
    <n v="0"/>
    <n v="7721.45"/>
    <n v="7150.8611111111104"/>
  </r>
  <r>
    <x v="13"/>
    <s v="Navarro College "/>
    <m/>
    <n v="227146"/>
    <x v="6"/>
    <s v="sem"/>
    <s v="sem"/>
    <n v="105730"/>
    <n v="101572"/>
    <n v="27451"/>
    <n v="23289"/>
    <n v="10608"/>
    <n v="9080"/>
    <n v="102798"/>
    <n v="99348"/>
    <n v="246587"/>
    <n v="8219.5666666666675"/>
    <n v="233289"/>
    <n v="7776.3"/>
    <n v="24212"/>
    <n v="26597"/>
    <n v="246587"/>
    <n v="233289"/>
    <n v="45820"/>
    <n v="46726"/>
    <n v="43110"/>
    <n v="72024"/>
    <n v="34504"/>
    <n v="64505"/>
    <n v="48073"/>
    <n v="79863"/>
    <n v="171507"/>
    <n v="190.56333333333333"/>
    <n v="263118"/>
    <n v="292.35333333333335"/>
    <m/>
    <m/>
    <n v="0"/>
    <n v="0"/>
    <m/>
    <m/>
    <m/>
    <m/>
    <m/>
    <m/>
    <m/>
    <m/>
    <n v="0"/>
    <n v="0"/>
    <n v="0"/>
    <n v="0"/>
    <n v="8410.130000000001"/>
    <n v="8068.6533333333336"/>
  </r>
  <r>
    <x v="13"/>
    <s v="North Central Texas Community College"/>
    <m/>
    <n v="224110"/>
    <x v="6"/>
    <s v="sem"/>
    <s v="sem"/>
    <n v="78336"/>
    <n v="80726"/>
    <n v="23428"/>
    <n v="24769"/>
    <n v="0"/>
    <n v="0"/>
    <n v="84028"/>
    <n v="87239"/>
    <n v="185792"/>
    <n v="6193.0666666666666"/>
    <n v="192734"/>
    <n v="6424.4666666666662"/>
    <n v="12110"/>
    <n v="12525"/>
    <n v="185792"/>
    <n v="192734"/>
    <n v="26115"/>
    <n v="17217"/>
    <n v="12782"/>
    <n v="21205"/>
    <n v="25929"/>
    <n v="20657"/>
    <n v="27186"/>
    <n v="40881"/>
    <n v="92012"/>
    <n v="102.23555555555555"/>
    <n v="99960"/>
    <n v="111.06666666666666"/>
    <m/>
    <m/>
    <n v="0"/>
    <n v="0"/>
    <m/>
    <m/>
    <m/>
    <m/>
    <m/>
    <m/>
    <m/>
    <m/>
    <n v="0"/>
    <n v="0"/>
    <n v="0"/>
    <n v="0"/>
    <n v="6295.3022222222226"/>
    <n v="6535.5333333333328"/>
  </r>
  <r>
    <x v="13"/>
    <s v="North Lake College  (DCCCD)"/>
    <m/>
    <n v="227191"/>
    <x v="6"/>
    <s v="sem"/>
    <s v="sem"/>
    <n v="84041"/>
    <n v="72889"/>
    <n v="25036"/>
    <n v="35796"/>
    <n v="13256"/>
    <n v="0"/>
    <n v="78328"/>
    <n v="71114"/>
    <n v="200661"/>
    <n v="6688.7"/>
    <n v="179799"/>
    <n v="5993.3"/>
    <n v="11886"/>
    <n v="9722"/>
    <n v="200661"/>
    <n v="179799"/>
    <n v="107704"/>
    <n v="133032"/>
    <n v="69304"/>
    <n v="65133"/>
    <n v="51430"/>
    <n v="55494"/>
    <n v="148816"/>
    <n v="151571"/>
    <n v="377254"/>
    <n v="419.17111111111109"/>
    <n v="405230"/>
    <n v="450.25555555555553"/>
    <m/>
    <m/>
    <n v="0"/>
    <n v="0"/>
    <m/>
    <m/>
    <m/>
    <m/>
    <m/>
    <m/>
    <m/>
    <m/>
    <n v="0"/>
    <n v="0"/>
    <n v="0"/>
    <n v="0"/>
    <n v="7107.8711111111106"/>
    <n v="6443.5555555555557"/>
  </r>
  <r>
    <x v="13"/>
    <s v="Northwest Vista College (ACCD)"/>
    <m/>
    <n v="420398"/>
    <x v="6"/>
    <s v="sem"/>
    <s v="sem"/>
    <n v="129536"/>
    <n v="122533"/>
    <n v="35283"/>
    <n v="42781"/>
    <n v="0"/>
    <n v="0"/>
    <n v="131155"/>
    <n v="121878"/>
    <n v="295974"/>
    <n v="9865.7999999999993"/>
    <n v="287192"/>
    <n v="9573.0666666666675"/>
    <n v="22176"/>
    <n v="24258"/>
    <n v="295974"/>
    <n v="287192"/>
    <n v="2896"/>
    <n v="13092"/>
    <n v="4188"/>
    <n v="19632"/>
    <n v="4568"/>
    <n v="18354"/>
    <n v="23839"/>
    <n v="17577"/>
    <n v="35491"/>
    <n v="39.434444444444445"/>
    <n v="68655"/>
    <n v="76.283333333333331"/>
    <m/>
    <m/>
    <n v="0"/>
    <n v="0"/>
    <m/>
    <m/>
    <m/>
    <m/>
    <m/>
    <m/>
    <m/>
    <m/>
    <n v="0"/>
    <n v="0"/>
    <n v="0"/>
    <n v="0"/>
    <n v="9905.2344444444443"/>
    <n v="9649.35"/>
  </r>
  <r>
    <x v="13"/>
    <s v="Palo Alto College  (ACCD)"/>
    <m/>
    <n v="246354"/>
    <x v="6"/>
    <s v="sem"/>
    <s v="sem"/>
    <n v="73272"/>
    <n v="61712"/>
    <n v="21590"/>
    <n v="29720"/>
    <n v="0"/>
    <n v="0"/>
    <n v="71422"/>
    <n v="56232"/>
    <n v="166284"/>
    <n v="5542.8"/>
    <n v="147664"/>
    <n v="4922.1333333333332"/>
    <n v="19330"/>
    <n v="17812"/>
    <n v="166284"/>
    <n v="147664"/>
    <n v="17725"/>
    <n v="29867"/>
    <n v="46645"/>
    <n v="43861"/>
    <n v="64301"/>
    <n v="38685"/>
    <n v="38603"/>
    <n v="39770"/>
    <n v="167274"/>
    <n v="185.86"/>
    <n v="152183"/>
    <n v="169.09222222222223"/>
    <m/>
    <m/>
    <n v="0"/>
    <n v="0"/>
    <m/>
    <m/>
    <m/>
    <m/>
    <m/>
    <m/>
    <m/>
    <m/>
    <n v="0"/>
    <n v="0"/>
    <n v="0"/>
    <n v="0"/>
    <n v="5728.66"/>
    <n v="5091.2255555555557"/>
  </r>
  <r>
    <x v="13"/>
    <s v="Richland College  (DCCCD)"/>
    <m/>
    <n v="227766"/>
    <x v="6"/>
    <s v="sem"/>
    <s v="sem"/>
    <n v="144325"/>
    <n v="138926"/>
    <n v="54328"/>
    <n v="74330"/>
    <n v="25301"/>
    <n v="0"/>
    <n v="128208"/>
    <n v="121579"/>
    <n v="352162"/>
    <n v="11738.733333333334"/>
    <n v="334835"/>
    <n v="11161.166666666666"/>
    <n v="31134"/>
    <n v="28511"/>
    <n v="352162"/>
    <n v="334835"/>
    <n v="156660"/>
    <n v="145147"/>
    <n v="166508"/>
    <n v="159561"/>
    <n v="162617"/>
    <n v="149706"/>
    <n v="214981"/>
    <n v="187345"/>
    <n v="700766"/>
    <n v="778.62888888888892"/>
    <n v="641759"/>
    <n v="713.06555555555553"/>
    <m/>
    <m/>
    <n v="0"/>
    <n v="0"/>
    <m/>
    <m/>
    <m/>
    <m/>
    <m/>
    <m/>
    <m/>
    <m/>
    <n v="0"/>
    <n v="0"/>
    <n v="0"/>
    <n v="0"/>
    <n v="12517.362222222222"/>
    <n v="11874.232222222221"/>
  </r>
  <r>
    <x v="13"/>
    <s v="San Antonio College (ACCD)"/>
    <m/>
    <n v="227924"/>
    <x v="6"/>
    <s v="sem"/>
    <s v="sem"/>
    <n v="224466"/>
    <n v="194741"/>
    <n v="58381"/>
    <n v="80080"/>
    <n v="0"/>
    <n v="0"/>
    <n v="215717"/>
    <n v="173733"/>
    <n v="498564"/>
    <n v="16618.8"/>
    <n v="448554"/>
    <n v="14951.8"/>
    <n v="21087"/>
    <n v="24660"/>
    <n v="498564"/>
    <n v="448554"/>
    <n v="82479"/>
    <n v="60485"/>
    <n v="70520"/>
    <n v="68378"/>
    <n v="92068"/>
    <n v="61839"/>
    <n v="88207"/>
    <n v="67474"/>
    <n v="333274"/>
    <n v="370.30444444444447"/>
    <n v="258176"/>
    <n v="286.86222222222221"/>
    <m/>
    <m/>
    <n v="0"/>
    <n v="0"/>
    <m/>
    <m/>
    <m/>
    <m/>
    <m/>
    <m/>
    <m/>
    <m/>
    <n v="0"/>
    <n v="0"/>
    <n v="0"/>
    <n v="0"/>
    <n v="16989.104444444445"/>
    <n v="15238.662222222221"/>
  </r>
  <r>
    <x v="13"/>
    <s v="San Jacinto College"/>
    <m/>
    <n v="227979"/>
    <x v="6"/>
    <s v="sem"/>
    <s v="sem"/>
    <n v="250133"/>
    <n v="243654"/>
    <n v="101702"/>
    <n v="97992"/>
    <n v="0"/>
    <n v="0"/>
    <n v="248562"/>
    <n v="239886"/>
    <n v="600397"/>
    <n v="20013.233333333334"/>
    <n v="581532"/>
    <n v="19384.400000000001"/>
    <n v="29013"/>
    <n v="27542"/>
    <n v="600397"/>
    <n v="581532"/>
    <n v="105120"/>
    <n v="114638"/>
    <n v="67954"/>
    <n v="87047"/>
    <n v="104067"/>
    <n v="107091"/>
    <n v="124522"/>
    <n v="125221"/>
    <n v="401663"/>
    <n v="446.29222222222222"/>
    <n v="433997"/>
    <n v="482.2188888888889"/>
    <m/>
    <m/>
    <n v="0"/>
    <n v="0"/>
    <m/>
    <m/>
    <m/>
    <m/>
    <m/>
    <m/>
    <m/>
    <m/>
    <n v="0"/>
    <n v="0"/>
    <n v="0"/>
    <n v="0"/>
    <n v="20459.525555555556"/>
    <n v="19866.61888888889"/>
  </r>
  <r>
    <x v="13"/>
    <s v="South Plains College "/>
    <m/>
    <n v="228158"/>
    <x v="6"/>
    <s v="sem"/>
    <s v="sem"/>
    <n v="96525"/>
    <n v="92667"/>
    <n v="14831"/>
    <n v="13135"/>
    <n v="7200"/>
    <n v="6727"/>
    <n v="100587"/>
    <n v="93993"/>
    <n v="219143"/>
    <n v="7304.7666666666664"/>
    <n v="206522"/>
    <n v="6884.0666666666666"/>
    <n v="20907"/>
    <n v="20797"/>
    <n v="219143"/>
    <n v="206522"/>
    <n v="69321"/>
    <n v="46052"/>
    <n v="67577"/>
    <n v="41812"/>
    <n v="57993"/>
    <n v="36285"/>
    <n v="64771"/>
    <n v="47490"/>
    <n v="259662"/>
    <n v="288.51333333333332"/>
    <n v="171639"/>
    <n v="190.71"/>
    <m/>
    <m/>
    <n v="0"/>
    <n v="0"/>
    <m/>
    <m/>
    <m/>
    <m/>
    <m/>
    <m/>
    <m/>
    <m/>
    <n v="0"/>
    <n v="0"/>
    <n v="0"/>
    <n v="0"/>
    <n v="7593.28"/>
    <n v="7074.7766666666666"/>
  </r>
  <r>
    <x v="13"/>
    <s v="St. Philip's College  (ACCD)"/>
    <m/>
    <n v="227854"/>
    <x v="6"/>
    <s v="sem"/>
    <s v="sem"/>
    <n v="92273"/>
    <n v="79277"/>
    <n v="26904"/>
    <n v="32230"/>
    <n v="0"/>
    <n v="0"/>
    <n v="79404"/>
    <n v="67797"/>
    <n v="198581"/>
    <n v="6619.3666666666668"/>
    <n v="179304"/>
    <n v="5976.8"/>
    <n v="16473"/>
    <n v="17143"/>
    <n v="198581"/>
    <n v="179304"/>
    <n v="27166"/>
    <n v="27776"/>
    <n v="28144"/>
    <n v="23397"/>
    <n v="32469"/>
    <n v="24089"/>
    <n v="25235"/>
    <n v="27828"/>
    <n v="113014"/>
    <n v="125.57111111111111"/>
    <n v="103090"/>
    <n v="114.54444444444445"/>
    <m/>
    <m/>
    <n v="0"/>
    <n v="0"/>
    <m/>
    <m/>
    <m/>
    <m/>
    <m/>
    <m/>
    <m/>
    <m/>
    <n v="0"/>
    <n v="0"/>
    <n v="0"/>
    <n v="0"/>
    <n v="6744.9377777777781"/>
    <n v="6091.3444444444449"/>
  </r>
  <r>
    <x v="13"/>
    <s v="Tarrant County College"/>
    <m/>
    <n v="228547"/>
    <x v="6"/>
    <s v="sem"/>
    <s v="sem"/>
    <n v="413090"/>
    <n v="412815"/>
    <n v="182747"/>
    <n v="184871"/>
    <n v="0"/>
    <n v="0"/>
    <n v="376822"/>
    <n v="375569"/>
    <n v="972659"/>
    <n v="32421.966666666667"/>
    <n v="973255"/>
    <n v="32441.833333333332"/>
    <n v="38347"/>
    <n v="43245"/>
    <n v="972659"/>
    <n v="973255"/>
    <n v="183087"/>
    <n v="183936"/>
    <n v="201121"/>
    <n v="212788"/>
    <n v="216806"/>
    <n v="201120"/>
    <n v="269126"/>
    <n v="203654"/>
    <n v="870140"/>
    <n v="966.82222222222219"/>
    <n v="801498"/>
    <n v="890.55333333333328"/>
    <m/>
    <m/>
    <n v="0"/>
    <n v="0"/>
    <m/>
    <m/>
    <m/>
    <m/>
    <m/>
    <m/>
    <m/>
    <m/>
    <n v="0"/>
    <n v="0"/>
    <n v="0"/>
    <n v="0"/>
    <n v="33388.788888888892"/>
    <n v="33332.386666666665"/>
  </r>
  <r>
    <x v="13"/>
    <s v="Texas Southmost College "/>
    <s v="Met criteria for Two-Year 2 in 2012-13."/>
    <n v="229072"/>
    <x v="6"/>
    <s v="sem"/>
    <s v="sem"/>
    <n v="84962"/>
    <n v="83414"/>
    <n v="15022"/>
    <n v="3474"/>
    <n v="9845"/>
    <n v="2468"/>
    <n v="83537"/>
    <n v="47676"/>
    <n v="193366"/>
    <n v="6445.5333333333338"/>
    <n v="137032"/>
    <n v="4567.7333333333336"/>
    <n v="9151"/>
    <n v="11532"/>
    <n v="193366"/>
    <n v="137032"/>
    <n v="43101"/>
    <n v="23955"/>
    <n v="18091"/>
    <n v="19478"/>
    <n v="26558"/>
    <n v="24460"/>
    <n v="19882"/>
    <n v="34328"/>
    <n v="107632"/>
    <n v="119.5911111111111"/>
    <n v="102221"/>
    <n v="113.57888888888888"/>
    <m/>
    <m/>
    <n v="0"/>
    <n v="0"/>
    <m/>
    <m/>
    <m/>
    <m/>
    <m/>
    <m/>
    <m/>
    <m/>
    <n v="0"/>
    <n v="0"/>
    <n v="0"/>
    <n v="0"/>
    <n v="6565.1244444444446"/>
    <n v="4681.3122222222228"/>
  </r>
  <r>
    <x v="13"/>
    <s v="Texas State Technical College-Waco"/>
    <s v="Met criteria for Two-Year 2 in 2012-13."/>
    <n v="228680"/>
    <x v="6"/>
    <s v="sem"/>
    <s v="sem"/>
    <n v="57861"/>
    <n v="51230"/>
    <n v="39433"/>
    <n v="33936"/>
    <n v="0"/>
    <m/>
    <n v="55502"/>
    <n v="49739"/>
    <n v="152796"/>
    <n v="5093.2"/>
    <n v="134905"/>
    <n v="4496.833333333333"/>
    <n v="4369"/>
    <n v="4021"/>
    <n v="152796"/>
    <n v="134905"/>
    <n v="3404"/>
    <n v="868"/>
    <n v="3160"/>
    <n v="0"/>
    <n v="1120"/>
    <n v="0"/>
    <n v="1439"/>
    <n v="0"/>
    <n v="9123"/>
    <n v="10.136666666666667"/>
    <n v="868"/>
    <n v="0.96444444444444444"/>
    <m/>
    <m/>
    <n v="0"/>
    <n v="0"/>
    <m/>
    <m/>
    <m/>
    <m/>
    <m/>
    <m/>
    <m/>
    <m/>
    <n v="0"/>
    <n v="0"/>
    <n v="0"/>
    <n v="0"/>
    <n v="5103.3366666666661"/>
    <n v="4497.7977777777778"/>
  </r>
  <r>
    <x v="13"/>
    <s v="Trinity Valley Community College"/>
    <m/>
    <n v="225308"/>
    <x v="6"/>
    <s v="sem"/>
    <s v="sem"/>
    <n v="71262"/>
    <n v="64060"/>
    <n v="16884"/>
    <n v="13908"/>
    <n v="10374"/>
    <n v="11849"/>
    <n v="69310"/>
    <n v="66918"/>
    <n v="167830"/>
    <n v="5594.333333333333"/>
    <n v="156735"/>
    <n v="5224.5"/>
    <n v="14924"/>
    <n v="15539"/>
    <n v="167830"/>
    <n v="156735"/>
    <n v="41616"/>
    <n v="57548"/>
    <n v="46944"/>
    <n v="62064"/>
    <n v="35156"/>
    <n v="55031"/>
    <n v="89595"/>
    <n v="73990"/>
    <n v="213311"/>
    <n v="237.01222222222222"/>
    <n v="248633"/>
    <n v="276.25888888888886"/>
    <m/>
    <m/>
    <n v="0"/>
    <n v="0"/>
    <m/>
    <m/>
    <m/>
    <m/>
    <m/>
    <m/>
    <m/>
    <m/>
    <n v="0"/>
    <n v="0"/>
    <n v="0"/>
    <n v="0"/>
    <n v="5831.3455555555556"/>
    <n v="5500.7588888888886"/>
  </r>
  <r>
    <x v="13"/>
    <s v="Tyler Junior College "/>
    <m/>
    <n v="229355"/>
    <x v="6"/>
    <s v="sem"/>
    <s v="sem"/>
    <n v="115038"/>
    <n v="102619"/>
    <n v="19629"/>
    <n v="25907"/>
    <n v="8570"/>
    <n v="7572"/>
    <n v="116545"/>
    <n v="103382"/>
    <n v="259782"/>
    <n v="8659.4"/>
    <n v="239480"/>
    <n v="7982.666666666667"/>
    <n v="15229"/>
    <n v="8381"/>
    <n v="259782"/>
    <n v="239480"/>
    <n v="69876"/>
    <n v="57762"/>
    <n v="71986"/>
    <n v="66862"/>
    <n v="68230"/>
    <n v="69153"/>
    <n v="64346"/>
    <n v="78968"/>
    <n v="274438"/>
    <n v="304.93111111111114"/>
    <n v="272745"/>
    <n v="303.05"/>
    <m/>
    <m/>
    <n v="0"/>
    <n v="0"/>
    <m/>
    <m/>
    <m/>
    <m/>
    <m/>
    <m/>
    <m/>
    <m/>
    <n v="0"/>
    <n v="0"/>
    <n v="0"/>
    <n v="0"/>
    <n v="8964.3311111111107"/>
    <n v="8285.7166666666672"/>
  </r>
  <r>
    <x v="13"/>
    <s v="Alvin Community College "/>
    <m/>
    <n v="222567"/>
    <x v="7"/>
    <s v="sem"/>
    <s v="sem"/>
    <n v="44996"/>
    <n v="42179"/>
    <n v="18141"/>
    <n v="16911"/>
    <n v="0"/>
    <n v="0"/>
    <n v="43441"/>
    <n v="42695"/>
    <n v="106578"/>
    <n v="3552.6"/>
    <n v="101785"/>
    <n v="3392.8333333333335"/>
    <n v="12255"/>
    <n v="11508"/>
    <n v="106578"/>
    <n v="101785"/>
    <n v="24522"/>
    <n v="19831"/>
    <n v="21176"/>
    <n v="25324"/>
    <n v="23235"/>
    <n v="26131"/>
    <n v="27749"/>
    <n v="23439"/>
    <n v="96682"/>
    <n v="107.42444444444445"/>
    <n v="94725"/>
    <n v="105.25"/>
    <m/>
    <m/>
    <n v="0"/>
    <n v="0"/>
    <m/>
    <m/>
    <m/>
    <m/>
    <m/>
    <m/>
    <m/>
    <m/>
    <n v="0"/>
    <n v="0"/>
    <n v="0"/>
    <n v="0"/>
    <n v="3660.0244444444443"/>
    <n v="3498.0833333333335"/>
  </r>
  <r>
    <x v="13"/>
    <s v="Angelina College "/>
    <m/>
    <n v="222822"/>
    <x v="7"/>
    <s v="sem"/>
    <s v="sem"/>
    <n v="49314"/>
    <n v="45965"/>
    <n v="9073"/>
    <n v="8750"/>
    <n v="3779"/>
    <n v="4132"/>
    <n v="51730"/>
    <n v="47271"/>
    <n v="113896"/>
    <n v="3796.5333333333333"/>
    <n v="106118"/>
    <n v="3537.2666666666669"/>
    <n v="13855"/>
    <n v="12958"/>
    <n v="113896"/>
    <n v="106118"/>
    <n v="83343"/>
    <n v="70202"/>
    <n v="30693"/>
    <n v="34791"/>
    <n v="74856"/>
    <n v="75173"/>
    <n v="29087"/>
    <n v="31650"/>
    <n v="217979"/>
    <n v="242.19888888888889"/>
    <n v="211816"/>
    <n v="235.35111111111112"/>
    <m/>
    <m/>
    <n v="0"/>
    <n v="0"/>
    <m/>
    <m/>
    <m/>
    <m/>
    <m/>
    <m/>
    <m/>
    <m/>
    <n v="0"/>
    <n v="0"/>
    <n v="0"/>
    <n v="0"/>
    <n v="4038.7322222222224"/>
    <n v="3772.617777777778"/>
  </r>
  <r>
    <x v="13"/>
    <s v="Cedar Valley College  (DCCCD)"/>
    <m/>
    <n v="223773"/>
    <x v="7"/>
    <s v="sem"/>
    <s v="sem"/>
    <n v="45892"/>
    <n v="40766"/>
    <n v="16092"/>
    <n v="21245"/>
    <n v="7338"/>
    <n v="0"/>
    <n v="42646"/>
    <n v="39274"/>
    <n v="111968"/>
    <n v="3732.2666666666669"/>
    <n v="101285"/>
    <n v="3376.1666666666665"/>
    <n v="13130"/>
    <n v="10858"/>
    <n v="111968"/>
    <n v="101285"/>
    <n v="48657"/>
    <n v="40669"/>
    <n v="67531"/>
    <n v="56103"/>
    <n v="37573"/>
    <n v="57375"/>
    <n v="52978"/>
    <n v="47897"/>
    <n v="206739"/>
    <n v="229.71"/>
    <n v="202044"/>
    <n v="224.49333333333334"/>
    <m/>
    <m/>
    <n v="0"/>
    <n v="0"/>
    <m/>
    <m/>
    <m/>
    <m/>
    <m/>
    <m/>
    <m/>
    <m/>
    <n v="0"/>
    <n v="0"/>
    <n v="0"/>
    <n v="0"/>
    <n v="3961.9766666666669"/>
    <n v="3600.66"/>
  </r>
  <r>
    <x v="13"/>
    <s v="Cisco Junior College"/>
    <m/>
    <n v="223898"/>
    <x v="7"/>
    <s v="sem"/>
    <s v="sem"/>
    <n v="42604"/>
    <n v="38904"/>
    <n v="7171"/>
    <n v="6020"/>
    <n v="2693"/>
    <n v="2242"/>
    <n v="42100"/>
    <n v="36793"/>
    <n v="94568"/>
    <n v="3152.2666666666669"/>
    <n v="83959"/>
    <n v="2798.6333333333332"/>
    <n v="7241"/>
    <n v="6498"/>
    <n v="94568"/>
    <n v="83959"/>
    <n v="1900"/>
    <n v="1730"/>
    <n v="1850"/>
    <n v="9240"/>
    <n v="608"/>
    <n v="3346"/>
    <n v="1828"/>
    <n v="8064"/>
    <n v="6186"/>
    <n v="6.8733333333333331"/>
    <n v="22380"/>
    <n v="24.866666666666667"/>
    <m/>
    <m/>
    <n v="0"/>
    <n v="0"/>
    <m/>
    <m/>
    <m/>
    <m/>
    <m/>
    <m/>
    <m/>
    <m/>
    <n v="0"/>
    <n v="0"/>
    <n v="0"/>
    <n v="0"/>
    <n v="3159.1400000000003"/>
    <n v="2823.5"/>
  </r>
  <r>
    <x v="13"/>
    <s v="Coastal Bend College"/>
    <m/>
    <n v="223320"/>
    <x v="7"/>
    <s v="sem"/>
    <s v="sem"/>
    <n v="34519"/>
    <n v="30336"/>
    <n v="9754"/>
    <n v="7661"/>
    <n v="3006"/>
    <n v="2389"/>
    <n v="32337"/>
    <n v="30488"/>
    <n v="79616"/>
    <n v="2653.8666666666668"/>
    <n v="70874"/>
    <n v="2362.4666666666667"/>
    <n v="14910"/>
    <n v="15334"/>
    <n v="79616"/>
    <n v="70874"/>
    <n v="39911"/>
    <n v="65541"/>
    <n v="67854"/>
    <n v="91375"/>
    <n v="82344"/>
    <n v="86943"/>
    <n v="65765"/>
    <n v="52579"/>
    <n v="255874"/>
    <n v="284.30444444444447"/>
    <n v="296438"/>
    <n v="329.37555555555554"/>
    <m/>
    <m/>
    <n v="0"/>
    <n v="0"/>
    <m/>
    <m/>
    <m/>
    <m/>
    <m/>
    <m/>
    <m/>
    <m/>
    <n v="0"/>
    <n v="0"/>
    <n v="0"/>
    <n v="0"/>
    <n v="2938.1711111111113"/>
    <n v="2691.8422222222221"/>
  </r>
  <r>
    <x v="13"/>
    <s v="College of the Mainland"/>
    <m/>
    <n v="226408"/>
    <x v="7"/>
    <s v="sem"/>
    <s v="sem"/>
    <n v="36112"/>
    <n v="34440"/>
    <n v="9727"/>
    <n v="9005"/>
    <n v="7532"/>
    <n v="6715"/>
    <n v="33935"/>
    <n v="32222"/>
    <n v="87306"/>
    <n v="2910.2"/>
    <n v="82382"/>
    <n v="2746.0666666666666"/>
    <n v="8066"/>
    <n v="9708"/>
    <n v="87306"/>
    <n v="82382"/>
    <n v="53328"/>
    <n v="46303"/>
    <n v="36974"/>
    <n v="29761"/>
    <n v="52758"/>
    <n v="42814"/>
    <n v="48765"/>
    <n v="38606"/>
    <n v="191825"/>
    <n v="213.13888888888889"/>
    <n v="157484"/>
    <n v="174.98222222222222"/>
    <m/>
    <m/>
    <n v="0"/>
    <n v="0"/>
    <m/>
    <m/>
    <m/>
    <m/>
    <m/>
    <m/>
    <m/>
    <m/>
    <n v="0"/>
    <n v="0"/>
    <n v="0"/>
    <n v="0"/>
    <n v="3123.3388888888885"/>
    <n v="2921.048888888889"/>
  </r>
  <r>
    <x v="13"/>
    <s v="Grayson County College "/>
    <m/>
    <n v="225070"/>
    <x v="7"/>
    <s v="sem"/>
    <s v="sem"/>
    <n v="51354"/>
    <n v="47270"/>
    <n v="10067"/>
    <n v="9020"/>
    <n v="3889"/>
    <n v="3864"/>
    <n v="51032"/>
    <n v="45327"/>
    <n v="116342"/>
    <n v="3878.0666666666666"/>
    <n v="105481"/>
    <n v="3516.0333333333333"/>
    <n v="5826"/>
    <n v="6124"/>
    <n v="116342"/>
    <n v="105481"/>
    <n v="14465"/>
    <n v="30536"/>
    <n v="22040"/>
    <n v="19752"/>
    <n v="23955"/>
    <n v="27717"/>
    <n v="17833"/>
    <n v="13882"/>
    <n v="78293"/>
    <n v="86.992222222222225"/>
    <n v="91887"/>
    <n v="102.09666666666666"/>
    <m/>
    <m/>
    <n v="0"/>
    <n v="0"/>
    <m/>
    <m/>
    <m/>
    <m/>
    <m/>
    <m/>
    <m/>
    <m/>
    <n v="0"/>
    <n v="0"/>
    <n v="0"/>
    <n v="0"/>
    <n v="3965.0588888888888"/>
    <n v="3618.13"/>
  </r>
  <r>
    <x v="13"/>
    <s v="Hill College"/>
    <m/>
    <n v="225371"/>
    <x v="7"/>
    <s v="sem"/>
    <s v="sem"/>
    <n v="41045"/>
    <n v="40589"/>
    <n v="11526"/>
    <n v="11042"/>
    <n v="2760"/>
    <n v="2570"/>
    <n v="39309"/>
    <n v="39595"/>
    <n v="94640"/>
    <n v="3154.6666666666665"/>
    <n v="93796"/>
    <n v="3126.5333333333333"/>
    <n v="9522"/>
    <n v="9460"/>
    <n v="94640"/>
    <n v="93796"/>
    <n v="15980"/>
    <n v="22341"/>
    <n v="15366"/>
    <n v="16733"/>
    <n v="8992"/>
    <n v="15767"/>
    <n v="12814"/>
    <n v="19476"/>
    <n v="53152"/>
    <n v="59.05777777777778"/>
    <n v="74317"/>
    <n v="82.574444444444438"/>
    <m/>
    <m/>
    <n v="0"/>
    <n v="0"/>
    <m/>
    <m/>
    <m/>
    <m/>
    <m/>
    <m/>
    <m/>
    <m/>
    <n v="0"/>
    <n v="0"/>
    <n v="0"/>
    <n v="0"/>
    <n v="3213.7244444444441"/>
    <n v="3209.1077777777778"/>
  </r>
  <r>
    <x v="13"/>
    <s v="Howard College (HCJCD)"/>
    <m/>
    <n v="225520"/>
    <x v="7"/>
    <s v="sem"/>
    <s v="sem"/>
    <n v="39148"/>
    <n v="36024"/>
    <n v="7114"/>
    <n v="6073"/>
    <n v="3086"/>
    <n v="2414"/>
    <n v="37689"/>
    <n v="36339"/>
    <n v="87037"/>
    <n v="2901.2333333333331"/>
    <n v="80850"/>
    <n v="2695"/>
    <n v="13864"/>
    <n v="15363"/>
    <n v="87037"/>
    <n v="80850"/>
    <n v="220723"/>
    <n v="152001"/>
    <n v="215667"/>
    <n v="158222"/>
    <n v="199639"/>
    <n v="172275"/>
    <n v="135182"/>
    <n v="156967"/>
    <n v="771211"/>
    <n v="856.90111111111116"/>
    <n v="639465"/>
    <n v="710.51666666666665"/>
    <m/>
    <m/>
    <n v="0"/>
    <n v="0"/>
    <m/>
    <m/>
    <m/>
    <m/>
    <m/>
    <m/>
    <m/>
    <m/>
    <n v="0"/>
    <n v="0"/>
    <n v="0"/>
    <n v="0"/>
    <n v="3758.1344444444444"/>
    <n v="3405.5166666666664"/>
  </r>
  <r>
    <x v="13"/>
    <s v="Lamar Institute of Technology"/>
    <m/>
    <n v="441760"/>
    <x v="7"/>
    <s v="sem"/>
    <s v="sem"/>
    <n v="29152"/>
    <n v="26870"/>
    <n v="2561"/>
    <n v="2273"/>
    <n v="1683"/>
    <n v="1662"/>
    <n v="30984"/>
    <n v="28553"/>
    <n v="64380"/>
    <n v="2146"/>
    <n v="59358"/>
    <n v="1978.6"/>
    <n v="1310"/>
    <n v="1058"/>
    <n v="64380"/>
    <n v="59358"/>
    <n v="27288"/>
    <n v="23149"/>
    <n v="27133"/>
    <n v="26021"/>
    <n v="33816"/>
    <n v="29386"/>
    <n v="35254"/>
    <n v="42880"/>
    <n v="123491"/>
    <n v="137.21222222222221"/>
    <n v="121436"/>
    <n v="134.92888888888888"/>
    <m/>
    <m/>
    <n v="0"/>
    <n v="0"/>
    <m/>
    <m/>
    <m/>
    <m/>
    <m/>
    <m/>
    <m/>
    <m/>
    <n v="0"/>
    <n v="0"/>
    <n v="0"/>
    <n v="0"/>
    <n v="2283.2122222222224"/>
    <n v="2113.528888888889"/>
  </r>
  <r>
    <x v="13"/>
    <s v="Lamar State College-Port Arthur"/>
    <s v="Reclassified: Met the criteria for Two-Year 2 in 2010-11, 2011-12, and 2012-13."/>
    <n v="226116"/>
    <x v="7"/>
    <s v="sem"/>
    <s v="sem"/>
    <n v="24710"/>
    <n v="24987"/>
    <n v="8495"/>
    <n v="8681"/>
    <n v="3143"/>
    <n v="4534"/>
    <n v="22917"/>
    <n v="23547"/>
    <n v="59265"/>
    <n v="1975.5"/>
    <n v="61749"/>
    <n v="2058.3000000000002"/>
    <n v="2050"/>
    <n v="2051"/>
    <n v="59265"/>
    <n v="61749"/>
    <n v="79181"/>
    <n v="85340"/>
    <n v="68240"/>
    <n v="57968"/>
    <n v="53712"/>
    <n v="85216"/>
    <n v="97248"/>
    <n v="81824"/>
    <n v="298381"/>
    <n v="331.53444444444443"/>
    <n v="310348"/>
    <n v="344.83111111111111"/>
    <m/>
    <m/>
    <n v="0"/>
    <n v="0"/>
    <m/>
    <m/>
    <m/>
    <m/>
    <m/>
    <m/>
    <m/>
    <m/>
    <n v="0"/>
    <n v="0"/>
    <n v="0"/>
    <n v="0"/>
    <n v="2307.0344444444445"/>
    <n v="2403.1311111111113"/>
  </r>
  <r>
    <x v="13"/>
    <s v="Lee College "/>
    <m/>
    <n v="226204"/>
    <x v="7"/>
    <s v="sem"/>
    <s v="sem"/>
    <n v="59665"/>
    <n v="54138"/>
    <n v="23896"/>
    <n v="20018"/>
    <n v="3482"/>
    <n v="2729"/>
    <n v="53085"/>
    <n v="50018"/>
    <n v="140128"/>
    <n v="4670.9333333333334"/>
    <n v="126903"/>
    <n v="4230.1000000000004"/>
    <n v="6801"/>
    <n v="9643"/>
    <n v="140128"/>
    <n v="126903"/>
    <n v="37158"/>
    <n v="20557"/>
    <n v="28407"/>
    <n v="21350"/>
    <n v="23643"/>
    <n v="17850"/>
    <n v="25718"/>
    <n v="26603"/>
    <n v="114926"/>
    <n v="127.69555555555556"/>
    <n v="86360"/>
    <n v="95.955555555555549"/>
    <m/>
    <m/>
    <n v="0"/>
    <n v="0"/>
    <m/>
    <m/>
    <m/>
    <m/>
    <m/>
    <m/>
    <m/>
    <m/>
    <n v="0"/>
    <n v="0"/>
    <n v="0"/>
    <n v="0"/>
    <n v="4798.6288888888894"/>
    <n v="4326.0555555555557"/>
  </r>
  <r>
    <x v="13"/>
    <s v="Mountain View College  (DCCCD)"/>
    <m/>
    <n v="226930"/>
    <x v="7"/>
    <s v="sem"/>
    <s v="sem"/>
    <n v="59502"/>
    <n v="58036"/>
    <n v="18861"/>
    <n v="26299"/>
    <n v="8092"/>
    <n v="0"/>
    <n v="60037"/>
    <n v="56870"/>
    <n v="146492"/>
    <n v="4883.0666666666666"/>
    <n v="141205"/>
    <n v="4706.833333333333"/>
    <n v="7832"/>
    <n v="9700"/>
    <n v="146492"/>
    <n v="141205"/>
    <n v="25427"/>
    <n v="21474"/>
    <n v="26246"/>
    <n v="34906"/>
    <n v="35671"/>
    <n v="26101"/>
    <n v="34257"/>
    <n v="32599"/>
    <n v="121601"/>
    <n v="135.11222222222221"/>
    <n v="115080"/>
    <n v="127.86666666666666"/>
    <m/>
    <m/>
    <n v="0"/>
    <n v="0"/>
    <m/>
    <m/>
    <m/>
    <m/>
    <m/>
    <m/>
    <m/>
    <m/>
    <n v="0"/>
    <n v="0"/>
    <n v="0"/>
    <n v="0"/>
    <n v="5018.1788888888887"/>
    <n v="4834.7"/>
  </r>
  <r>
    <x v="13"/>
    <s v="Northeast Texas Community College "/>
    <m/>
    <n v="227225"/>
    <x v="7"/>
    <s v="sem"/>
    <s v="sem"/>
    <n v="30175"/>
    <n v="31558"/>
    <n v="6783"/>
    <n v="5728"/>
    <n v="0"/>
    <n v="0"/>
    <n v="35644"/>
    <n v="33767"/>
    <n v="72602"/>
    <n v="2420.0666666666666"/>
    <n v="71053"/>
    <n v="2368.4333333333334"/>
    <n v="5886"/>
    <n v="5934"/>
    <n v="72602"/>
    <n v="71053"/>
    <n v="8942"/>
    <n v="7603"/>
    <n v="7869"/>
    <n v="11226"/>
    <n v="7228"/>
    <n v="6775"/>
    <n v="8308"/>
    <n v="3661"/>
    <n v="32347"/>
    <n v="35.941111111111113"/>
    <n v="29265"/>
    <n v="32.516666666666666"/>
    <m/>
    <m/>
    <n v="0"/>
    <n v="0"/>
    <m/>
    <m/>
    <m/>
    <m/>
    <m/>
    <m/>
    <m/>
    <m/>
    <n v="0"/>
    <n v="0"/>
    <n v="0"/>
    <n v="0"/>
    <n v="2456.0077777777778"/>
    <n v="2400.9500000000003"/>
  </r>
  <r>
    <x v="13"/>
    <s v="Odessa College "/>
    <m/>
    <n v="227304"/>
    <x v="7"/>
    <s v="sem"/>
    <s v="sem"/>
    <n v="43419"/>
    <n v="39644"/>
    <n v="7383"/>
    <n v="7411"/>
    <n v="4854"/>
    <n v="5157"/>
    <n v="43112"/>
    <n v="41428"/>
    <n v="98768"/>
    <n v="3292.2666666666669"/>
    <n v="93640"/>
    <n v="3121.3333333333335"/>
    <n v="10092"/>
    <n v="10932"/>
    <n v="98768"/>
    <n v="93640"/>
    <n v="66361"/>
    <n v="87062"/>
    <n v="87615"/>
    <n v="69155"/>
    <n v="80000"/>
    <n v="76886"/>
    <n v="88040"/>
    <n v="75192"/>
    <n v="322016"/>
    <n v="357.79555555555555"/>
    <n v="308295"/>
    <n v="342.55"/>
    <m/>
    <m/>
    <n v="0"/>
    <n v="0"/>
    <m/>
    <m/>
    <m/>
    <m/>
    <m/>
    <m/>
    <m/>
    <m/>
    <n v="0"/>
    <n v="0"/>
    <n v="0"/>
    <n v="0"/>
    <n v="3650.0622222222223"/>
    <n v="3463.8833333333337"/>
  </r>
  <r>
    <x v="13"/>
    <s v="Paris Junior College"/>
    <m/>
    <n v="227401"/>
    <x v="7"/>
    <s v="sem"/>
    <s v="sem"/>
    <n v="55180"/>
    <n v="54685"/>
    <n v="19534"/>
    <n v="9909"/>
    <n v="0"/>
    <n v="4176"/>
    <n v="57170"/>
    <n v="52700"/>
    <n v="131884"/>
    <n v="4396.1333333333332"/>
    <n v="121470"/>
    <n v="4049"/>
    <n v="12465"/>
    <n v="12380"/>
    <n v="131884"/>
    <n v="121470"/>
    <n v="12188"/>
    <n v="20160"/>
    <n v="14789"/>
    <n v="28023"/>
    <n v="18928"/>
    <n v="12471"/>
    <n v="37412"/>
    <n v="18601"/>
    <n v="83317"/>
    <n v="92.574444444444438"/>
    <n v="79255"/>
    <n v="88.061111111111117"/>
    <m/>
    <m/>
    <n v="0"/>
    <n v="0"/>
    <m/>
    <m/>
    <m/>
    <m/>
    <m/>
    <m/>
    <m/>
    <m/>
    <n v="0"/>
    <n v="0"/>
    <n v="0"/>
    <n v="0"/>
    <n v="4488.7077777777777"/>
    <n v="4137.0611111111111"/>
  </r>
  <r>
    <x v="13"/>
    <s v="Southwest Texas Junior College "/>
    <m/>
    <n v="228316"/>
    <x v="7"/>
    <s v="sem"/>
    <s v="sem"/>
    <n v="50408"/>
    <n v="44321"/>
    <n v="8129"/>
    <n v="6943"/>
    <n v="4232"/>
    <n v="3398"/>
    <n v="48836"/>
    <n v="49884"/>
    <n v="111605"/>
    <n v="3720.1666666666665"/>
    <n v="104546"/>
    <n v="3484.8666666666668"/>
    <n v="14657"/>
    <n v="15590"/>
    <n v="111605"/>
    <n v="104546"/>
    <n v="64752"/>
    <n v="23806"/>
    <n v="14625"/>
    <n v="46101"/>
    <n v="41572"/>
    <n v="33059"/>
    <n v="17092"/>
    <n v="31338"/>
    <n v="138041"/>
    <n v="153.37888888888889"/>
    <n v="134304"/>
    <n v="149.22666666666666"/>
    <m/>
    <m/>
    <n v="0"/>
    <n v="0"/>
    <m/>
    <m/>
    <m/>
    <m/>
    <m/>
    <m/>
    <m/>
    <m/>
    <n v="0"/>
    <n v="0"/>
    <n v="0"/>
    <n v="0"/>
    <n v="3873.5455555555554"/>
    <n v="3634.0933333333332"/>
  </r>
  <r>
    <x v="13"/>
    <s v="Temple College "/>
    <m/>
    <n v="228608"/>
    <x v="7"/>
    <s v="sem"/>
    <s v="sem"/>
    <n v="51775"/>
    <n v="49675"/>
    <n v="14930"/>
    <n v="13686"/>
    <n v="0"/>
    <n v="0"/>
    <n v="54852"/>
    <n v="50271"/>
    <n v="121557"/>
    <n v="4051.9"/>
    <n v="113632"/>
    <n v="3787.7333333333331"/>
    <n v="12763"/>
    <n v="11775"/>
    <n v="121557"/>
    <n v="113632"/>
    <n v="24479"/>
    <n v="19647"/>
    <n v="31314"/>
    <n v="33426"/>
    <n v="25699"/>
    <n v="38309"/>
    <n v="40675"/>
    <n v="32318"/>
    <n v="122167"/>
    <n v="135.74111111111111"/>
    <n v="123700"/>
    <n v="137.44444444444446"/>
    <m/>
    <m/>
    <n v="0"/>
    <n v="0"/>
    <m/>
    <m/>
    <m/>
    <m/>
    <m/>
    <m/>
    <m/>
    <m/>
    <n v="0"/>
    <n v="0"/>
    <n v="0"/>
    <n v="0"/>
    <n v="4187.6411111111111"/>
    <n v="3925.1777777777775"/>
  </r>
  <r>
    <x v="13"/>
    <s v="Texarkana College "/>
    <m/>
    <n v="228699"/>
    <x v="7"/>
    <s v="sem"/>
    <s v="sem"/>
    <n v="34706"/>
    <n v="34811"/>
    <n v="10735"/>
    <n v="8389"/>
    <n v="2038"/>
    <n v="0"/>
    <n v="40008"/>
    <n v="34348"/>
    <n v="87487"/>
    <n v="2916.2333333333331"/>
    <n v="77548"/>
    <n v="2584.9333333333334"/>
    <n v="11333"/>
    <n v="12273"/>
    <n v="87487"/>
    <n v="77548"/>
    <n v="98110"/>
    <n v="97504"/>
    <n v="98478"/>
    <n v="90332"/>
    <n v="72392"/>
    <n v="58958"/>
    <n v="105394"/>
    <n v="68737"/>
    <n v="374374"/>
    <n v="415.9711111111111"/>
    <n v="315531"/>
    <n v="350.59"/>
    <m/>
    <m/>
    <n v="0"/>
    <n v="0"/>
    <m/>
    <m/>
    <m/>
    <m/>
    <m/>
    <m/>
    <m/>
    <m/>
    <n v="0"/>
    <n v="0"/>
    <n v="0"/>
    <n v="0"/>
    <n v="3332.2044444444441"/>
    <n v="2935.5233333333335"/>
  </r>
  <r>
    <x v="13"/>
    <s v="Texas State Technical College-Harlingen "/>
    <m/>
    <n v="229319"/>
    <x v="7"/>
    <s v="sem"/>
    <s v="sem"/>
    <n v="46121"/>
    <n v="42120"/>
    <n v="32274"/>
    <n v="28125"/>
    <n v="0"/>
    <n v="0"/>
    <n v="51996"/>
    <n v="50505"/>
    <n v="130391"/>
    <n v="4346.3666666666668"/>
    <n v="120750"/>
    <n v="4025"/>
    <n v="12569"/>
    <n v="11440"/>
    <n v="130391"/>
    <n v="120750"/>
    <n v="18603"/>
    <n v="21534"/>
    <n v="23102"/>
    <n v="54185"/>
    <n v="15184"/>
    <n v="20228"/>
    <n v="33008"/>
    <n v="37965"/>
    <n v="89897"/>
    <n v="99.885555555555555"/>
    <n v="133912"/>
    <n v="148.79111111111112"/>
    <m/>
    <m/>
    <n v="0"/>
    <n v="0"/>
    <m/>
    <m/>
    <m/>
    <m/>
    <m/>
    <m/>
    <m/>
    <m/>
    <n v="0"/>
    <n v="0"/>
    <n v="0"/>
    <n v="0"/>
    <n v="4446.2522222222224"/>
    <n v="4173.7911111111107"/>
  </r>
  <r>
    <x v="13"/>
    <s v="Vernon College "/>
    <m/>
    <n v="229504"/>
    <x v="7"/>
    <s v="sem"/>
    <s v="sem"/>
    <n v="29097"/>
    <n v="28647"/>
    <n v="5183"/>
    <n v="4437"/>
    <n v="5631"/>
    <n v="5412"/>
    <n v="27668"/>
    <n v="26792"/>
    <n v="67579"/>
    <n v="2252.6333333333332"/>
    <n v="65288"/>
    <n v="2176.2666666666669"/>
    <n v="4750"/>
    <n v="4879"/>
    <n v="67579"/>
    <n v="65288"/>
    <n v="115567"/>
    <n v="49399"/>
    <n v="81514"/>
    <n v="37725"/>
    <n v="80695"/>
    <n v="30659"/>
    <n v="67010"/>
    <n v="63520"/>
    <n v="344786"/>
    <n v="383.09555555555556"/>
    <n v="181303"/>
    <n v="201.44777777777779"/>
    <m/>
    <m/>
    <n v="0"/>
    <n v="0"/>
    <m/>
    <m/>
    <m/>
    <m/>
    <m/>
    <m/>
    <m/>
    <m/>
    <n v="0"/>
    <n v="0"/>
    <n v="0"/>
    <n v="0"/>
    <n v="2635.7288888888888"/>
    <n v="2377.7144444444448"/>
  </r>
  <r>
    <x v="13"/>
    <s v="Victoria College "/>
    <m/>
    <n v="229540"/>
    <x v="7"/>
    <s v="sem"/>
    <s v="sem"/>
    <n v="36419"/>
    <n v="36447"/>
    <n v="11591"/>
    <n v="9994"/>
    <n v="0"/>
    <n v="0"/>
    <n v="37972"/>
    <n v="36068"/>
    <n v="85982"/>
    <n v="2866.0666666666666"/>
    <n v="82509"/>
    <n v="2750.3"/>
    <n v="4305"/>
    <n v="4948"/>
    <n v="85982"/>
    <n v="82509"/>
    <n v="63662"/>
    <n v="38286"/>
    <n v="43590"/>
    <n v="30715"/>
    <n v="54037"/>
    <n v="31139"/>
    <n v="30631"/>
    <n v="50562"/>
    <n v="191920"/>
    <n v="213.24444444444444"/>
    <n v="150702"/>
    <n v="167.44666666666666"/>
    <m/>
    <m/>
    <n v="0"/>
    <n v="0"/>
    <m/>
    <m/>
    <m/>
    <m/>
    <m/>
    <m/>
    <m/>
    <m/>
    <n v="0"/>
    <n v="0"/>
    <n v="0"/>
    <n v="0"/>
    <n v="3079.3111111111111"/>
    <n v="2917.7466666666669"/>
  </r>
  <r>
    <x v="13"/>
    <s v="Weatherford College "/>
    <m/>
    <n v="229799"/>
    <x v="7"/>
    <s v="sem"/>
    <s v="sem"/>
    <n v="49452"/>
    <n v="48298"/>
    <n v="8529"/>
    <n v="7287"/>
    <n v="4770"/>
    <n v="5019"/>
    <n v="52346"/>
    <n v="52039"/>
    <n v="115097"/>
    <n v="3836.5666666666666"/>
    <n v="112643"/>
    <n v="3754.7666666666669"/>
    <n v="7563"/>
    <n v="8355"/>
    <n v="115097"/>
    <n v="112643"/>
    <n v="38867"/>
    <n v="44781"/>
    <n v="41503"/>
    <n v="31773"/>
    <n v="22689"/>
    <n v="27407"/>
    <n v="67648"/>
    <n v="61744"/>
    <n v="170707"/>
    <n v="189.67444444444445"/>
    <n v="165705"/>
    <n v="184.11666666666667"/>
    <m/>
    <m/>
    <n v="0"/>
    <n v="0"/>
    <m/>
    <m/>
    <m/>
    <m/>
    <m/>
    <m/>
    <m/>
    <m/>
    <n v="0"/>
    <n v="0"/>
    <n v="0"/>
    <n v="0"/>
    <n v="4026.241111111111"/>
    <n v="3938.8833333333337"/>
  </r>
  <r>
    <x v="13"/>
    <s v="Wharton County Junior College "/>
    <m/>
    <n v="229841"/>
    <x v="7"/>
    <s v="sem"/>
    <s v="sem"/>
    <n v="62408"/>
    <n v="62253"/>
    <n v="13918"/>
    <n v="12994"/>
    <n v="6525"/>
    <n v="6713"/>
    <n v="64170"/>
    <n v="66069"/>
    <n v="147021"/>
    <n v="4900.7"/>
    <n v="148029"/>
    <n v="4934.3"/>
    <n v="8090"/>
    <n v="8677"/>
    <n v="147021"/>
    <n v="148029"/>
    <n v="9360"/>
    <n v="9872"/>
    <n v="4824"/>
    <n v="7593"/>
    <n v="13930"/>
    <n v="11020"/>
    <n v="7454"/>
    <n v="11674"/>
    <n v="35568"/>
    <n v="39.520000000000003"/>
    <n v="40159"/>
    <n v="44.621111111111112"/>
    <m/>
    <m/>
    <n v="0"/>
    <n v="0"/>
    <m/>
    <m/>
    <m/>
    <m/>
    <m/>
    <m/>
    <m/>
    <m/>
    <n v="0"/>
    <n v="0"/>
    <n v="0"/>
    <n v="0"/>
    <n v="4940.22"/>
    <n v="4978.9211111111117"/>
  </r>
  <r>
    <x v="13"/>
    <s v="Clarendon College "/>
    <m/>
    <n v="223922"/>
    <x v="8"/>
    <s v="sem"/>
    <s v="sem"/>
    <n v="15450"/>
    <n v="14059"/>
    <n v="3282"/>
    <n v="2558"/>
    <n v="1606"/>
    <n v="1309"/>
    <n v="14358"/>
    <n v="12820"/>
    <n v="34696"/>
    <n v="1156.5333333333333"/>
    <n v="30746"/>
    <n v="1024.8666666666666"/>
    <n v="4409"/>
    <n v="4521"/>
    <n v="34696"/>
    <n v="30746"/>
    <n v="5602"/>
    <n v="5338"/>
    <n v="2425"/>
    <n v="2380"/>
    <n v="3360"/>
    <n v="1015"/>
    <n v="5576"/>
    <n v="4265"/>
    <n v="16963"/>
    <n v="18.847777777777779"/>
    <n v="12998"/>
    <n v="14.442222222222222"/>
    <m/>
    <m/>
    <n v="0"/>
    <n v="0"/>
    <m/>
    <m/>
    <m/>
    <m/>
    <m/>
    <m/>
    <m/>
    <m/>
    <n v="0"/>
    <n v="0"/>
    <n v="0"/>
    <n v="0"/>
    <n v="1175.3811111111111"/>
    <n v="1039.3088888888888"/>
  </r>
  <r>
    <x v="13"/>
    <s v="Frank Phillips College "/>
    <m/>
    <n v="224891"/>
    <x v="8"/>
    <s v="sem"/>
    <s v="sem"/>
    <n v="10368"/>
    <n v="9349"/>
    <n v="2021"/>
    <n v="1459"/>
    <n v="562"/>
    <n v="446"/>
    <n v="9561"/>
    <n v="10735"/>
    <n v="22512"/>
    <n v="750.4"/>
    <n v="21989"/>
    <n v="732.9666666666667"/>
    <n v="3126"/>
    <n v="4119"/>
    <n v="22512"/>
    <n v="21989"/>
    <n v="14818"/>
    <n v="20402"/>
    <n v="25796"/>
    <n v="20380"/>
    <n v="31127"/>
    <n v="20062"/>
    <n v="31418"/>
    <n v="21579"/>
    <n v="103159"/>
    <n v="114.62111111111111"/>
    <n v="82423"/>
    <n v="91.581111111111113"/>
    <m/>
    <m/>
    <n v="0"/>
    <n v="0"/>
    <m/>
    <m/>
    <m/>
    <m/>
    <m/>
    <m/>
    <m/>
    <m/>
    <n v="0"/>
    <n v="0"/>
    <n v="0"/>
    <n v="0"/>
    <n v="865.02111111111105"/>
    <n v="824.54777777777781"/>
  </r>
  <r>
    <x v="13"/>
    <s v="Galveston College "/>
    <m/>
    <n v="224961"/>
    <x v="8"/>
    <s v="sem"/>
    <s v="sem"/>
    <n v="21048"/>
    <n v="19746"/>
    <n v="4600"/>
    <n v="4579"/>
    <n v="3411"/>
    <n v="3749"/>
    <n v="18833"/>
    <n v="17918"/>
    <n v="47892"/>
    <n v="1596.4"/>
    <n v="45992"/>
    <n v="1533.0666666666666"/>
    <n v="2272"/>
    <n v="2677"/>
    <n v="47892"/>
    <n v="45992"/>
    <n v="7218"/>
    <n v="3464"/>
    <n v="352"/>
    <n v="1632"/>
    <n v="1426"/>
    <n v="0"/>
    <n v="5416"/>
    <n v="1838"/>
    <n v="14412"/>
    <n v="16.013333333333332"/>
    <n v="6934"/>
    <n v="7.7044444444444444"/>
    <m/>
    <m/>
    <n v="0"/>
    <n v="0"/>
    <m/>
    <m/>
    <m/>
    <m/>
    <m/>
    <m/>
    <m/>
    <m/>
    <n v="0"/>
    <n v="0"/>
    <n v="0"/>
    <n v="0"/>
    <n v="1612.4133333333334"/>
    <n v="1540.7711111111109"/>
  </r>
  <r>
    <x v="13"/>
    <s v="Lamar State College-Orange"/>
    <m/>
    <n v="226107"/>
    <x v="8"/>
    <s v="sem"/>
    <s v="sem"/>
    <n v="23859"/>
    <n v="21669"/>
    <n v="7301"/>
    <n v="6563"/>
    <n v="0"/>
    <n v="0"/>
    <n v="24866"/>
    <n v="23618"/>
    <n v="56026"/>
    <n v="1867.5333333333333"/>
    <n v="51850"/>
    <n v="1728.3333333333333"/>
    <n v="3496"/>
    <n v="4364"/>
    <n v="56026"/>
    <n v="51850"/>
    <n v="3710"/>
    <n v="2234"/>
    <n v="6264"/>
    <n v="1716"/>
    <n v="9748"/>
    <n v="616"/>
    <n v="5570"/>
    <n v="2060"/>
    <n v="25292"/>
    <n v="28.102222222222224"/>
    <n v="6626"/>
    <n v="7.362222222222222"/>
    <m/>
    <m/>
    <n v="0"/>
    <n v="0"/>
    <m/>
    <m/>
    <m/>
    <m/>
    <m/>
    <m/>
    <m/>
    <m/>
    <n v="0"/>
    <n v="0"/>
    <n v="0"/>
    <n v="0"/>
    <n v="1895.6355555555556"/>
    <n v="1735.6955555555555"/>
  </r>
  <r>
    <x v="13"/>
    <s v="Northeast Lakeview College (ACCD)"/>
    <m/>
    <s v="???"/>
    <x v="8"/>
    <s v="sem"/>
    <s v="sem"/>
    <n v="7011"/>
    <n v="4347"/>
    <n v="608"/>
    <n v="784"/>
    <n v="0"/>
    <n v="0"/>
    <n v="6307"/>
    <n v="4923"/>
    <n v="13926"/>
    <n v="464.2"/>
    <n v="10054"/>
    <n v="335.13333333333333"/>
    <n v="13"/>
    <n v="0"/>
    <n v="13926"/>
    <n v="10054"/>
    <n v="14184"/>
    <n v="15160"/>
    <n v="17464"/>
    <n v="12288"/>
    <n v="19808"/>
    <n v="8960"/>
    <n v="14280"/>
    <n v="8248"/>
    <n v="65736"/>
    <n v="73.040000000000006"/>
    <n v="44656"/>
    <n v="49.617777777777775"/>
    <m/>
    <m/>
    <n v="0"/>
    <n v="0"/>
    <m/>
    <m/>
    <m/>
    <m/>
    <m/>
    <m/>
    <m/>
    <m/>
    <n v="0"/>
    <n v="0"/>
    <n v="0"/>
    <n v="0"/>
    <n v="537.24"/>
    <n v="384.75111111111107"/>
  </r>
  <r>
    <x v="13"/>
    <s v="Panola College"/>
    <m/>
    <n v="227386"/>
    <x v="8"/>
    <s v="sem"/>
    <s v="sem"/>
    <n v="21103"/>
    <n v="23217"/>
    <n v="3884"/>
    <n v="3474"/>
    <n v="1652"/>
    <n v="1720"/>
    <n v="24407"/>
    <n v="25475"/>
    <n v="51046"/>
    <n v="1701.5333333333333"/>
    <n v="53886"/>
    <n v="1796.2"/>
    <n v="4557"/>
    <n v="4716"/>
    <n v="51046"/>
    <n v="53886"/>
    <n v="11636"/>
    <n v="10491"/>
    <n v="4801"/>
    <n v="8811"/>
    <n v="16276"/>
    <n v="7199"/>
    <n v="7011"/>
    <n v="13957"/>
    <n v="39724"/>
    <n v="44.137777777777778"/>
    <n v="40458"/>
    <n v="44.953333333333333"/>
    <m/>
    <m/>
    <n v="0"/>
    <n v="0"/>
    <m/>
    <m/>
    <m/>
    <m/>
    <m/>
    <m/>
    <m/>
    <m/>
    <n v="0"/>
    <n v="0"/>
    <n v="0"/>
    <n v="0"/>
    <n v="1745.671111111111"/>
    <n v="1841.1533333333334"/>
  </r>
  <r>
    <x v="13"/>
    <s v="Ranger College "/>
    <m/>
    <n v="227687"/>
    <x v="8"/>
    <s v="sem"/>
    <s v="sem"/>
    <n v="13281"/>
    <n v="16285"/>
    <n v="3013"/>
    <n v="3662"/>
    <n v="720"/>
    <n v="1126"/>
    <n v="17826"/>
    <n v="19687"/>
    <n v="34840"/>
    <n v="1161.3333333333333"/>
    <n v="40760"/>
    <n v="1358.6666666666667"/>
    <n v="4096"/>
    <n v="5401"/>
    <n v="34840"/>
    <n v="40760"/>
    <n v="1235"/>
    <n v="2480"/>
    <n v="4892"/>
    <n v="1105"/>
    <n v="1552"/>
    <n v="4880"/>
    <n v="756"/>
    <n v="7368"/>
    <n v="8435"/>
    <n v="9.3722222222222218"/>
    <n v="15833"/>
    <n v="17.592222222222222"/>
    <m/>
    <m/>
    <n v="0"/>
    <n v="0"/>
    <m/>
    <m/>
    <m/>
    <m/>
    <m/>
    <m/>
    <m/>
    <m/>
    <n v="0"/>
    <n v="0"/>
    <n v="0"/>
    <n v="0"/>
    <n v="1170.7055555555555"/>
    <n v="1376.258888888889"/>
  </r>
  <r>
    <x v="13"/>
    <s v="Southwest Collegiate Institute for the Deaf (HCJCD)"/>
    <m/>
    <n v="382911"/>
    <x v="8"/>
    <s v="sem"/>
    <s v="sem"/>
    <n v="1056"/>
    <n v="1357"/>
    <n v="27"/>
    <n v="36"/>
    <n v="21"/>
    <n v="3"/>
    <n v="1615"/>
    <n v="1548"/>
    <n v="2719"/>
    <n v="90.63333333333334"/>
    <n v="2944"/>
    <n v="98.13333333333334"/>
    <n v="66"/>
    <n v="0"/>
    <n v="2719"/>
    <n v="2944"/>
    <m/>
    <m/>
    <m/>
    <m/>
    <m/>
    <m/>
    <m/>
    <m/>
    <n v="0"/>
    <n v="0"/>
    <n v="0"/>
    <n v="0"/>
    <m/>
    <m/>
    <n v="0"/>
    <n v="0"/>
    <m/>
    <m/>
    <m/>
    <m/>
    <m/>
    <m/>
    <m/>
    <m/>
    <n v="0"/>
    <n v="0"/>
    <n v="0"/>
    <n v="0"/>
    <n v="90.63333333333334"/>
    <n v="98.13333333333334"/>
  </r>
  <r>
    <x v="13"/>
    <s v="Texas State Technical College-Marshall"/>
    <m/>
    <n v="408394"/>
    <x v="8"/>
    <s v="sem"/>
    <s v="sem"/>
    <n v="8519"/>
    <n v="7037"/>
    <n v="5577"/>
    <n v="4869"/>
    <n v="0"/>
    <n v="0"/>
    <n v="7361"/>
    <n v="6961"/>
    <n v="21457"/>
    <n v="715.23333333333335"/>
    <n v="18867"/>
    <n v="628.9"/>
    <n v="1945"/>
    <n v="1901"/>
    <n v="21457"/>
    <n v="18867"/>
    <n v="4664"/>
    <n v="4184"/>
    <n v="8816"/>
    <n v="6216"/>
    <n v="4812"/>
    <n v="7206"/>
    <n v="3254"/>
    <n v="4859"/>
    <n v="21546"/>
    <n v="23.94"/>
    <n v="22465"/>
    <n v="24.961111111111112"/>
    <m/>
    <m/>
    <n v="0"/>
    <n v="0"/>
    <m/>
    <m/>
    <m/>
    <m/>
    <m/>
    <m/>
    <m/>
    <m/>
    <n v="0"/>
    <n v="0"/>
    <n v="0"/>
    <n v="0"/>
    <n v="739.1733333333334"/>
    <n v="653.86111111111109"/>
  </r>
  <r>
    <x v="13"/>
    <s v="Texas State Technical College-West Texas"/>
    <m/>
    <n v="229328"/>
    <x v="8"/>
    <s v="sem"/>
    <s v="sem"/>
    <n v="9998"/>
    <n v="8866"/>
    <n v="6966"/>
    <n v="6651"/>
    <n v="0"/>
    <n v="0"/>
    <n v="8244"/>
    <n v="8078"/>
    <n v="25208"/>
    <n v="840.26666666666665"/>
    <n v="23595"/>
    <n v="786.5"/>
    <n v="1671"/>
    <n v="381"/>
    <n v="25208"/>
    <n v="23595"/>
    <n v="1326"/>
    <n v="9980"/>
    <n v="2680"/>
    <n v="8544"/>
    <n v="1680"/>
    <n v="12996"/>
    <n v="3806"/>
    <n v="8336"/>
    <n v="9492"/>
    <n v="10.546666666666667"/>
    <n v="39856"/>
    <n v="44.284444444444446"/>
    <m/>
    <m/>
    <n v="0"/>
    <n v="0"/>
    <m/>
    <m/>
    <m/>
    <m/>
    <m/>
    <m/>
    <m/>
    <m/>
    <n v="0"/>
    <n v="0"/>
    <n v="0"/>
    <n v="0"/>
    <n v="850.81333333333328"/>
    <n v="830.78444444444449"/>
  </r>
  <r>
    <x v="13"/>
    <s v="Western Texas College "/>
    <m/>
    <n v="229832"/>
    <x v="8"/>
    <s v="sem"/>
    <s v="sem"/>
    <n v="18588"/>
    <n v="18418"/>
    <n v="6757"/>
    <n v="8321"/>
    <n v="2025"/>
    <n v="2290"/>
    <n v="19091"/>
    <n v="17958"/>
    <n v="46461"/>
    <n v="1548.7"/>
    <n v="46987"/>
    <n v="1566.2333333333333"/>
    <n v="7647"/>
    <n v="8280"/>
    <n v="46461"/>
    <n v="46987"/>
    <n v="55834"/>
    <n v="39988"/>
    <n v="43685"/>
    <n v="42642"/>
    <n v="25964"/>
    <n v="20974"/>
    <n v="51524"/>
    <n v="47085"/>
    <n v="177007"/>
    <n v="196.67444444444445"/>
    <n v="150689"/>
    <n v="167.43222222222221"/>
    <m/>
    <m/>
    <n v="0"/>
    <n v="0"/>
    <m/>
    <m/>
    <m/>
    <m/>
    <m/>
    <m/>
    <m/>
    <m/>
    <n v="0"/>
    <n v="0"/>
    <n v="0"/>
    <n v="0"/>
    <n v="1745.3744444444444"/>
    <n v="1733.6655555555556"/>
  </r>
  <r>
    <x v="13"/>
    <s v="Alamo Community College District (ACCD)"/>
    <m/>
    <m/>
    <x v="12"/>
    <s v="sem"/>
    <s v="sem"/>
    <n v="479137"/>
    <n v="32083"/>
    <n v="137973"/>
    <n v="10125"/>
    <n v="48900"/>
    <n v="1720"/>
    <n v="461195"/>
    <n v="33553"/>
    <n v="1127205"/>
    <n v="37573.5"/>
    <n v="77481"/>
    <n v="2582.6999999999998"/>
    <n v="88153"/>
    <n v="5097"/>
    <n v="1127205"/>
    <n v="77481"/>
    <n v="415762"/>
    <n v="20471"/>
    <n v="375817"/>
    <n v="17355"/>
    <n v="330320"/>
    <n v="20195"/>
    <n v="549655"/>
    <n v="22293"/>
    <n v="1671554"/>
    <n v="1857.2822222222221"/>
    <n v="80314"/>
    <n v="89.237777777777779"/>
    <m/>
    <m/>
    <n v="0"/>
    <n v="0"/>
    <m/>
    <m/>
    <m/>
    <m/>
    <m/>
    <m/>
    <m/>
    <m/>
    <n v="0"/>
    <n v="0"/>
    <n v="0"/>
    <n v="0"/>
    <n v="39430.782222222224"/>
    <n v="2671.9377777777777"/>
  </r>
  <r>
    <x v="13"/>
    <s v="Dallas County Community College District (DCCD)"/>
    <m/>
    <m/>
    <x v="12"/>
    <s v="sem"/>
    <s v="sem"/>
    <n v="563364"/>
    <n v="17642"/>
    <n v="160048"/>
    <n v="3698"/>
    <n v="54426"/>
    <n v="1129"/>
    <n v="544426"/>
    <n v="21235"/>
    <n v="1322264"/>
    <n v="44075.466666666667"/>
    <n v="43704"/>
    <n v="1456.8"/>
    <n v="93521"/>
    <n v="5401"/>
    <n v="1322264"/>
    <n v="43704"/>
    <n v="506604"/>
    <n v="2480"/>
    <n v="541091"/>
    <n v="1105"/>
    <n v="482371"/>
    <n v="4880"/>
    <n v="589960"/>
    <n v="7368"/>
    <n v="2120026"/>
    <n v="2355.5844444444447"/>
    <n v="15833"/>
    <n v="17.592222222222222"/>
    <m/>
    <m/>
    <n v="0"/>
    <n v="0"/>
    <m/>
    <m/>
    <m/>
    <m/>
    <m/>
    <m/>
    <m/>
    <m/>
    <n v="0"/>
    <n v="0"/>
    <n v="0"/>
    <n v="0"/>
    <n v="46431.051111111112"/>
    <n v="1474.3922222222222"/>
  </r>
  <r>
    <x v="13"/>
    <s v="Howard County Community/Junior College District (HCJCD)"/>
    <m/>
    <m/>
    <x v="12"/>
    <s v="sem"/>
    <s v="sem"/>
    <n v="37168"/>
    <n v="25455"/>
    <n v="9754"/>
    <n v="13190"/>
    <n v="7553"/>
    <n v="2290"/>
    <n v="35550"/>
    <n v="24919"/>
    <n v="90025"/>
    <n v="3000.8333333333335"/>
    <n v="65854"/>
    <n v="2195.1333333333332"/>
    <n v="8132"/>
    <n v="10181"/>
    <n v="90025"/>
    <n v="65854"/>
    <n v="53328"/>
    <n v="44172"/>
    <n v="36974"/>
    <n v="48858"/>
    <n v="52758"/>
    <n v="28180"/>
    <n v="48765"/>
    <n v="51944"/>
    <n v="191825"/>
    <n v="213.13888888888889"/>
    <n v="173154"/>
    <n v="192.39333333333335"/>
    <m/>
    <m/>
    <n v="0"/>
    <n v="0"/>
    <m/>
    <m/>
    <m/>
    <m/>
    <m/>
    <m/>
    <m/>
    <m/>
    <n v="0"/>
    <n v="0"/>
    <n v="0"/>
    <n v="0"/>
    <n v="3213.9722222222222"/>
    <n v="2387.5266666666666"/>
  </r>
  <r>
    <x v="13"/>
    <s v="University of North Texas at Dallas"/>
    <s v="New fall 2009. No degrees yet granted."/>
    <s v="???"/>
    <x v="13"/>
    <s v="sem"/>
    <s v="sem"/>
    <m/>
    <m/>
    <n v="12946"/>
    <n v="13413"/>
    <n v="3846"/>
    <n v="3793"/>
    <n v="14752"/>
    <n v="16167"/>
    <n v="31544"/>
    <n v="1051.4666666666667"/>
    <n v="33373"/>
    <n v="1112.4333333333334"/>
    <n v="0"/>
    <n v="0"/>
    <n v="31544"/>
    <n v="33373"/>
    <m/>
    <m/>
    <m/>
    <m/>
    <m/>
    <m/>
    <m/>
    <m/>
    <n v="0"/>
    <n v="0"/>
    <n v="0"/>
    <n v="0"/>
    <m/>
    <m/>
    <n v="0"/>
    <n v="0"/>
    <m/>
    <m/>
    <n v="1337"/>
    <n v="1428"/>
    <n v="1234"/>
    <n v="1194"/>
    <n v="1281"/>
    <n v="1527"/>
    <n v="3852"/>
    <n v="160.5"/>
    <n v="4149"/>
    <n v="172.875"/>
    <n v="1211.9666666666667"/>
    <n v="1285.3083333333334"/>
  </r>
  <r>
    <x v="13"/>
    <s v="Alamo Community College District (ACCD)"/>
    <m/>
    <m/>
    <x v="14"/>
    <s v="sem"/>
    <s v="sem"/>
    <n v="454427"/>
    <n v="857107"/>
    <n v="129478"/>
    <n v="386913"/>
    <n v="45757"/>
    <n v="0"/>
    <n v="438278"/>
    <n v="793266"/>
    <n v="1067940"/>
    <n v="35598"/>
    <n v="2037286"/>
    <n v="67909.53333333334"/>
    <n v="86103"/>
    <n v="117110"/>
    <n v="1067940"/>
    <n v="2037286"/>
    <n v="336581"/>
    <n v="473588"/>
    <n v="307577"/>
    <n v="503257"/>
    <n v="276608"/>
    <n v="496602"/>
    <n v="452407"/>
    <n v="555990"/>
    <n v="1373173"/>
    <n v="1525.7477777777779"/>
    <n v="2029437"/>
    <n v="2254.9299999999998"/>
    <m/>
    <m/>
    <n v="0"/>
    <n v="0"/>
    <m/>
    <m/>
    <m/>
    <m/>
    <m/>
    <m/>
    <m/>
    <m/>
    <n v="0"/>
    <n v="0"/>
    <n v="0"/>
    <n v="0"/>
    <n v="37123.747777777775"/>
    <n v="70164.463333333333"/>
  </r>
  <r>
    <x v="13"/>
    <s v="Dallas County Community College District (DCCD)"/>
    <m/>
    <m/>
    <x v="14"/>
    <s v="sem"/>
    <s v="sem"/>
    <n v="419174"/>
    <n v="771026"/>
    <n v="137858"/>
    <n v="303813"/>
    <n v="44173"/>
    <n v="3994"/>
    <n v="396897"/>
    <n v="726511"/>
    <n v="998102"/>
    <n v="33270.066666666666"/>
    <n v="1805344"/>
    <n v="60178.133333333331"/>
    <n v="76982"/>
    <n v="147180"/>
    <n v="998102"/>
    <n v="1805344"/>
    <n v="409440"/>
    <n v="519932"/>
    <n v="441972"/>
    <n v="705811"/>
    <n v="380325"/>
    <n v="641600"/>
    <n v="490360"/>
    <n v="619744"/>
    <n v="1722097"/>
    <n v="1913.441111111111"/>
    <n v="2487087"/>
    <n v="2763.43"/>
    <m/>
    <m/>
    <n v="0"/>
    <n v="0"/>
    <m/>
    <m/>
    <m/>
    <m/>
    <m/>
    <m/>
    <m/>
    <m/>
    <n v="0"/>
    <n v="0"/>
    <n v="0"/>
    <n v="0"/>
    <n v="35183.507777777777"/>
    <n v="62941.563333333332"/>
  </r>
  <r>
    <x v="13"/>
    <s v="Dallas County Community College District (DCCD)"/>
    <m/>
    <m/>
    <x v="15"/>
    <s v="sem"/>
    <s v="sem"/>
    <n v="144190"/>
    <n v="96940"/>
    <n v="22190"/>
    <n v="32319"/>
    <n v="10253"/>
    <n v="2242"/>
    <n v="147529"/>
    <n v="93663"/>
    <n v="324162"/>
    <n v="10805.4"/>
    <n v="225164"/>
    <n v="7505.4666666666662"/>
    <n v="16539"/>
    <n v="16198"/>
    <n v="324162"/>
    <n v="225164"/>
    <n v="97164"/>
    <n v="23204"/>
    <n v="99119"/>
    <n v="44146"/>
    <n v="102046"/>
    <n v="29447"/>
    <n v="99600"/>
    <n v="40663"/>
    <n v="397929"/>
    <n v="442.14333333333332"/>
    <n v="137460"/>
    <n v="152.73333333333332"/>
    <m/>
    <m/>
    <n v="0"/>
    <n v="0"/>
    <m/>
    <m/>
    <m/>
    <m/>
    <m/>
    <m/>
    <m/>
    <m/>
    <n v="0"/>
    <n v="0"/>
    <n v="0"/>
    <n v="0"/>
    <n v="11247.543333333333"/>
    <n v="7658.2"/>
  </r>
  <r>
    <x v="13"/>
    <s v="Howard County Community/Junior College District (HCJCD)"/>
    <m/>
    <m/>
    <x v="15"/>
    <s v="sem"/>
    <s v="sem"/>
    <n v="36112"/>
    <n v="26870"/>
    <n v="9727"/>
    <n v="2273"/>
    <n v="7532"/>
    <n v="1662"/>
    <n v="33935"/>
    <n v="28553"/>
    <n v="87306"/>
    <n v="2910.2"/>
    <n v="59358"/>
    <n v="1978.6"/>
    <n v="8066"/>
    <n v="1058"/>
    <n v="87306"/>
    <n v="59358"/>
    <n v="53328"/>
    <n v="23149"/>
    <n v="36974"/>
    <n v="26021"/>
    <n v="52758"/>
    <n v="29386"/>
    <n v="48765"/>
    <n v="42880"/>
    <n v="191825"/>
    <n v="213.13888888888889"/>
    <n v="121436"/>
    <n v="134.92888888888888"/>
    <m/>
    <m/>
    <n v="0"/>
    <n v="0"/>
    <m/>
    <m/>
    <m/>
    <m/>
    <m/>
    <m/>
    <m/>
    <m/>
    <n v="0"/>
    <n v="0"/>
    <n v="0"/>
    <n v="0"/>
    <n v="3123.3388888888885"/>
    <n v="2113.528888888889"/>
  </r>
  <r>
    <x v="13"/>
    <s v="Alamo Community College District (ACCD)"/>
    <m/>
    <m/>
    <x v="16"/>
    <s v="sem"/>
    <s v="sem"/>
    <n v="24710"/>
    <n v="23217"/>
    <n v="8495"/>
    <n v="3474"/>
    <n v="3143"/>
    <n v="1720"/>
    <n v="22917"/>
    <n v="25475"/>
    <n v="59265"/>
    <n v="1975.5"/>
    <n v="53886"/>
    <n v="1796.2"/>
    <n v="2050"/>
    <n v="4716"/>
    <n v="59265"/>
    <n v="53886"/>
    <n v="79181"/>
    <n v="10491"/>
    <n v="68240"/>
    <n v="8811"/>
    <n v="53712"/>
    <n v="7199"/>
    <n v="97248"/>
    <n v="13957"/>
    <n v="298381"/>
    <n v="331.53444444444443"/>
    <n v="40458"/>
    <n v="44.953333333333333"/>
    <m/>
    <m/>
    <n v="0"/>
    <n v="0"/>
    <m/>
    <m/>
    <m/>
    <m/>
    <m/>
    <m/>
    <m/>
    <m/>
    <n v="0"/>
    <n v="0"/>
    <n v="0"/>
    <n v="0"/>
    <n v="2307.0344444444445"/>
    <n v="1841.1533333333334"/>
  </r>
  <r>
    <x v="13"/>
    <s v="Howard County Community/Junior College District (HCJCD)"/>
    <m/>
    <m/>
    <x v="16"/>
    <s v="sem"/>
    <s v="sem"/>
    <n v="1056"/>
    <n v="7037"/>
    <n v="27"/>
    <n v="4869"/>
    <n v="21"/>
    <n v="0"/>
    <n v="1615"/>
    <n v="6961"/>
    <n v="2719"/>
    <n v="90.63333333333334"/>
    <n v="18867"/>
    <n v="628.9"/>
    <n v="66"/>
    <n v="1901"/>
    <n v="2719"/>
    <n v="18867"/>
    <n v="0"/>
    <n v="4184"/>
    <n v="0"/>
    <n v="6216"/>
    <n v="0"/>
    <n v="7206"/>
    <n v="0"/>
    <n v="4859"/>
    <n v="0"/>
    <n v="0"/>
    <n v="22465"/>
    <n v="24.961111111111112"/>
    <m/>
    <m/>
    <n v="0"/>
    <n v="0"/>
    <m/>
    <m/>
    <m/>
    <m/>
    <m/>
    <m/>
    <m/>
    <m/>
    <n v="0"/>
    <n v="0"/>
    <n v="0"/>
    <n v="0"/>
    <n v="90.63333333333334"/>
    <n v="653.86111111111109"/>
  </r>
  <r>
    <x v="14"/>
    <s v="George Mason University "/>
    <m/>
    <n v="232186"/>
    <x v="0"/>
    <s v="sem"/>
    <s v="sem"/>
    <m/>
    <m/>
    <n v="251312"/>
    <n v="258730"/>
    <n v="49339"/>
    <n v="59362"/>
    <n v="270328.5"/>
    <n v="268629.5"/>
    <n v="570979.5"/>
    <n v="19032.650000000001"/>
    <n v="586721.5"/>
    <n v="19557.383333333335"/>
    <n v="24514"/>
    <n v="27627"/>
    <n v="570979.5"/>
    <n v="586721.5"/>
    <m/>
    <m/>
    <m/>
    <m/>
    <m/>
    <m/>
    <m/>
    <m/>
    <n v="0"/>
    <n v="0"/>
    <n v="0"/>
    <n v="0"/>
    <m/>
    <m/>
    <n v="0"/>
    <n v="0"/>
    <m/>
    <m/>
    <n v="77490"/>
    <n v="78204"/>
    <n v="20222.5"/>
    <n v="19755"/>
    <n v="79520"/>
    <n v="77898"/>
    <n v="177232.5"/>
    <n v="7384.6875"/>
    <n v="175857"/>
    <n v="7327.375"/>
    <n v="26417.337500000001"/>
    <n v="26884.758333333335"/>
  </r>
  <r>
    <x v="14"/>
    <s v="Old Dominion University "/>
    <m/>
    <n v="232982"/>
    <x v="0"/>
    <s v="sem"/>
    <s v="sem"/>
    <m/>
    <m/>
    <n v="215941"/>
    <n v="217547"/>
    <n v="52395"/>
    <n v="56292"/>
    <n v="233487"/>
    <n v="237481"/>
    <n v="501823"/>
    <n v="16727.433333333334"/>
    <n v="511320"/>
    <n v="17044"/>
    <n v="0"/>
    <n v="16"/>
    <n v="501823"/>
    <n v="511320"/>
    <m/>
    <m/>
    <m/>
    <m/>
    <m/>
    <m/>
    <m/>
    <m/>
    <n v="0"/>
    <n v="0"/>
    <n v="0"/>
    <n v="0"/>
    <m/>
    <m/>
    <n v="0"/>
    <n v="0"/>
    <m/>
    <m/>
    <n v="30307"/>
    <n v="29111"/>
    <n v="14718"/>
    <n v="13687"/>
    <n v="31094"/>
    <n v="29777"/>
    <n v="76119"/>
    <n v="3171.625"/>
    <n v="72575"/>
    <n v="3023.9583333333335"/>
    <n v="19899.058333333334"/>
    <n v="20067.958333333332"/>
  </r>
  <r>
    <x v="14"/>
    <s v="University of Virginia"/>
    <m/>
    <n v="234076"/>
    <x v="0"/>
    <s v="sem"/>
    <s v="sem"/>
    <m/>
    <m/>
    <n v="216264"/>
    <n v="219150.5"/>
    <n v="30124"/>
    <n v="24822"/>
    <n v="221447.5"/>
    <n v="223124"/>
    <n v="467835.5"/>
    <n v="15594.516666666666"/>
    <n v="467096.5"/>
    <n v="15569.883333333333"/>
    <n v="0"/>
    <n v="0"/>
    <n v="467835.5"/>
    <n v="467096.5"/>
    <m/>
    <m/>
    <m/>
    <m/>
    <m/>
    <m/>
    <m/>
    <m/>
    <n v="0"/>
    <n v="0"/>
    <n v="0"/>
    <n v="0"/>
    <m/>
    <m/>
    <n v="0"/>
    <n v="0"/>
    <m/>
    <m/>
    <n v="93016.5"/>
    <n v="90536"/>
    <n v="19242.5"/>
    <n v="15852"/>
    <n v="90860"/>
    <n v="89139.5"/>
    <n v="203119"/>
    <n v="8463.2916666666661"/>
    <n v="195527.5"/>
    <n v="8146.979166666667"/>
    <n v="24057.808333333334"/>
    <n v="23716.862499999999"/>
  </r>
  <r>
    <x v="14"/>
    <s v="Virginia Tech "/>
    <m/>
    <n v="233921"/>
    <x v="0"/>
    <s v="sem"/>
    <s v="sem"/>
    <m/>
    <m/>
    <n v="345606"/>
    <n v="345714"/>
    <n v="37992"/>
    <n v="37098"/>
    <n v="364620"/>
    <n v="368881"/>
    <n v="748218"/>
    <n v="24940.6"/>
    <n v="751693"/>
    <n v="25056.433333333334"/>
    <n v="0"/>
    <n v="0"/>
    <n v="748218"/>
    <n v="751693"/>
    <m/>
    <m/>
    <m/>
    <m/>
    <m/>
    <m/>
    <m/>
    <m/>
    <n v="0"/>
    <n v="0"/>
    <n v="0"/>
    <n v="0"/>
    <m/>
    <m/>
    <n v="0"/>
    <n v="0"/>
    <m/>
    <m/>
    <n v="67579"/>
    <n v="66593"/>
    <n v="8388"/>
    <n v="7811"/>
    <n v="67981"/>
    <n v="69942"/>
    <n v="143948"/>
    <n v="5997.833333333333"/>
    <n v="144346"/>
    <n v="6014.416666666667"/>
    <n v="30938.433333333331"/>
    <n v="31070.850000000002"/>
  </r>
  <r>
    <x v="14"/>
    <s v="College of William &amp; Mary"/>
    <m/>
    <n v="231624"/>
    <x v="1"/>
    <s v="sem"/>
    <s v="sem"/>
    <m/>
    <m/>
    <n v="80865.5"/>
    <n v="83289.5"/>
    <n v="8242"/>
    <n v="8318"/>
    <n v="86293.5"/>
    <n v="88067.5"/>
    <n v="175401"/>
    <n v="5846.7"/>
    <n v="179675"/>
    <n v="5989.166666666667"/>
    <n v="0"/>
    <n v="0"/>
    <n v="175401"/>
    <n v="179675"/>
    <m/>
    <m/>
    <m/>
    <m/>
    <m/>
    <m/>
    <m/>
    <m/>
    <n v="0"/>
    <n v="0"/>
    <n v="0"/>
    <n v="0"/>
    <m/>
    <m/>
    <n v="0"/>
    <n v="0"/>
    <m/>
    <m/>
    <n v="24343.5"/>
    <n v="25470"/>
    <n v="4532.5"/>
    <n v="4713"/>
    <n v="25887.5"/>
    <n v="25548.5"/>
    <n v="54763.5"/>
    <n v="2281.8125"/>
    <n v="55731.5"/>
    <n v="2322.1458333333335"/>
    <n v="8128.5124999999998"/>
    <n v="8311.3125"/>
  </r>
  <r>
    <x v="14"/>
    <s v="Virginia Commonwealth University"/>
    <m/>
    <n v="234030"/>
    <x v="1"/>
    <s v="sem"/>
    <s v="sem"/>
    <m/>
    <m/>
    <n v="290741"/>
    <n v="297494"/>
    <n v="43683.5"/>
    <n v="43629.5"/>
    <n v="315682"/>
    <n v="319380"/>
    <n v="650106.5"/>
    <n v="21670.216666666667"/>
    <n v="660503.5"/>
    <n v="22016.783333333333"/>
    <n v="7584"/>
    <n v="7800"/>
    <n v="650106.5"/>
    <n v="660503.5"/>
    <m/>
    <m/>
    <m/>
    <m/>
    <m/>
    <m/>
    <m/>
    <m/>
    <n v="0"/>
    <n v="0"/>
    <n v="0"/>
    <n v="0"/>
    <m/>
    <m/>
    <n v="0"/>
    <n v="0"/>
    <m/>
    <m/>
    <n v="61410.5"/>
    <n v="60606.5"/>
    <n v="15123.5"/>
    <n v="14248"/>
    <n v="64254"/>
    <n v="63336.5"/>
    <n v="140788"/>
    <n v="5866.166666666667"/>
    <n v="138191"/>
    <n v="5757.958333333333"/>
    <n v="27536.383333333335"/>
    <n v="27774.741666666665"/>
  </r>
  <r>
    <x v="14"/>
    <s v="James Madison University  "/>
    <m/>
    <n v="232423"/>
    <x v="2"/>
    <s v="sem"/>
    <s v="sem"/>
    <m/>
    <m/>
    <n v="243645"/>
    <n v="248853"/>
    <n v="27247"/>
    <n v="26986"/>
    <n v="262989"/>
    <n v="265966"/>
    <n v="533881"/>
    <n v="17796.033333333333"/>
    <n v="541805"/>
    <n v="18060.166666666668"/>
    <n v="5941"/>
    <n v="5944"/>
    <n v="533881"/>
    <n v="541805"/>
    <m/>
    <m/>
    <m/>
    <m/>
    <m/>
    <m/>
    <m/>
    <m/>
    <n v="0"/>
    <n v="0"/>
    <n v="0"/>
    <n v="0"/>
    <m/>
    <m/>
    <n v="0"/>
    <n v="0"/>
    <m/>
    <m/>
    <n v="12860"/>
    <n v="13480"/>
    <n v="6613"/>
    <n v="7909"/>
    <n v="14452"/>
    <n v="14419"/>
    <n v="33925"/>
    <n v="1413.5416666666667"/>
    <n v="35808"/>
    <n v="1492"/>
    <n v="19209.575000000001"/>
    <n v="19552.166666666668"/>
  </r>
  <r>
    <x v="14"/>
    <s v="Norfolk State University "/>
    <m/>
    <n v="232937"/>
    <x v="2"/>
    <s v="sem"/>
    <s v="sem"/>
    <m/>
    <m/>
    <n v="71365"/>
    <n v="73440"/>
    <n v="11666"/>
    <n v="10809"/>
    <n v="77677"/>
    <n v="82497"/>
    <n v="160708"/>
    <n v="5356.9333333333334"/>
    <n v="166746"/>
    <n v="5558.2"/>
    <n v="183"/>
    <n v="225"/>
    <n v="160708"/>
    <n v="166746"/>
    <m/>
    <m/>
    <m/>
    <m/>
    <m/>
    <m/>
    <m/>
    <m/>
    <n v="0"/>
    <n v="0"/>
    <n v="0"/>
    <n v="0"/>
    <m/>
    <m/>
    <n v="0"/>
    <n v="0"/>
    <m/>
    <m/>
    <n v="6240"/>
    <n v="6067"/>
    <n v="1279"/>
    <n v="985"/>
    <n v="6580"/>
    <n v="5886"/>
    <n v="14099"/>
    <n v="587.45833333333337"/>
    <n v="12938"/>
    <n v="539.08333333333337"/>
    <n v="5944.3916666666664"/>
    <n v="6097.2833333333328"/>
  </r>
  <r>
    <x v="14"/>
    <s v="Longwood University "/>
    <s v="Met the criteria for Four-Year 3 in 2011-12 and 2012-13."/>
    <n v="232566"/>
    <x v="3"/>
    <s v="sem"/>
    <s v="sem"/>
    <m/>
    <m/>
    <n v="56290"/>
    <n v="58130"/>
    <n v="8967"/>
    <n v="7671"/>
    <n v="61455"/>
    <n v="60971"/>
    <n v="126712"/>
    <n v="4223.7333333333336"/>
    <n v="126772"/>
    <n v="4225.7333333333336"/>
    <n v="14"/>
    <n v="99"/>
    <n v="126712"/>
    <n v="126772"/>
    <m/>
    <m/>
    <m/>
    <m/>
    <m/>
    <m/>
    <m/>
    <m/>
    <n v="0"/>
    <n v="0"/>
    <n v="0"/>
    <n v="0"/>
    <m/>
    <m/>
    <n v="0"/>
    <n v="0"/>
    <m/>
    <m/>
    <n v="2768"/>
    <n v="2643"/>
    <n v="2361"/>
    <n v="2423"/>
    <n v="2642"/>
    <n v="2652"/>
    <n v="7771"/>
    <n v="323.79166666666669"/>
    <n v="7718"/>
    <n v="321.58333333333331"/>
    <n v="4547.5250000000005"/>
    <n v="4547.3166666666666"/>
  </r>
  <r>
    <x v="14"/>
    <s v="Radford University"/>
    <s v="Met the criteria for Four-Year 3 in 2011-12 and 2012-13."/>
    <n v="233277"/>
    <x v="3"/>
    <s v="sem"/>
    <s v="sem"/>
    <m/>
    <m/>
    <n v="109223"/>
    <n v="114592"/>
    <n v="11751"/>
    <n v="11452"/>
    <n v="123596"/>
    <n v="127729"/>
    <n v="244570"/>
    <n v="8152.333333333333"/>
    <n v="253773"/>
    <n v="8459.1"/>
    <n v="242"/>
    <n v="140"/>
    <n v="244570"/>
    <n v="253773"/>
    <m/>
    <m/>
    <m/>
    <m/>
    <m/>
    <m/>
    <m/>
    <m/>
    <n v="0"/>
    <n v="0"/>
    <n v="0"/>
    <n v="0"/>
    <m/>
    <m/>
    <n v="0"/>
    <n v="0"/>
    <m/>
    <m/>
    <n v="8388"/>
    <n v="7714"/>
    <n v="4295"/>
    <n v="3979"/>
    <n v="7815"/>
    <n v="8157"/>
    <n v="20498"/>
    <n v="854.08333333333337"/>
    <n v="19850"/>
    <n v="827.08333333333337"/>
    <n v="9006.4166666666661"/>
    <n v="9286.1833333333343"/>
  </r>
  <r>
    <x v="14"/>
    <s v="Virginia State University "/>
    <s v="Met the criteria for Four-Year 3 in 2011-12 and 2012-13."/>
    <n v="234155"/>
    <x v="3"/>
    <s v="sem"/>
    <s v="sem"/>
    <m/>
    <m/>
    <n v="73263"/>
    <n v="74557"/>
    <n v="5926"/>
    <n v="6289"/>
    <n v="78398"/>
    <n v="81878"/>
    <n v="157587"/>
    <n v="5252.9"/>
    <n v="162724"/>
    <n v="5424.1333333333332"/>
    <n v="0"/>
    <n v="0"/>
    <n v="157587"/>
    <n v="162724"/>
    <m/>
    <m/>
    <m/>
    <m/>
    <m/>
    <m/>
    <m/>
    <m/>
    <n v="0"/>
    <n v="0"/>
    <n v="0"/>
    <n v="0"/>
    <m/>
    <m/>
    <n v="0"/>
    <n v="0"/>
    <m/>
    <m/>
    <n v="4212"/>
    <n v="4652"/>
    <n v="1239"/>
    <n v="1314"/>
    <n v="4412"/>
    <n v="4945"/>
    <n v="9863"/>
    <n v="410.95833333333331"/>
    <n v="10911"/>
    <n v="454.625"/>
    <n v="5663.8583333333327"/>
    <n v="5878.7583333333332"/>
  </r>
  <r>
    <x v="14"/>
    <s v="Christopher Newport University"/>
    <s v="Met the criteria for Four-Year 4 in 2011-12 and 2012-13."/>
    <n v="231712"/>
    <x v="4"/>
    <s v="sem"/>
    <s v="sem"/>
    <m/>
    <m/>
    <n v="67569"/>
    <n v="68635"/>
    <n v="2040"/>
    <n v="1203"/>
    <n v="71060"/>
    <n v="74483"/>
    <n v="140669"/>
    <n v="4688.9666666666662"/>
    <n v="144321"/>
    <n v="4810.7"/>
    <n v="12"/>
    <n v="16"/>
    <n v="140669"/>
    <n v="144321"/>
    <m/>
    <m/>
    <m/>
    <m/>
    <m/>
    <m/>
    <m/>
    <m/>
    <n v="0"/>
    <n v="0"/>
    <n v="0"/>
    <n v="0"/>
    <m/>
    <m/>
    <n v="0"/>
    <n v="0"/>
    <m/>
    <m/>
    <n v="1391"/>
    <n v="1594"/>
    <n v="871"/>
    <n v="978"/>
    <n v="1545"/>
    <n v="1569"/>
    <n v="3807"/>
    <n v="158.625"/>
    <n v="4141"/>
    <n v="172.54166666666666"/>
    <n v="4847.5916666666662"/>
    <n v="4983.2416666666668"/>
  </r>
  <r>
    <x v="14"/>
    <s v="University of Mary Washington "/>
    <s v="Met the criteria for Four-Year 3 in 2011-12 and 2012-13."/>
    <n v="232681"/>
    <x v="4"/>
    <s v="sem"/>
    <s v="sem"/>
    <m/>
    <m/>
    <n v="58309"/>
    <n v="57992"/>
    <n v="7097"/>
    <n v="6747"/>
    <n v="61385"/>
    <n v="61778"/>
    <n v="126791"/>
    <n v="4226.3666666666668"/>
    <n v="126517"/>
    <n v="4217.2333333333336"/>
    <n v="18"/>
    <n v="27"/>
    <n v="126791"/>
    <n v="126517"/>
    <m/>
    <m/>
    <m/>
    <m/>
    <m/>
    <m/>
    <m/>
    <m/>
    <n v="0"/>
    <n v="0"/>
    <n v="0"/>
    <n v="0"/>
    <m/>
    <m/>
    <n v="0"/>
    <n v="0"/>
    <m/>
    <m/>
    <n v="4025"/>
    <n v="3689"/>
    <n v="1848"/>
    <n v="1761"/>
    <n v="3834"/>
    <n v="3479"/>
    <n v="9707"/>
    <n v="404.45833333333331"/>
    <n v="8929"/>
    <n v="372.04166666666669"/>
    <n v="4630.8249999999998"/>
    <n v="4589.2750000000005"/>
  </r>
  <r>
    <x v="14"/>
    <s v="University of Virginia's College at Wise "/>
    <m/>
    <n v="233897"/>
    <x v="5"/>
    <s v="sem"/>
    <s v="sem"/>
    <m/>
    <m/>
    <n v="23807"/>
    <n v="23819"/>
    <n v="2810"/>
    <n v="3670"/>
    <n v="25093"/>
    <n v="26348"/>
    <n v="51710"/>
    <n v="1723.6666666666667"/>
    <n v="53837"/>
    <n v="1794.5666666666666"/>
    <n v="81"/>
    <n v="26"/>
    <n v="51710"/>
    <n v="53837"/>
    <m/>
    <m/>
    <m/>
    <m/>
    <m/>
    <m/>
    <m/>
    <m/>
    <n v="0"/>
    <n v="0"/>
    <n v="0"/>
    <n v="0"/>
    <m/>
    <m/>
    <n v="0"/>
    <n v="0"/>
    <m/>
    <m/>
    <n v="0"/>
    <n v="0"/>
    <n v="0"/>
    <n v="0"/>
    <n v="0"/>
    <n v="0"/>
    <n v="0"/>
    <n v="0"/>
    <n v="0"/>
    <n v="0"/>
    <n v="1723.6666666666667"/>
    <n v="1794.5666666666666"/>
  </r>
  <r>
    <x v="14"/>
    <s v="J.S. Reynolds Community College"/>
    <m/>
    <n v="232414"/>
    <x v="6"/>
    <s v="sem"/>
    <s v="sem"/>
    <m/>
    <m/>
    <n v="105802"/>
    <n v="109703"/>
    <n v="39720"/>
    <n v="39293"/>
    <n v="113193"/>
    <n v="106584"/>
    <n v="258715"/>
    <n v="8623.8333333333339"/>
    <n v="255580"/>
    <n v="8519.3333333333339"/>
    <n v="14126"/>
    <n v="13069"/>
    <n v="258715"/>
    <n v="255580"/>
    <m/>
    <m/>
    <m/>
    <m/>
    <m/>
    <m/>
    <m/>
    <m/>
    <n v="0"/>
    <n v="0"/>
    <n v="0"/>
    <n v="0"/>
    <m/>
    <m/>
    <n v="0"/>
    <n v="0"/>
    <m/>
    <m/>
    <n v="0"/>
    <n v="0"/>
    <n v="0"/>
    <n v="0"/>
    <n v="0"/>
    <n v="0"/>
    <n v="0"/>
    <n v="0"/>
    <n v="0"/>
    <n v="0"/>
    <n v="8623.8333333333339"/>
    <n v="8519.3333333333339"/>
  </r>
  <r>
    <x v="14"/>
    <s v="Northern Virginia Community College "/>
    <m/>
    <n v="232946"/>
    <x v="6"/>
    <s v="sem"/>
    <s v="sem"/>
    <m/>
    <m/>
    <n v="428468"/>
    <n v="436303"/>
    <n v="171453"/>
    <n v="180092"/>
    <n v="451626"/>
    <n v="463368"/>
    <n v="1051547"/>
    <n v="35051.566666666666"/>
    <n v="1079763"/>
    <n v="35992.1"/>
    <n v="30567"/>
    <n v="34962"/>
    <n v="1051547"/>
    <n v="1079763"/>
    <m/>
    <m/>
    <m/>
    <m/>
    <m/>
    <m/>
    <m/>
    <m/>
    <n v="0"/>
    <n v="0"/>
    <n v="0"/>
    <n v="0"/>
    <m/>
    <m/>
    <n v="0"/>
    <n v="0"/>
    <m/>
    <m/>
    <n v="0"/>
    <n v="0"/>
    <n v="0"/>
    <n v="0"/>
    <n v="0"/>
    <n v="0"/>
    <n v="0"/>
    <n v="0"/>
    <n v="0"/>
    <n v="0"/>
    <n v="35051.566666666666"/>
    <n v="35992.1"/>
  </r>
  <r>
    <x v="14"/>
    <s v="Thomas Nelson Community College "/>
    <m/>
    <n v="233754"/>
    <x v="6"/>
    <s v="sem"/>
    <s v="sem"/>
    <m/>
    <m/>
    <n v="92841"/>
    <n v="91630"/>
    <n v="25516"/>
    <n v="28431"/>
    <n v="96969"/>
    <n v="95059"/>
    <n v="215326"/>
    <n v="7177.5333333333338"/>
    <n v="215120"/>
    <n v="7170.666666666667"/>
    <n v="16781"/>
    <n v="18525"/>
    <n v="215326"/>
    <n v="215120"/>
    <m/>
    <m/>
    <m/>
    <m/>
    <m/>
    <m/>
    <m/>
    <m/>
    <n v="0"/>
    <n v="0"/>
    <n v="0"/>
    <n v="0"/>
    <m/>
    <m/>
    <n v="0"/>
    <n v="0"/>
    <m/>
    <m/>
    <n v="0"/>
    <n v="0"/>
    <n v="0"/>
    <n v="0"/>
    <n v="0"/>
    <n v="0"/>
    <n v="0"/>
    <n v="0"/>
    <n v="0"/>
    <n v="0"/>
    <n v="7177.5333333333338"/>
    <n v="7170.666666666667"/>
  </r>
  <r>
    <x v="14"/>
    <s v="Tidewater Community College "/>
    <m/>
    <n v="233772"/>
    <x v="6"/>
    <s v="sem"/>
    <s v="sem"/>
    <m/>
    <m/>
    <n v="289680"/>
    <n v="285108"/>
    <n v="101078"/>
    <n v="108599"/>
    <n v="300192"/>
    <n v="277105"/>
    <n v="690950"/>
    <n v="23031.666666666668"/>
    <n v="670812"/>
    <n v="22360.400000000001"/>
    <n v="20115"/>
    <n v="17898"/>
    <n v="690950"/>
    <n v="670812"/>
    <m/>
    <m/>
    <m/>
    <m/>
    <m/>
    <m/>
    <m/>
    <m/>
    <n v="0"/>
    <n v="0"/>
    <n v="0"/>
    <n v="0"/>
    <m/>
    <m/>
    <n v="0"/>
    <n v="0"/>
    <m/>
    <m/>
    <n v="0"/>
    <n v="0"/>
    <n v="0"/>
    <n v="0"/>
    <n v="0"/>
    <n v="0"/>
    <n v="0"/>
    <n v="0"/>
    <n v="0"/>
    <n v="0"/>
    <n v="23031.666666666668"/>
    <n v="22360.400000000001"/>
  </r>
  <r>
    <x v="14"/>
    <s v="Blue Ridge Community College "/>
    <m/>
    <n v="231536"/>
    <x v="7"/>
    <s v="sem"/>
    <s v="sem"/>
    <m/>
    <m/>
    <n v="40796"/>
    <n v="39231"/>
    <n v="10988"/>
    <n v="10174"/>
    <n v="42740"/>
    <n v="40476"/>
    <n v="94524"/>
    <n v="3150.8"/>
    <n v="89881"/>
    <n v="2996.0333333333333"/>
    <n v="10679"/>
    <n v="10787"/>
    <n v="94524"/>
    <n v="89881"/>
    <m/>
    <m/>
    <m/>
    <m/>
    <m/>
    <m/>
    <m/>
    <m/>
    <n v="0"/>
    <n v="0"/>
    <n v="0"/>
    <n v="0"/>
    <m/>
    <m/>
    <n v="0"/>
    <n v="0"/>
    <m/>
    <m/>
    <n v="0"/>
    <n v="0"/>
    <n v="0"/>
    <n v="0"/>
    <n v="0"/>
    <n v="0"/>
    <n v="0"/>
    <n v="0"/>
    <n v="0"/>
    <n v="0"/>
    <n v="3150.8"/>
    <n v="2996.0333333333333"/>
  </r>
  <r>
    <x v="14"/>
    <s v="Central Virginia Community College "/>
    <m/>
    <n v="231697"/>
    <x v="7"/>
    <s v="sem"/>
    <s v="sem"/>
    <m/>
    <m/>
    <n v="36115"/>
    <n v="36131"/>
    <n v="10448"/>
    <n v="10520"/>
    <n v="41438"/>
    <n v="37929"/>
    <n v="88001"/>
    <n v="2933.3666666666668"/>
    <n v="84580"/>
    <n v="2819.3333333333335"/>
    <n v="26983"/>
    <n v="28230"/>
    <n v="88001"/>
    <n v="84580"/>
    <m/>
    <m/>
    <m/>
    <m/>
    <m/>
    <m/>
    <m/>
    <m/>
    <n v="0"/>
    <n v="0"/>
    <n v="0"/>
    <n v="0"/>
    <m/>
    <m/>
    <n v="0"/>
    <n v="0"/>
    <m/>
    <m/>
    <n v="0"/>
    <n v="0"/>
    <n v="0"/>
    <n v="0"/>
    <n v="0"/>
    <n v="0"/>
    <n v="0"/>
    <n v="0"/>
    <n v="0"/>
    <n v="0"/>
    <n v="2933.3666666666668"/>
    <n v="2819.3333333333335"/>
  </r>
  <r>
    <x v="14"/>
    <s v="Danville Community College "/>
    <m/>
    <n v="231882"/>
    <x v="7"/>
    <s v="sem"/>
    <s v="sem"/>
    <m/>
    <m/>
    <n v="37477"/>
    <n v="36059"/>
    <n v="11377"/>
    <n v="10868"/>
    <n v="36528"/>
    <n v="37181"/>
    <n v="85382"/>
    <n v="2846.0666666666666"/>
    <n v="84108"/>
    <n v="2803.6"/>
    <n v="23368"/>
    <n v="21293"/>
    <n v="85382"/>
    <n v="84108"/>
    <m/>
    <m/>
    <m/>
    <m/>
    <m/>
    <m/>
    <m/>
    <m/>
    <n v="0"/>
    <n v="0"/>
    <n v="0"/>
    <n v="0"/>
    <m/>
    <m/>
    <n v="0"/>
    <n v="0"/>
    <m/>
    <m/>
    <n v="0"/>
    <n v="0"/>
    <n v="0"/>
    <n v="0"/>
    <n v="0"/>
    <n v="0"/>
    <n v="0"/>
    <n v="0"/>
    <n v="0"/>
    <n v="0"/>
    <n v="2846.0666666666666"/>
    <n v="2803.6"/>
  </r>
  <r>
    <x v="14"/>
    <s v="Germanna Community College"/>
    <m/>
    <n v="232195"/>
    <x v="7"/>
    <s v="sem"/>
    <s v="sem"/>
    <m/>
    <m/>
    <n v="58341"/>
    <n v="59439"/>
    <n v="15767"/>
    <n v="16141"/>
    <n v="65793"/>
    <n v="62430"/>
    <n v="139901"/>
    <n v="4663.3666666666668"/>
    <n v="138010"/>
    <n v="4600.333333333333"/>
    <n v="19212"/>
    <n v="17878"/>
    <n v="139901"/>
    <n v="138010"/>
    <m/>
    <m/>
    <m/>
    <m/>
    <m/>
    <m/>
    <m/>
    <m/>
    <n v="0"/>
    <n v="0"/>
    <n v="0"/>
    <n v="0"/>
    <m/>
    <m/>
    <n v="0"/>
    <n v="0"/>
    <m/>
    <m/>
    <n v="0"/>
    <n v="0"/>
    <n v="0"/>
    <n v="0"/>
    <n v="0"/>
    <n v="0"/>
    <n v="0"/>
    <n v="0"/>
    <n v="0"/>
    <n v="0"/>
    <n v="4663.3666666666668"/>
    <n v="4600.333333333333"/>
  </r>
  <r>
    <x v="14"/>
    <s v="John Tyler Community College"/>
    <s v="Met the criteria for Two-Year 1 in 2011-12 and 2012-13."/>
    <n v="232450"/>
    <x v="7"/>
    <s v="sem"/>
    <s v="sem"/>
    <m/>
    <m/>
    <n v="79717"/>
    <n v="78614"/>
    <n v="23115"/>
    <n v="24389"/>
    <n v="87506"/>
    <n v="80861"/>
    <n v="190338"/>
    <n v="6344.6"/>
    <n v="183864"/>
    <n v="6128.8"/>
    <n v="43654"/>
    <n v="43091"/>
    <n v="190338"/>
    <n v="183864"/>
    <m/>
    <m/>
    <m/>
    <m/>
    <m/>
    <m/>
    <m/>
    <m/>
    <n v="0"/>
    <n v="0"/>
    <n v="0"/>
    <n v="0"/>
    <m/>
    <m/>
    <n v="0"/>
    <n v="0"/>
    <m/>
    <m/>
    <n v="0"/>
    <n v="0"/>
    <n v="0"/>
    <n v="0"/>
    <n v="0"/>
    <n v="0"/>
    <n v="0"/>
    <n v="0"/>
    <n v="0"/>
    <n v="0"/>
    <n v="6344.6"/>
    <n v="6128.8"/>
  </r>
  <r>
    <x v="14"/>
    <s v="Lord Fairfax Community College  "/>
    <m/>
    <n v="232575"/>
    <x v="7"/>
    <s v="sem"/>
    <s v="sem"/>
    <m/>
    <m/>
    <n v="50883"/>
    <n v="52877"/>
    <n v="13294"/>
    <n v="14797"/>
    <n v="59746"/>
    <n v="59044"/>
    <n v="123923"/>
    <n v="4130.7666666666664"/>
    <n v="126718"/>
    <n v="4223.9333333333334"/>
    <n v="39380"/>
    <n v="43937"/>
    <n v="123923"/>
    <n v="126718"/>
    <m/>
    <m/>
    <m/>
    <m/>
    <m/>
    <m/>
    <m/>
    <m/>
    <n v="0"/>
    <n v="0"/>
    <n v="0"/>
    <n v="0"/>
    <m/>
    <m/>
    <n v="0"/>
    <n v="0"/>
    <m/>
    <m/>
    <n v="0"/>
    <n v="0"/>
    <n v="0"/>
    <n v="0"/>
    <n v="0"/>
    <n v="0"/>
    <n v="0"/>
    <n v="0"/>
    <n v="0"/>
    <n v="0"/>
    <n v="4130.7666666666664"/>
    <n v="4223.9333333333334"/>
  </r>
  <r>
    <x v="14"/>
    <s v="New River Community College "/>
    <m/>
    <n v="232867"/>
    <x v="7"/>
    <s v="sem"/>
    <s v="sem"/>
    <m/>
    <m/>
    <n v="43252"/>
    <n v="44203"/>
    <n v="11555"/>
    <n v="11068"/>
    <n v="45359"/>
    <n v="42969"/>
    <n v="100166"/>
    <n v="3338.8666666666668"/>
    <n v="98240"/>
    <n v="3274.6666666666665"/>
    <n v="26689"/>
    <n v="27899"/>
    <n v="100166"/>
    <n v="98240"/>
    <m/>
    <m/>
    <m/>
    <m/>
    <m/>
    <m/>
    <m/>
    <m/>
    <n v="0"/>
    <n v="0"/>
    <n v="0"/>
    <n v="0"/>
    <m/>
    <m/>
    <n v="0"/>
    <n v="0"/>
    <m/>
    <m/>
    <n v="0"/>
    <n v="0"/>
    <n v="0"/>
    <n v="0"/>
    <n v="0"/>
    <n v="0"/>
    <n v="0"/>
    <n v="0"/>
    <n v="0"/>
    <n v="0"/>
    <n v="3338.8666666666668"/>
    <n v="3274.6666666666665"/>
  </r>
  <r>
    <x v="14"/>
    <s v="Patrick Henry Community College "/>
    <m/>
    <n v="233019"/>
    <x v="7"/>
    <s v="sem"/>
    <s v="sem"/>
    <m/>
    <m/>
    <n v="31372"/>
    <n v="31342"/>
    <n v="10053"/>
    <n v="10391"/>
    <n v="33634"/>
    <n v="31537"/>
    <n v="75059"/>
    <n v="2501.9666666666667"/>
    <n v="73270"/>
    <n v="2442.3333333333335"/>
    <n v="20496"/>
    <n v="22362"/>
    <n v="75059"/>
    <n v="73270"/>
    <m/>
    <m/>
    <m/>
    <m/>
    <m/>
    <m/>
    <m/>
    <m/>
    <n v="0"/>
    <n v="0"/>
    <n v="0"/>
    <n v="0"/>
    <m/>
    <m/>
    <n v="0"/>
    <n v="0"/>
    <m/>
    <m/>
    <n v="0"/>
    <n v="0"/>
    <n v="0"/>
    <n v="0"/>
    <n v="0"/>
    <n v="0"/>
    <n v="0"/>
    <n v="0"/>
    <n v="0"/>
    <n v="0"/>
    <n v="2501.9666666666667"/>
    <n v="2442.3333333333335"/>
  </r>
  <r>
    <x v="14"/>
    <s v="Piedmont Virginia Community College "/>
    <m/>
    <n v="233116"/>
    <x v="7"/>
    <s v="sem"/>
    <s v="sem"/>
    <m/>
    <m/>
    <n v="40280"/>
    <n v="39108"/>
    <n v="9578"/>
    <n v="10110"/>
    <n v="41772"/>
    <n v="42187"/>
    <n v="91630"/>
    <n v="3054.3333333333335"/>
    <n v="91405"/>
    <n v="3046.8333333333335"/>
    <n v="23669"/>
    <n v="23641"/>
    <n v="91630"/>
    <n v="91405"/>
    <m/>
    <m/>
    <m/>
    <m/>
    <m/>
    <m/>
    <m/>
    <m/>
    <n v="0"/>
    <n v="0"/>
    <n v="0"/>
    <n v="0"/>
    <m/>
    <m/>
    <n v="0"/>
    <n v="0"/>
    <m/>
    <m/>
    <n v="0"/>
    <n v="0"/>
    <n v="0"/>
    <n v="0"/>
    <n v="0"/>
    <n v="0"/>
    <n v="0"/>
    <n v="0"/>
    <n v="0"/>
    <n v="0"/>
    <n v="3054.3333333333335"/>
    <n v="3046.8333333333335"/>
  </r>
  <r>
    <x v="14"/>
    <s v="Southside Virginia Community College  "/>
    <m/>
    <n v="233639"/>
    <x v="7"/>
    <s v="sem"/>
    <s v="sem"/>
    <m/>
    <m/>
    <n v="49468"/>
    <n v="47196"/>
    <n v="15851"/>
    <n v="17221"/>
    <n v="54965"/>
    <n v="51494"/>
    <n v="120284"/>
    <n v="4009.4666666666667"/>
    <n v="115911"/>
    <n v="3863.7"/>
    <n v="56952"/>
    <n v="63550"/>
    <n v="120284"/>
    <n v="115911"/>
    <m/>
    <m/>
    <m/>
    <m/>
    <m/>
    <m/>
    <m/>
    <m/>
    <n v="0"/>
    <n v="0"/>
    <n v="0"/>
    <n v="0"/>
    <m/>
    <m/>
    <n v="0"/>
    <n v="0"/>
    <m/>
    <m/>
    <n v="0"/>
    <n v="0"/>
    <n v="0"/>
    <n v="0"/>
    <n v="0"/>
    <n v="0"/>
    <n v="0"/>
    <n v="0"/>
    <n v="0"/>
    <n v="0"/>
    <n v="4009.4666666666667"/>
    <n v="3863.7"/>
  </r>
  <r>
    <x v="14"/>
    <s v="Southwest Virginia Community College "/>
    <s v="Met the criteria for Two-Year 3 in 2012-13."/>
    <n v="233648"/>
    <x v="7"/>
    <s v="sem"/>
    <s v="sem"/>
    <m/>
    <m/>
    <n v="28095"/>
    <n v="24684"/>
    <n v="9907"/>
    <n v="9797"/>
    <n v="28828"/>
    <n v="24876"/>
    <n v="66830"/>
    <n v="2227.6666666666665"/>
    <n v="59357"/>
    <n v="1978.5666666666666"/>
    <n v="20545"/>
    <n v="19271"/>
    <n v="66830"/>
    <n v="59357"/>
    <m/>
    <m/>
    <m/>
    <m/>
    <m/>
    <m/>
    <m/>
    <m/>
    <n v="0"/>
    <n v="0"/>
    <n v="0"/>
    <n v="0"/>
    <m/>
    <m/>
    <n v="0"/>
    <n v="0"/>
    <m/>
    <m/>
    <n v="0"/>
    <n v="0"/>
    <n v="0"/>
    <n v="0"/>
    <n v="0"/>
    <n v="0"/>
    <n v="0"/>
    <n v="0"/>
    <n v="0"/>
    <n v="0"/>
    <n v="2227.6666666666665"/>
    <n v="1978.5666666666666"/>
  </r>
  <r>
    <x v="14"/>
    <s v="Virginia Western Community College "/>
    <m/>
    <n v="233949"/>
    <x v="7"/>
    <s v="sem"/>
    <s v="sem"/>
    <m/>
    <m/>
    <n v="64855"/>
    <n v="63610"/>
    <n v="16210"/>
    <n v="16665"/>
    <n v="66680"/>
    <n v="66570"/>
    <n v="147745"/>
    <n v="4924.833333333333"/>
    <n v="146845"/>
    <n v="4894.833333333333"/>
    <n v="36689"/>
    <n v="35649"/>
    <n v="147745"/>
    <n v="146845"/>
    <m/>
    <m/>
    <m/>
    <m/>
    <m/>
    <m/>
    <m/>
    <m/>
    <n v="0"/>
    <n v="0"/>
    <n v="0"/>
    <n v="0"/>
    <m/>
    <m/>
    <n v="0"/>
    <n v="0"/>
    <m/>
    <m/>
    <n v="0"/>
    <n v="0"/>
    <n v="0"/>
    <n v="0"/>
    <n v="0"/>
    <n v="0"/>
    <n v="0"/>
    <n v="0"/>
    <n v="0"/>
    <n v="0"/>
    <n v="4924.833333333333"/>
    <n v="4894.833333333333"/>
  </r>
  <r>
    <x v="14"/>
    <s v="Wytheville Community College "/>
    <m/>
    <n v="234377"/>
    <x v="7"/>
    <s v="sem"/>
    <s v="sem"/>
    <m/>
    <m/>
    <n v="30591"/>
    <n v="28458"/>
    <n v="11004"/>
    <n v="10541"/>
    <n v="31021"/>
    <n v="30401"/>
    <n v="72616"/>
    <n v="2420.5333333333333"/>
    <n v="69400"/>
    <n v="2313.3333333333335"/>
    <n v="22857"/>
    <n v="24178"/>
    <n v="72616"/>
    <n v="69400"/>
    <m/>
    <m/>
    <m/>
    <m/>
    <m/>
    <m/>
    <m/>
    <m/>
    <n v="0"/>
    <n v="0"/>
    <n v="0"/>
    <n v="0"/>
    <m/>
    <m/>
    <n v="0"/>
    <n v="0"/>
    <m/>
    <m/>
    <n v="0"/>
    <n v="0"/>
    <n v="0"/>
    <n v="0"/>
    <n v="0"/>
    <n v="0"/>
    <n v="0"/>
    <n v="0"/>
    <n v="0"/>
    <n v="0"/>
    <n v="2420.5333333333333"/>
    <n v="2313.3333333333335"/>
  </r>
  <r>
    <x v="14"/>
    <s v="D.S. Lancaster Community College "/>
    <m/>
    <n v="231873"/>
    <x v="8"/>
    <s v="sem"/>
    <s v="sem"/>
    <m/>
    <m/>
    <n v="11099"/>
    <n v="11160"/>
    <n v="2749"/>
    <n v="2900"/>
    <n v="12784"/>
    <n v="11931"/>
    <n v="26632"/>
    <n v="887.73333333333335"/>
    <n v="25991"/>
    <n v="866.36666666666667"/>
    <n v="8949"/>
    <n v="9103"/>
    <n v="26632"/>
    <n v="25991"/>
    <m/>
    <m/>
    <m/>
    <m/>
    <m/>
    <m/>
    <m/>
    <m/>
    <n v="0"/>
    <n v="0"/>
    <n v="0"/>
    <n v="0"/>
    <m/>
    <m/>
    <n v="0"/>
    <n v="0"/>
    <m/>
    <m/>
    <n v="0"/>
    <n v="0"/>
    <n v="0"/>
    <n v="0"/>
    <n v="0"/>
    <n v="0"/>
    <n v="0"/>
    <n v="0"/>
    <n v="0"/>
    <n v="0"/>
    <n v="887.73333333333335"/>
    <n v="866.36666666666667"/>
  </r>
  <r>
    <x v="14"/>
    <s v="Eastern Shore Community College  "/>
    <m/>
    <n v="232052"/>
    <x v="8"/>
    <s v="sem"/>
    <s v="sem"/>
    <m/>
    <m/>
    <n v="9373"/>
    <n v="8578"/>
    <n v="1746"/>
    <n v="1516"/>
    <n v="9093"/>
    <n v="8341"/>
    <n v="20212"/>
    <n v="673.73333333333335"/>
    <n v="18435"/>
    <n v="614.5"/>
    <n v="5181"/>
    <n v="4877"/>
    <n v="20212"/>
    <n v="18435"/>
    <m/>
    <m/>
    <m/>
    <m/>
    <m/>
    <m/>
    <m/>
    <m/>
    <n v="0"/>
    <n v="0"/>
    <n v="0"/>
    <n v="0"/>
    <m/>
    <m/>
    <n v="0"/>
    <n v="0"/>
    <m/>
    <m/>
    <n v="0"/>
    <n v="0"/>
    <n v="0"/>
    <n v="0"/>
    <n v="0"/>
    <n v="0"/>
    <n v="0"/>
    <n v="0"/>
    <n v="0"/>
    <n v="0"/>
    <n v="673.73333333333335"/>
    <n v="614.5"/>
  </r>
  <r>
    <x v="14"/>
    <s v="Mountain Empire Community College"/>
    <s v="Reclassified: Met the criteria for Two-Year 2 in 2010-11, 2011-12, and 2012-13."/>
    <n v="232788"/>
    <x v="7"/>
    <s v="sem"/>
    <s v="sem"/>
    <m/>
    <m/>
    <n v="27184"/>
    <n v="25521"/>
    <n v="8105"/>
    <n v="7806"/>
    <n v="29806"/>
    <n v="28344"/>
    <n v="65095"/>
    <n v="2169.8333333333335"/>
    <n v="61671"/>
    <n v="2055.6999999999998"/>
    <n v="20685"/>
    <n v="19970"/>
    <n v="65095"/>
    <n v="61671"/>
    <m/>
    <m/>
    <m/>
    <m/>
    <m/>
    <m/>
    <m/>
    <m/>
    <n v="0"/>
    <n v="0"/>
    <n v="0"/>
    <n v="0"/>
    <m/>
    <m/>
    <n v="0"/>
    <n v="0"/>
    <m/>
    <m/>
    <n v="0"/>
    <n v="0"/>
    <n v="0"/>
    <n v="0"/>
    <n v="0"/>
    <n v="0"/>
    <n v="0"/>
    <n v="0"/>
    <n v="0"/>
    <n v="0"/>
    <n v="2169.8333333333335"/>
    <n v="2055.6999999999998"/>
  </r>
  <r>
    <x v="14"/>
    <s v="Paul D. Camp Community College  "/>
    <m/>
    <n v="233037"/>
    <x v="8"/>
    <s v="sem"/>
    <s v="sem"/>
    <m/>
    <m/>
    <n v="13573"/>
    <n v="13066"/>
    <n v="5713"/>
    <n v="5860"/>
    <n v="13923"/>
    <n v="11864"/>
    <n v="33209"/>
    <n v="1106.9666666666667"/>
    <n v="30790"/>
    <n v="1026.3333333333333"/>
    <n v="8874"/>
    <n v="9500"/>
    <n v="33209"/>
    <n v="30790"/>
    <m/>
    <m/>
    <m/>
    <m/>
    <m/>
    <m/>
    <m/>
    <m/>
    <n v="0"/>
    <n v="0"/>
    <n v="0"/>
    <n v="0"/>
    <m/>
    <m/>
    <n v="0"/>
    <n v="0"/>
    <m/>
    <m/>
    <n v="0"/>
    <n v="0"/>
    <n v="0"/>
    <n v="0"/>
    <n v="0"/>
    <n v="0"/>
    <n v="0"/>
    <n v="0"/>
    <n v="0"/>
    <n v="0"/>
    <n v="1106.9666666666667"/>
    <n v="1026.3333333333333"/>
  </r>
  <r>
    <x v="14"/>
    <s v="Rappahannock Community College  "/>
    <s v="Met the criteria for Two-Year 2 in 2011-12 and 2012-13."/>
    <n v="233310"/>
    <x v="8"/>
    <s v="sem"/>
    <s v="sem"/>
    <m/>
    <m/>
    <n v="26314"/>
    <n v="26560"/>
    <n v="6466"/>
    <n v="7115"/>
    <n v="28026"/>
    <n v="28562"/>
    <n v="60806"/>
    <n v="2026.8666666666666"/>
    <n v="62237"/>
    <n v="2074.5666666666666"/>
    <n v="39065"/>
    <n v="41490"/>
    <n v="60806"/>
    <n v="62237"/>
    <m/>
    <m/>
    <m/>
    <m/>
    <m/>
    <m/>
    <m/>
    <m/>
    <n v="0"/>
    <n v="0"/>
    <n v="0"/>
    <n v="0"/>
    <m/>
    <m/>
    <n v="0"/>
    <n v="0"/>
    <m/>
    <m/>
    <n v="0"/>
    <n v="0"/>
    <n v="0"/>
    <n v="0"/>
    <n v="0"/>
    <n v="0"/>
    <n v="0"/>
    <n v="0"/>
    <n v="0"/>
    <n v="0"/>
    <n v="2026.8666666666666"/>
    <n v="2074.5666666666666"/>
  </r>
  <r>
    <x v="14"/>
    <s v="Richard Bland College "/>
    <m/>
    <n v="233338"/>
    <x v="8"/>
    <s v="sem"/>
    <s v="sem"/>
    <m/>
    <m/>
    <n v="15096"/>
    <n v="15080"/>
    <n v="2853"/>
    <n v="2691"/>
    <n v="17304"/>
    <n v="16747"/>
    <n v="35253"/>
    <n v="1175.0999999999999"/>
    <n v="34518"/>
    <n v="1150.5999999999999"/>
    <n v="4287"/>
    <n v="4931"/>
    <n v="35253"/>
    <n v="34518"/>
    <m/>
    <m/>
    <m/>
    <m/>
    <m/>
    <m/>
    <m/>
    <m/>
    <n v="0"/>
    <n v="0"/>
    <n v="0"/>
    <n v="0"/>
    <m/>
    <m/>
    <n v="0"/>
    <n v="0"/>
    <m/>
    <m/>
    <n v="0"/>
    <n v="0"/>
    <n v="0"/>
    <n v="0"/>
    <n v="0"/>
    <n v="0"/>
    <n v="0"/>
    <n v="0"/>
    <n v="0"/>
    <n v="0"/>
    <n v="1175.0999999999999"/>
    <n v="1150.5999999999999"/>
  </r>
  <r>
    <x v="14"/>
    <s v="Virginia Highlands Community College "/>
    <m/>
    <n v="233903"/>
    <x v="8"/>
    <s v="sem"/>
    <s v="sem"/>
    <m/>
    <m/>
    <n v="23290"/>
    <n v="22800"/>
    <n v="5333"/>
    <n v="5927"/>
    <n v="26350"/>
    <n v="23828"/>
    <n v="54973"/>
    <n v="1832.4333333333334"/>
    <n v="52555"/>
    <n v="1751.8333333333333"/>
    <n v="15623"/>
    <n v="16077"/>
    <n v="54973"/>
    <n v="52555"/>
    <m/>
    <m/>
    <m/>
    <m/>
    <m/>
    <m/>
    <m/>
    <m/>
    <n v="0"/>
    <n v="0"/>
    <n v="0"/>
    <n v="0"/>
    <m/>
    <m/>
    <n v="0"/>
    <n v="0"/>
    <m/>
    <m/>
    <n v="0"/>
    <n v="0"/>
    <n v="0"/>
    <n v="0"/>
    <n v="0"/>
    <n v="0"/>
    <n v="0"/>
    <n v="0"/>
    <n v="0"/>
    <n v="0"/>
    <n v="1832.4333333333334"/>
    <n v="1751.8333333333333"/>
  </r>
  <r>
    <x v="14"/>
    <m/>
    <s v="all 8's"/>
    <m/>
    <x v="14"/>
    <m/>
    <m/>
    <m/>
    <m/>
    <n v="916791"/>
    <m/>
    <n v="337767"/>
    <m/>
    <n v="961980"/>
    <m/>
    <n v="2216538"/>
    <n v="73884.600000000006"/>
    <n v="0"/>
    <n v="0"/>
    <n v="81589"/>
    <n v="0"/>
    <n v="2216538"/>
    <n v="0"/>
    <m/>
    <m/>
    <m/>
    <m/>
    <m/>
    <m/>
    <m/>
    <m/>
    <n v="0"/>
    <n v="0"/>
    <n v="0"/>
    <n v="0"/>
    <m/>
    <m/>
    <n v="0"/>
    <n v="0"/>
    <m/>
    <m/>
    <m/>
    <n v="0"/>
    <m/>
    <n v="0"/>
    <m/>
    <n v="0"/>
    <n v="0"/>
    <n v="0"/>
    <n v="0"/>
    <n v="0"/>
    <n v="73884.600000000006"/>
    <n v="0"/>
  </r>
  <r>
    <x v="14"/>
    <m/>
    <s v="all 9's"/>
    <m/>
    <x v="15"/>
    <m/>
    <m/>
    <m/>
    <m/>
    <n v="591242"/>
    <m/>
    <n v="169147"/>
    <m/>
    <n v="636010"/>
    <m/>
    <n v="1396399"/>
    <n v="46546.633333333331"/>
    <n v="0"/>
    <n v="0"/>
    <n v="371173"/>
    <m/>
    <n v="1396399"/>
    <n v="0"/>
    <m/>
    <m/>
    <m/>
    <m/>
    <m/>
    <m/>
    <m/>
    <m/>
    <n v="0"/>
    <n v="0"/>
    <n v="0"/>
    <n v="0"/>
    <m/>
    <m/>
    <n v="0"/>
    <n v="0"/>
    <m/>
    <m/>
    <m/>
    <m/>
    <m/>
    <m/>
    <m/>
    <m/>
    <n v="0"/>
    <n v="0"/>
    <n v="0"/>
    <n v="0"/>
    <n v="46546.633333333331"/>
    <n v="0"/>
  </r>
  <r>
    <x v="14"/>
    <m/>
    <s v="All'10's except R.B."/>
    <m/>
    <x v="16"/>
    <m/>
    <m/>
    <m/>
    <m/>
    <n v="110833"/>
    <m/>
    <n v="30112"/>
    <m/>
    <n v="119982"/>
    <m/>
    <n v="260927"/>
    <n v="8697.5666666666675"/>
    <n v="0"/>
    <n v="0"/>
    <n v="98377"/>
    <m/>
    <n v="260927"/>
    <n v="0"/>
    <m/>
    <m/>
    <m/>
    <m/>
    <m/>
    <m/>
    <m/>
    <m/>
    <n v="0"/>
    <n v="0"/>
    <n v="0"/>
    <n v="0"/>
    <m/>
    <m/>
    <n v="0"/>
    <n v="0"/>
    <m/>
    <m/>
    <m/>
    <m/>
    <m/>
    <m/>
    <m/>
    <m/>
    <n v="0"/>
    <n v="0"/>
    <n v="0"/>
    <n v="0"/>
    <n v="8697.5666666666675"/>
    <n v="0"/>
  </r>
  <r>
    <x v="14"/>
    <s v="Richard Bland College B"/>
    <m/>
    <n v="233338"/>
    <x v="16"/>
    <s v="sem"/>
    <s v="sem"/>
    <m/>
    <m/>
    <n v="26314"/>
    <m/>
    <n v="6466"/>
    <m/>
    <n v="28026"/>
    <m/>
    <n v="60806"/>
    <n v="2026.8666666666666"/>
    <n v="0"/>
    <n v="0"/>
    <n v="39065"/>
    <m/>
    <n v="60806"/>
    <n v="0"/>
    <m/>
    <m/>
    <m/>
    <m/>
    <m/>
    <m/>
    <m/>
    <m/>
    <n v="0"/>
    <n v="0"/>
    <n v="0"/>
    <n v="0"/>
    <m/>
    <m/>
    <n v="0"/>
    <n v="0"/>
    <m/>
    <m/>
    <n v="0"/>
    <m/>
    <m/>
    <m/>
    <m/>
    <m/>
    <n v="0"/>
    <n v="0"/>
    <n v="0"/>
    <n v="0"/>
    <n v="2026.8666666666666"/>
    <n v="0"/>
  </r>
  <r>
    <x v="14"/>
    <s v="All Community Colleges except R. Bland"/>
    <m/>
    <s v="All CC - Bland"/>
    <x v="12"/>
    <s v="sem"/>
    <s v="sem"/>
    <m/>
    <m/>
    <n v="1607648"/>
    <m/>
    <n v="533413"/>
    <m/>
    <n v="1707250"/>
    <m/>
    <n v="3848311"/>
    <n v="128277.03333333334"/>
    <n v="0"/>
    <n v="0"/>
    <n v="516361"/>
    <m/>
    <n v="3848311"/>
    <n v="0"/>
    <m/>
    <m/>
    <m/>
    <m/>
    <m/>
    <m/>
    <m/>
    <m/>
    <n v="0"/>
    <n v="0"/>
    <n v="0"/>
    <n v="0"/>
    <m/>
    <m/>
    <n v="0"/>
    <n v="0"/>
    <m/>
    <m/>
    <m/>
    <m/>
    <m/>
    <m/>
    <m/>
    <m/>
    <n v="0"/>
    <n v="0"/>
    <n v="0"/>
    <n v="0"/>
    <n v="128277.03333333334"/>
    <n v="0"/>
  </r>
  <r>
    <x v="15"/>
    <s v="West Virginia University"/>
    <m/>
    <n v="238032"/>
    <x v="0"/>
    <s v="sem"/>
    <s v="sem"/>
    <m/>
    <m/>
    <n v="292311"/>
    <n v="296949"/>
    <n v="40962"/>
    <n v="41146"/>
    <n v="322365"/>
    <n v="323322"/>
    <n v="655638"/>
    <n v="21854.6"/>
    <n v="661417"/>
    <n v="22047.233333333334"/>
    <n v="3023"/>
    <n v="3343"/>
    <n v="655638"/>
    <n v="661417"/>
    <m/>
    <m/>
    <m/>
    <m/>
    <m/>
    <m/>
    <m/>
    <m/>
    <n v="0"/>
    <n v="0"/>
    <n v="0"/>
    <n v="0"/>
    <m/>
    <m/>
    <n v="0"/>
    <n v="0"/>
    <m/>
    <m/>
    <n v="50008"/>
    <n v="48168"/>
    <n v="19728"/>
    <n v="19500"/>
    <n v="48627"/>
    <n v="49007"/>
    <n v="118363"/>
    <n v="4931.791666666667"/>
    <n v="116675"/>
    <n v="4861.458333333333"/>
    <n v="26786.391666666666"/>
    <n v="26908.691666666666"/>
  </r>
  <r>
    <x v="15"/>
    <s v="Marshall University "/>
    <m/>
    <n v="237525"/>
    <x v="2"/>
    <s v="sem"/>
    <s v="sem"/>
    <m/>
    <m/>
    <n v="119513"/>
    <n v="116953"/>
    <n v="19524"/>
    <n v="16461"/>
    <n v="131409"/>
    <n v="130646"/>
    <n v="270446"/>
    <n v="9014.8666666666668"/>
    <n v="264060"/>
    <n v="8802"/>
    <n v="4055"/>
    <n v="4215"/>
    <n v="270446"/>
    <n v="264060"/>
    <m/>
    <m/>
    <m/>
    <m/>
    <m/>
    <m/>
    <m/>
    <m/>
    <n v="0"/>
    <n v="0"/>
    <n v="0"/>
    <n v="0"/>
    <m/>
    <m/>
    <n v="0"/>
    <n v="0"/>
    <m/>
    <m/>
    <n v="24072"/>
    <n v="22002"/>
    <n v="12682"/>
    <n v="11103"/>
    <n v="21984"/>
    <n v="22379"/>
    <n v="58738"/>
    <n v="2447.4166666666665"/>
    <n v="55484"/>
    <n v="2311.8333333333335"/>
    <n v="11462.283333333333"/>
    <n v="11113.833333333334"/>
  </r>
  <r>
    <x v="15"/>
    <s v="Fairmont State University"/>
    <m/>
    <n v="237367"/>
    <x v="4"/>
    <s v="sem"/>
    <s v="sem"/>
    <m/>
    <m/>
    <n v="54393"/>
    <n v="52632"/>
    <n v="7303"/>
    <n v="6860"/>
    <n v="57398"/>
    <n v="56311"/>
    <n v="119094"/>
    <n v="3969.8"/>
    <n v="115803"/>
    <n v="3860.1"/>
    <n v="55"/>
    <n v="36"/>
    <n v="119094"/>
    <n v="115803"/>
    <m/>
    <m/>
    <m/>
    <m/>
    <m/>
    <m/>
    <m/>
    <m/>
    <n v="0"/>
    <n v="0"/>
    <n v="0"/>
    <n v="0"/>
    <m/>
    <m/>
    <n v="0"/>
    <n v="0"/>
    <m/>
    <m/>
    <n v="2053"/>
    <n v="2255"/>
    <n v="1063"/>
    <n v="1242"/>
    <n v="2369"/>
    <n v="2347"/>
    <n v="5485"/>
    <n v="228.54166666666666"/>
    <n v="5844"/>
    <n v="243.5"/>
    <n v="4198.3416666666672"/>
    <n v="4103.6000000000004"/>
  </r>
  <r>
    <x v="15"/>
    <s v="Shepherd University "/>
    <m/>
    <n v="237792"/>
    <x v="4"/>
    <s v="sem"/>
    <s v="sem"/>
    <m/>
    <m/>
    <n v="52147"/>
    <n v="51726.5"/>
    <n v="4462"/>
    <n v="4213"/>
    <n v="56757.5"/>
    <n v="55886.5"/>
    <n v="113366.5"/>
    <n v="3778.8833333333332"/>
    <n v="111826"/>
    <n v="3727.5333333333333"/>
    <n v="53"/>
    <n v="106"/>
    <n v="113366.5"/>
    <n v="111826"/>
    <m/>
    <m/>
    <m/>
    <m/>
    <m/>
    <m/>
    <m/>
    <m/>
    <n v="0"/>
    <n v="0"/>
    <n v="0"/>
    <n v="0"/>
    <m/>
    <m/>
    <n v="0"/>
    <n v="0"/>
    <m/>
    <m/>
    <n v="893"/>
    <n v="958"/>
    <n v="475"/>
    <n v="522"/>
    <n v="938"/>
    <n v="1051"/>
    <n v="2306"/>
    <n v="96.083333333333329"/>
    <n v="2531"/>
    <n v="105.45833333333333"/>
    <n v="3874.9666666666667"/>
    <n v="3832.9916666666668"/>
  </r>
  <r>
    <x v="15"/>
    <s v="Bluefield State College "/>
    <m/>
    <n v="237215"/>
    <x v="5"/>
    <s v="sem"/>
    <s v="sem"/>
    <m/>
    <m/>
    <n v="24279"/>
    <n v="24278"/>
    <n v="3834"/>
    <n v="3108"/>
    <n v="25568"/>
    <n v="25885"/>
    <n v="53681"/>
    <n v="1789.3666666666666"/>
    <n v="53271"/>
    <n v="1775.7"/>
    <n v="275"/>
    <n v="349"/>
    <n v="53681"/>
    <n v="53271"/>
    <m/>
    <m/>
    <m/>
    <m/>
    <m/>
    <m/>
    <m/>
    <m/>
    <n v="0"/>
    <n v="0"/>
    <n v="0"/>
    <n v="0"/>
    <m/>
    <m/>
    <n v="0"/>
    <n v="0"/>
    <m/>
    <m/>
    <m/>
    <m/>
    <m/>
    <m/>
    <m/>
    <m/>
    <n v="0"/>
    <n v="0"/>
    <n v="0"/>
    <n v="0"/>
    <n v="1789.3666666666666"/>
    <n v="1775.7"/>
  </r>
  <r>
    <x v="15"/>
    <s v="Concord University "/>
    <m/>
    <n v="237330"/>
    <x v="5"/>
    <s v="sem"/>
    <s v="sem"/>
    <m/>
    <m/>
    <n v="37071"/>
    <n v="34587"/>
    <n v="4258"/>
    <n v="4041"/>
    <n v="39794"/>
    <n v="37969"/>
    <n v="81123"/>
    <n v="2704.1"/>
    <n v="76597"/>
    <n v="2553.2333333333331"/>
    <n v="916"/>
    <n v="739"/>
    <n v="81123"/>
    <n v="76597"/>
    <m/>
    <m/>
    <m/>
    <m/>
    <m/>
    <m/>
    <m/>
    <m/>
    <n v="0"/>
    <n v="0"/>
    <n v="0"/>
    <n v="0"/>
    <m/>
    <m/>
    <n v="0"/>
    <n v="0"/>
    <m/>
    <m/>
    <n v="1191"/>
    <n v="2312"/>
    <n v="1365"/>
    <n v="2046"/>
    <n v="1814"/>
    <n v="1147"/>
    <n v="4370"/>
    <n v="182.08333333333334"/>
    <n v="5505"/>
    <n v="229.375"/>
    <n v="2886.1833333333334"/>
    <n v="2782.6083333333331"/>
  </r>
  <r>
    <x v="15"/>
    <s v="Glenville State College "/>
    <m/>
    <n v="237385"/>
    <x v="5"/>
    <s v="sem"/>
    <s v="sem"/>
    <m/>
    <m/>
    <n v="20427.099999999999"/>
    <n v="19207"/>
    <n v="3115"/>
    <n v="2725"/>
    <n v="21475.1"/>
    <n v="21524.1"/>
    <n v="45017.2"/>
    <n v="1500.5733333333333"/>
    <n v="43456.1"/>
    <n v="1448.5366666666666"/>
    <n v="1366"/>
    <n v="1840"/>
    <n v="45017.2"/>
    <n v="43456.1"/>
    <m/>
    <m/>
    <m/>
    <m/>
    <m/>
    <m/>
    <m/>
    <m/>
    <n v="0"/>
    <n v="0"/>
    <n v="0"/>
    <n v="0"/>
    <m/>
    <m/>
    <n v="0"/>
    <n v="0"/>
    <m/>
    <m/>
    <m/>
    <m/>
    <m/>
    <m/>
    <m/>
    <m/>
    <n v="0"/>
    <n v="0"/>
    <n v="0"/>
    <n v="0"/>
    <n v="1500.5733333333333"/>
    <n v="1448.5366666666666"/>
  </r>
  <r>
    <x v="15"/>
    <s v="West Liberty University"/>
    <m/>
    <n v="237932"/>
    <x v="5"/>
    <s v="sem"/>
    <s v="sem"/>
    <m/>
    <m/>
    <n v="35259"/>
    <n v="35783"/>
    <n v="2100"/>
    <n v="2472"/>
    <n v="39454"/>
    <n v="39287"/>
    <n v="76813"/>
    <n v="2560.4333333333334"/>
    <n v="77542"/>
    <n v="2584.7333333333331"/>
    <n v="1049"/>
    <n v="1473"/>
    <n v="76813"/>
    <n v="77542"/>
    <m/>
    <m/>
    <m/>
    <m/>
    <m/>
    <m/>
    <m/>
    <m/>
    <n v="0"/>
    <n v="0"/>
    <n v="0"/>
    <n v="0"/>
    <m/>
    <m/>
    <n v="0"/>
    <n v="0"/>
    <m/>
    <m/>
    <n v="379"/>
    <n v="492"/>
    <n v="321"/>
    <n v="641"/>
    <n v="385"/>
    <n v="706"/>
    <n v="1085"/>
    <n v="45.208333333333336"/>
    <n v="1839"/>
    <n v="76.625"/>
    <n v="2605.6416666666669"/>
    <n v="2661.3583333333331"/>
  </r>
  <r>
    <x v="15"/>
    <s v="West Virginia State University "/>
    <m/>
    <n v="237899"/>
    <x v="5"/>
    <s v="sem"/>
    <s v="sem"/>
    <m/>
    <m/>
    <n v="33558"/>
    <n v="30993"/>
    <n v="2737"/>
    <n v="2131"/>
    <n v="33566"/>
    <n v="31490"/>
    <n v="69861"/>
    <n v="2328.6999999999998"/>
    <n v="64614"/>
    <n v="2153.8000000000002"/>
    <n v="3077"/>
    <n v="2772"/>
    <n v="69861"/>
    <n v="64614"/>
    <m/>
    <m/>
    <m/>
    <m/>
    <m/>
    <m/>
    <m/>
    <m/>
    <n v="0"/>
    <n v="0"/>
    <n v="0"/>
    <n v="0"/>
    <m/>
    <m/>
    <n v="0"/>
    <n v="0"/>
    <m/>
    <m/>
    <n v="390"/>
    <n v="546"/>
    <n v="30"/>
    <n v="72"/>
    <n v="419"/>
    <n v="520"/>
    <n v="839"/>
    <n v="34.958333333333336"/>
    <n v="1138"/>
    <n v="47.416666666666664"/>
    <n v="2363.6583333333333"/>
    <n v="2201.2166666666667"/>
  </r>
  <r>
    <x v="15"/>
    <s v="West Virginia University Institute of Technology"/>
    <m/>
    <n v="237950"/>
    <x v="5"/>
    <s v="sem"/>
    <s v="sem"/>
    <m/>
    <m/>
    <n v="15230"/>
    <n v="13594"/>
    <n v="1090"/>
    <n v="904"/>
    <n v="16657"/>
    <n v="14289"/>
    <n v="32977"/>
    <n v="1099.2333333333333"/>
    <n v="28787"/>
    <n v="959.56666666666672"/>
    <n v="991"/>
    <n v="738"/>
    <n v="32977"/>
    <n v="28787"/>
    <m/>
    <m/>
    <m/>
    <m/>
    <m/>
    <m/>
    <m/>
    <m/>
    <n v="0"/>
    <n v="0"/>
    <n v="0"/>
    <n v="0"/>
    <m/>
    <m/>
    <n v="0"/>
    <n v="0"/>
    <m/>
    <m/>
    <m/>
    <m/>
    <m/>
    <m/>
    <m/>
    <m/>
    <n v="0"/>
    <n v="0"/>
    <n v="0"/>
    <n v="0"/>
    <n v="1099.2333333333333"/>
    <n v="959.56666666666672"/>
  </r>
  <r>
    <x v="15"/>
    <s v="Potomac State College of West Virginia University"/>
    <m/>
    <n v="237701"/>
    <x v="11"/>
    <s v="sem"/>
    <s v="sem"/>
    <m/>
    <m/>
    <n v="20574"/>
    <n v="19111"/>
    <n v="1918"/>
    <n v="1719"/>
    <n v="22570"/>
    <n v="22771"/>
    <n v="45062"/>
    <n v="1502.0666666666666"/>
    <n v="43601"/>
    <n v="1453.3666666666666"/>
    <n v="2317"/>
    <n v="2043"/>
    <n v="45062"/>
    <n v="43601"/>
    <m/>
    <m/>
    <m/>
    <m/>
    <m/>
    <m/>
    <m/>
    <m/>
    <n v="0"/>
    <n v="0"/>
    <n v="0"/>
    <n v="0"/>
    <m/>
    <m/>
    <n v="0"/>
    <n v="0"/>
    <m/>
    <m/>
    <m/>
    <m/>
    <m/>
    <m/>
    <m/>
    <m/>
    <n v="0"/>
    <n v="0"/>
    <n v="0"/>
    <n v="0"/>
    <n v="1502.0666666666666"/>
    <n v="1453.3666666666666"/>
  </r>
  <r>
    <x v="15"/>
    <s v="West Virginia University at Parkersburg"/>
    <m/>
    <n v="237686"/>
    <x v="11"/>
    <s v="sem"/>
    <s v="sem"/>
    <m/>
    <m/>
    <n v="47232"/>
    <n v="40909"/>
    <n v="10936"/>
    <n v="8115"/>
    <n v="45336"/>
    <n v="41550"/>
    <n v="103504"/>
    <n v="3450.1333333333332"/>
    <n v="90574"/>
    <n v="3019.1333333333332"/>
    <n v="3426"/>
    <n v="3385"/>
    <n v="103504"/>
    <n v="90574"/>
    <m/>
    <m/>
    <m/>
    <m/>
    <m/>
    <m/>
    <m/>
    <m/>
    <n v="0"/>
    <n v="0"/>
    <n v="0"/>
    <n v="0"/>
    <m/>
    <m/>
    <n v="0"/>
    <n v="0"/>
    <m/>
    <m/>
    <m/>
    <m/>
    <m/>
    <m/>
    <m/>
    <m/>
    <n v="0"/>
    <n v="0"/>
    <n v="0"/>
    <n v="0"/>
    <n v="3450.1333333333332"/>
    <n v="3019.1333333333332"/>
  </r>
  <r>
    <x v="15"/>
    <s v="New River Community &amp; Technical College"/>
    <s v="Reclassified: met criteria for Two-Year 2 in 2010-11, 2011-12, and 2012-13."/>
    <n v="447582"/>
    <x v="7"/>
    <s v="sem"/>
    <s v="sem"/>
    <m/>
    <m/>
    <n v="28725"/>
    <n v="28820"/>
    <n v="4482"/>
    <n v="6362"/>
    <n v="30326.5"/>
    <n v="29864"/>
    <n v="63533.5"/>
    <n v="2117.7833333333333"/>
    <n v="65046"/>
    <n v="2168.1999999999998"/>
    <n v="1939"/>
    <n v="1650"/>
    <n v="63533.5"/>
    <n v="65046"/>
    <m/>
    <m/>
    <m/>
    <m/>
    <m/>
    <m/>
    <m/>
    <m/>
    <n v="0"/>
    <n v="0"/>
    <n v="0"/>
    <n v="0"/>
    <m/>
    <m/>
    <n v="0"/>
    <n v="0"/>
    <m/>
    <m/>
    <m/>
    <m/>
    <m/>
    <m/>
    <m/>
    <m/>
    <n v="0"/>
    <n v="0"/>
    <n v="0"/>
    <n v="0"/>
    <n v="2117.7833333333333"/>
    <n v="2168.1999999999998"/>
  </r>
  <r>
    <x v="15"/>
    <s v="Pierpont Community &amp; Technical College"/>
    <s v="Reclassified: met criteria for Two-Year 2 in 2010-11, 2011-12, and 2012-13."/>
    <n v="443492"/>
    <x v="7"/>
    <s v="sem"/>
    <s v="sem"/>
    <m/>
    <m/>
    <n v="30478"/>
    <n v="30823"/>
    <n v="4727"/>
    <n v="4272"/>
    <n v="33094"/>
    <n v="32273"/>
    <n v="68299"/>
    <n v="2276.6333333333332"/>
    <n v="67368"/>
    <n v="2245.6"/>
    <n v="3921"/>
    <n v="3833"/>
    <n v="68299"/>
    <n v="67368"/>
    <m/>
    <m/>
    <m/>
    <m/>
    <m/>
    <m/>
    <m/>
    <m/>
    <n v="0"/>
    <n v="0"/>
    <n v="0"/>
    <n v="0"/>
    <m/>
    <m/>
    <n v="0"/>
    <n v="0"/>
    <m/>
    <m/>
    <m/>
    <m/>
    <m/>
    <m/>
    <m/>
    <m/>
    <n v="0"/>
    <n v="0"/>
    <n v="0"/>
    <n v="0"/>
    <n v="2276.6333333333332"/>
    <n v="2245.6"/>
  </r>
  <r>
    <x v="15"/>
    <s v="West Virginia Northern Community College"/>
    <s v="Met the criteria for Two-Year 3 in 2012-13."/>
    <n v="238014"/>
    <x v="7"/>
    <s v="sem"/>
    <s v="sem"/>
    <m/>
    <m/>
    <n v="32391.200000000001"/>
    <n v="25473"/>
    <n v="9928.5"/>
    <n v="7144"/>
    <n v="29346"/>
    <n v="24375.3"/>
    <n v="71665.7"/>
    <n v="2388.8566666666666"/>
    <n v="56992.3"/>
    <n v="1899.7433333333333"/>
    <n v="3170.5"/>
    <n v="2920"/>
    <n v="71665.7"/>
    <n v="56992.3"/>
    <m/>
    <m/>
    <m/>
    <m/>
    <m/>
    <m/>
    <m/>
    <m/>
    <n v="0"/>
    <n v="0"/>
    <n v="0"/>
    <n v="0"/>
    <m/>
    <m/>
    <n v="0"/>
    <n v="0"/>
    <m/>
    <m/>
    <m/>
    <m/>
    <m/>
    <m/>
    <m/>
    <m/>
    <n v="0"/>
    <n v="0"/>
    <n v="0"/>
    <n v="0"/>
    <n v="2388.8566666666666"/>
    <n v="1899.7433333333333"/>
  </r>
  <r>
    <x v="15"/>
    <s v="Blue Ridge Community &amp; Technical College"/>
    <m/>
    <n v="446774"/>
    <x v="8"/>
    <s v="sem"/>
    <s v="sem"/>
    <m/>
    <m/>
    <n v="24794.400000000001"/>
    <n v="27210.1"/>
    <n v="4480"/>
    <n v="3371.9"/>
    <n v="28410.3"/>
    <n v="27962.9"/>
    <n v="57684.7"/>
    <n v="1922.8233333333333"/>
    <n v="58544.9"/>
    <n v="1951.4966666666667"/>
    <n v="1299.3"/>
    <n v="1075.5999999999999"/>
    <n v="57684.7"/>
    <n v="58544.9"/>
    <m/>
    <m/>
    <m/>
    <m/>
    <m/>
    <m/>
    <m/>
    <m/>
    <n v="0"/>
    <n v="0"/>
    <n v="0"/>
    <n v="0"/>
    <m/>
    <m/>
    <n v="0"/>
    <n v="0"/>
    <m/>
    <m/>
    <m/>
    <m/>
    <m/>
    <m/>
    <m/>
    <m/>
    <n v="0"/>
    <n v="0"/>
    <n v="0"/>
    <n v="0"/>
    <n v="1922.8233333333333"/>
    <n v="1951.4966666666667"/>
  </r>
  <r>
    <x v="15"/>
    <s v="Bridgemont Community &amp; Technical College"/>
    <m/>
    <n v="445674"/>
    <x v="8"/>
    <s v="sem"/>
    <s v="sem"/>
    <m/>
    <m/>
    <n v="7919.5"/>
    <n v="7584"/>
    <n v="415"/>
    <n v="528"/>
    <n v="9297.2999999999993"/>
    <n v="9012"/>
    <n v="17631.8"/>
    <n v="587.72666666666669"/>
    <n v="17124"/>
    <n v="570.79999999999995"/>
    <n v="603"/>
    <n v="998"/>
    <n v="17631.8"/>
    <n v="17124"/>
    <m/>
    <m/>
    <m/>
    <m/>
    <m/>
    <m/>
    <m/>
    <m/>
    <n v="0"/>
    <n v="0"/>
    <n v="0"/>
    <n v="0"/>
    <m/>
    <m/>
    <n v="0"/>
    <n v="0"/>
    <m/>
    <m/>
    <m/>
    <m/>
    <m/>
    <m/>
    <m/>
    <m/>
    <n v="0"/>
    <n v="0"/>
    <n v="0"/>
    <n v="0"/>
    <n v="587.72666666666669"/>
    <n v="570.79999999999995"/>
  </r>
  <r>
    <x v="15"/>
    <s v="Eastern West Virginia Community &amp; Technical College"/>
    <m/>
    <n v="438708"/>
    <x v="8"/>
    <s v="sem"/>
    <s v="sem"/>
    <m/>
    <m/>
    <n v="5136"/>
    <n v="6250"/>
    <n v="942"/>
    <n v="1169"/>
    <n v="6472"/>
    <n v="6777"/>
    <n v="12550"/>
    <n v="418.33333333333331"/>
    <n v="14196"/>
    <n v="473.2"/>
    <n v="1132"/>
    <n v="1093"/>
    <n v="12550"/>
    <n v="14196"/>
    <m/>
    <m/>
    <m/>
    <m/>
    <m/>
    <m/>
    <m/>
    <m/>
    <n v="0"/>
    <n v="0"/>
    <n v="0"/>
    <n v="0"/>
    <m/>
    <m/>
    <n v="0"/>
    <n v="0"/>
    <m/>
    <m/>
    <m/>
    <m/>
    <m/>
    <m/>
    <m/>
    <m/>
    <n v="0"/>
    <n v="0"/>
    <n v="0"/>
    <n v="0"/>
    <n v="418.33333333333331"/>
    <n v="473.2"/>
  </r>
  <r>
    <x v="15"/>
    <s v="Kanawha Valley Community &amp; Technical College"/>
    <m/>
    <n v="445018"/>
    <x v="8"/>
    <s v="sem"/>
    <s v="sem"/>
    <m/>
    <m/>
    <n v="17884"/>
    <n v="16500.599999999999"/>
    <n v="1872"/>
    <n v="1627"/>
    <n v="17658"/>
    <n v="16324"/>
    <n v="37414"/>
    <n v="1247.1333333333334"/>
    <n v="34451.599999999999"/>
    <n v="1148.3866666666665"/>
    <n v="166"/>
    <n v="182"/>
    <n v="37414"/>
    <n v="34451.599999999999"/>
    <m/>
    <m/>
    <m/>
    <m/>
    <m/>
    <m/>
    <m/>
    <m/>
    <n v="0"/>
    <n v="0"/>
    <n v="0"/>
    <n v="0"/>
    <m/>
    <m/>
    <n v="0"/>
    <n v="0"/>
    <m/>
    <m/>
    <m/>
    <m/>
    <m/>
    <m/>
    <m/>
    <m/>
    <n v="0"/>
    <n v="0"/>
    <n v="0"/>
    <n v="0"/>
    <n v="1247.1333333333334"/>
    <n v="1148.3866666666665"/>
  </r>
  <r>
    <x v="15"/>
    <s v="Mountwest Community &amp; Technical College"/>
    <m/>
    <n v="444954"/>
    <x v="8"/>
    <s v="sem"/>
    <s v="sem"/>
    <m/>
    <m/>
    <n v="26117.8"/>
    <n v="23594.400000000001"/>
    <n v="5014"/>
    <n v="5964.2"/>
    <n v="27935.599999999999"/>
    <n v="26481"/>
    <n v="59067.399999999994"/>
    <n v="1968.9133333333332"/>
    <n v="56039.600000000006"/>
    <n v="1867.9866666666669"/>
    <n v="1376"/>
    <n v="1854.2"/>
    <n v="59067.399999999994"/>
    <n v="56039.600000000006"/>
    <m/>
    <m/>
    <m/>
    <m/>
    <m/>
    <m/>
    <m/>
    <m/>
    <n v="0"/>
    <n v="0"/>
    <n v="0"/>
    <n v="0"/>
    <m/>
    <m/>
    <n v="0"/>
    <n v="0"/>
    <m/>
    <m/>
    <m/>
    <m/>
    <m/>
    <m/>
    <m/>
    <m/>
    <n v="0"/>
    <n v="0"/>
    <n v="0"/>
    <n v="0"/>
    <n v="1968.9133333333332"/>
    <n v="1867.9866666666669"/>
  </r>
  <r>
    <x v="15"/>
    <s v="Southern West Virginia Community &amp; Technical College "/>
    <m/>
    <n v="237817"/>
    <x v="8"/>
    <s v="sem"/>
    <s v="sem"/>
    <m/>
    <m/>
    <n v="21340"/>
    <n v="20922"/>
    <n v="2679"/>
    <n v="1980"/>
    <n v="25278"/>
    <n v="24143"/>
    <n v="49297"/>
    <n v="1643.2333333333333"/>
    <n v="47045"/>
    <n v="1568.1666666666667"/>
    <n v="3273"/>
    <n v="1688"/>
    <n v="49297"/>
    <n v="47045"/>
    <m/>
    <m/>
    <m/>
    <m/>
    <m/>
    <m/>
    <m/>
    <m/>
    <n v="0"/>
    <n v="0"/>
    <n v="0"/>
    <n v="0"/>
    <m/>
    <m/>
    <n v="0"/>
    <n v="0"/>
    <m/>
    <m/>
    <m/>
    <m/>
    <m/>
    <m/>
    <m/>
    <m/>
    <n v="0"/>
    <n v="0"/>
    <n v="0"/>
    <n v="0"/>
    <n v="1643.2333333333333"/>
    <n v="1568.1666666666667"/>
  </r>
</pivotCacheRecords>
</file>

<file path=xl/pivotCache/pivotCacheRecords2.xml><?xml version="1.0" encoding="utf-8"?>
<pivotCacheRecords xmlns="http://schemas.openxmlformats.org/spreadsheetml/2006/main" xmlns:r="http://schemas.openxmlformats.org/officeDocument/2006/relationships" count="686">
  <r>
    <x v="0"/>
    <s v="Auburn University"/>
    <m/>
    <n v="100858"/>
    <x v="0"/>
    <s v="sem"/>
    <m/>
    <m/>
    <m/>
    <n v="256295"/>
    <n v="259985"/>
    <n v="55115"/>
    <n v="52912"/>
    <n v="281868"/>
    <n v="281418"/>
    <n v="593278"/>
    <n v="19775.933333333334"/>
    <n v="594315"/>
    <n v="19810.5"/>
    <n v="27"/>
    <n v="25"/>
    <n v="593278"/>
    <n v="594315"/>
    <m/>
    <m/>
    <m/>
    <m/>
    <m/>
    <m/>
    <m/>
    <m/>
    <n v="0"/>
    <n v="0"/>
    <n v="0"/>
    <n v="0"/>
    <m/>
    <m/>
    <n v="0"/>
    <n v="0"/>
  </r>
  <r>
    <x v="0"/>
    <s v="University of Alabama "/>
    <m/>
    <n v="100751"/>
    <x v="0"/>
    <s v="sem"/>
    <m/>
    <m/>
    <m/>
    <n v="316793"/>
    <n v="335465"/>
    <n v="60132"/>
    <n v="65235"/>
    <n v="353356"/>
    <n v="378743"/>
    <n v="730281"/>
    <n v="24342.7"/>
    <n v="779443"/>
    <n v="25981.433333333334"/>
    <n v="1685"/>
    <n v="2270"/>
    <n v="730281"/>
    <n v="779443"/>
    <m/>
    <m/>
    <m/>
    <m/>
    <m/>
    <m/>
    <m/>
    <m/>
    <n v="0"/>
    <n v="0"/>
    <n v="0"/>
    <n v="0"/>
    <m/>
    <m/>
    <n v="0"/>
    <n v="0"/>
  </r>
  <r>
    <x v="0"/>
    <s v="University of Alabama at Birmingham"/>
    <s v="Reclassified: met the criteria for Four-Year 2 in 2010-11, 2011-12, and 2012-13."/>
    <n v="100663"/>
    <x v="1"/>
    <s v="sem"/>
    <m/>
    <m/>
    <m/>
    <n v="113224"/>
    <n v="114176"/>
    <n v="28982"/>
    <n v="27236"/>
    <n v="122877"/>
    <n v="125808"/>
    <n v="265083"/>
    <n v="8836.1"/>
    <n v="267220"/>
    <n v="8907.3333333333339"/>
    <n v="55"/>
    <n v="53"/>
    <n v="265083"/>
    <n v="267220"/>
    <m/>
    <m/>
    <m/>
    <m/>
    <m/>
    <m/>
    <m/>
    <m/>
    <n v="0"/>
    <n v="0"/>
    <n v="0"/>
    <n v="0"/>
    <m/>
    <m/>
    <n v="0"/>
    <n v="0"/>
  </r>
  <r>
    <x v="0"/>
    <s v="University of Alabama in Huntsville"/>
    <m/>
    <n v="100706"/>
    <x v="1"/>
    <s v="sem"/>
    <m/>
    <m/>
    <m/>
    <n v="66744"/>
    <n v="67235"/>
    <n v="17137"/>
    <n v="16673"/>
    <n v="71501"/>
    <n v="70916"/>
    <n v="155382"/>
    <n v="5179.3999999999996"/>
    <n v="154824"/>
    <n v="5160.8"/>
    <n v="416"/>
    <n v="429"/>
    <n v="155382"/>
    <n v="154824"/>
    <m/>
    <m/>
    <m/>
    <m/>
    <m/>
    <m/>
    <m/>
    <m/>
    <n v="0"/>
    <n v="0"/>
    <n v="0"/>
    <n v="0"/>
    <m/>
    <m/>
    <n v="0"/>
    <n v="0"/>
  </r>
  <r>
    <x v="0"/>
    <s v="Alabama Agricultural &amp; Mechanical University"/>
    <m/>
    <n v="100654"/>
    <x v="2"/>
    <s v="sem"/>
    <m/>
    <m/>
    <m/>
    <n v="60071"/>
    <n v="51589"/>
    <n v="21464"/>
    <n v="5098"/>
    <n v="59381"/>
    <n v="56726"/>
    <n v="140916"/>
    <n v="4697.2"/>
    <n v="113413"/>
    <n v="3780.4333333333334"/>
    <n v="9"/>
    <n v="0"/>
    <n v="140916"/>
    <n v="113413"/>
    <m/>
    <m/>
    <m/>
    <m/>
    <m/>
    <m/>
    <m/>
    <m/>
    <n v="0"/>
    <n v="0"/>
    <n v="0"/>
    <n v="0"/>
    <m/>
    <m/>
    <n v="0"/>
    <n v="0"/>
  </r>
  <r>
    <x v="0"/>
    <s v="Jacksonville State University "/>
    <m/>
    <n v="101480"/>
    <x v="2"/>
    <s v="sem"/>
    <m/>
    <m/>
    <m/>
    <n v="88230"/>
    <n v="90905"/>
    <n v="27021"/>
    <n v="24046"/>
    <n v="98584"/>
    <n v="96360"/>
    <n v="213835"/>
    <n v="7127.833333333333"/>
    <n v="211311"/>
    <n v="7043.7"/>
    <n v="1906"/>
    <n v="842"/>
    <n v="213835"/>
    <n v="211311"/>
    <m/>
    <m/>
    <m/>
    <m/>
    <m/>
    <m/>
    <m/>
    <m/>
    <n v="0"/>
    <n v="0"/>
    <n v="0"/>
    <n v="0"/>
    <m/>
    <m/>
    <n v="0"/>
    <n v="0"/>
  </r>
  <r>
    <x v="0"/>
    <s v="Troy University"/>
    <m/>
    <n v="102368"/>
    <x v="2"/>
    <s v="sem"/>
    <m/>
    <m/>
    <m/>
    <n v="146595"/>
    <n v="132577"/>
    <n v="38268"/>
    <n v="29852"/>
    <n v="197682"/>
    <n v="133008"/>
    <n v="382545"/>
    <n v="12751.5"/>
    <n v="295437"/>
    <n v="9847.9"/>
    <n v="286"/>
    <n v="509"/>
    <n v="382545"/>
    <n v="295437"/>
    <m/>
    <m/>
    <m/>
    <m/>
    <m/>
    <m/>
    <m/>
    <m/>
    <n v="0"/>
    <n v="0"/>
    <n v="0"/>
    <n v="0"/>
    <m/>
    <m/>
    <n v="0"/>
    <n v="0"/>
  </r>
  <r>
    <x v="0"/>
    <s v="University of South Alabama"/>
    <m/>
    <n v="102094"/>
    <x v="2"/>
    <s v="sem"/>
    <m/>
    <m/>
    <m/>
    <n v="115521"/>
    <n v="115368"/>
    <n v="28710"/>
    <n v="24909"/>
    <n v="128593"/>
    <n v="128798"/>
    <n v="272824"/>
    <n v="9094.1333333333332"/>
    <n v="269075"/>
    <n v="8969.1666666666661"/>
    <n v="384"/>
    <n v="266"/>
    <n v="272824"/>
    <n v="269075"/>
    <m/>
    <m/>
    <m/>
    <m/>
    <m/>
    <m/>
    <m/>
    <m/>
    <n v="0"/>
    <n v="0"/>
    <n v="0"/>
    <n v="0"/>
    <m/>
    <m/>
    <n v="0"/>
    <n v="0"/>
  </r>
  <r>
    <x v="0"/>
    <s v="Alabama State University "/>
    <m/>
    <n v="100724"/>
    <x v="3"/>
    <s v="sem"/>
    <m/>
    <m/>
    <m/>
    <n v="70196"/>
    <n v="64284"/>
    <n v="16252"/>
    <n v="15082"/>
    <n v="69893"/>
    <n v="74906"/>
    <n v="156341"/>
    <n v="5211.3666666666668"/>
    <n v="154272"/>
    <n v="5142.3999999999996"/>
    <n v="0"/>
    <n v="0"/>
    <n v="156341"/>
    <n v="154272"/>
    <m/>
    <m/>
    <m/>
    <m/>
    <m/>
    <m/>
    <m/>
    <m/>
    <n v="0"/>
    <n v="0"/>
    <n v="0"/>
    <n v="0"/>
    <m/>
    <m/>
    <n v="0"/>
    <n v="0"/>
  </r>
  <r>
    <x v="0"/>
    <s v="Auburn University at Montgomery"/>
    <m/>
    <n v="100830"/>
    <x v="3"/>
    <s v="sem"/>
    <m/>
    <m/>
    <m/>
    <n v="50147"/>
    <n v="44134"/>
    <n v="15040"/>
    <n v="13607"/>
    <n v="49118"/>
    <n v="51295"/>
    <n v="114305"/>
    <n v="3810.1666666666665"/>
    <n v="109036"/>
    <n v="3634.5333333333333"/>
    <n v="77"/>
    <n v="159"/>
    <n v="114305"/>
    <n v="109036"/>
    <m/>
    <m/>
    <m/>
    <m/>
    <m/>
    <m/>
    <m/>
    <m/>
    <n v="0"/>
    <n v="0"/>
    <n v="0"/>
    <n v="0"/>
    <m/>
    <m/>
    <n v="0"/>
    <n v="0"/>
  </r>
  <r>
    <x v="0"/>
    <s v="University of North Alabama"/>
    <m/>
    <n v="101879"/>
    <x v="3"/>
    <s v="sem"/>
    <m/>
    <m/>
    <m/>
    <n v="70318"/>
    <n v="69517"/>
    <n v="15907"/>
    <n v="13695"/>
    <n v="75370"/>
    <n v="75503"/>
    <n v="161595"/>
    <n v="5386.5"/>
    <n v="158715"/>
    <n v="5290.5"/>
    <n v="2573"/>
    <n v="2843"/>
    <n v="161595"/>
    <n v="158715"/>
    <m/>
    <m/>
    <m/>
    <m/>
    <m/>
    <m/>
    <m/>
    <m/>
    <n v="0"/>
    <n v="0"/>
    <n v="0"/>
    <n v="0"/>
    <m/>
    <m/>
    <n v="0"/>
    <n v="0"/>
  </r>
  <r>
    <x v="0"/>
    <s v="University of Montevallo"/>
    <m/>
    <n v="101709"/>
    <x v="4"/>
    <s v="sem"/>
    <m/>
    <m/>
    <m/>
    <n v="31500"/>
    <n v="31661"/>
    <n v="6846"/>
    <n v="5829"/>
    <n v="34130"/>
    <n v="35251"/>
    <n v="72476"/>
    <n v="2415.8666666666668"/>
    <n v="72741"/>
    <n v="2424.6999999999998"/>
    <n v="71"/>
    <n v="52"/>
    <n v="72476"/>
    <n v="72741"/>
    <m/>
    <m/>
    <m/>
    <m/>
    <m/>
    <m/>
    <m/>
    <m/>
    <n v="0"/>
    <n v="0"/>
    <n v="0"/>
    <n v="0"/>
    <m/>
    <m/>
    <n v="0"/>
    <n v="0"/>
  </r>
  <r>
    <x v="0"/>
    <s v="University of West Alabama"/>
    <m/>
    <n v="101587"/>
    <x v="4"/>
    <s v="sem"/>
    <m/>
    <m/>
    <m/>
    <n v="21131"/>
    <n v="23498"/>
    <n v="6056"/>
    <n v="4215"/>
    <n v="25093"/>
    <n v="25288"/>
    <n v="52280"/>
    <n v="1742.6666666666667"/>
    <n v="53001"/>
    <n v="1766.7"/>
    <n v="87"/>
    <n v="139"/>
    <n v="52280"/>
    <n v="53001"/>
    <m/>
    <m/>
    <m/>
    <m/>
    <m/>
    <m/>
    <m/>
    <m/>
    <n v="0"/>
    <n v="0"/>
    <n v="0"/>
    <n v="0"/>
    <m/>
    <m/>
    <n v="0"/>
    <n v="0"/>
  </r>
  <r>
    <x v="0"/>
    <s v="Athens State University"/>
    <m/>
    <n v="100812"/>
    <x v="5"/>
    <s v="sem"/>
    <m/>
    <m/>
    <m/>
    <n v="32522"/>
    <n v="31712"/>
    <n v="20842"/>
    <n v="19256"/>
    <n v="32338"/>
    <n v="32618"/>
    <n v="85702"/>
    <n v="2856.7333333333331"/>
    <n v="83586"/>
    <n v="2786.2"/>
    <n v="0"/>
    <n v="0"/>
    <n v="85702"/>
    <n v="83586"/>
    <m/>
    <m/>
    <m/>
    <m/>
    <m/>
    <m/>
    <m/>
    <m/>
    <n v="0"/>
    <n v="0"/>
    <n v="0"/>
    <n v="0"/>
    <m/>
    <m/>
    <n v="0"/>
    <n v="0"/>
  </r>
  <r>
    <x v="0"/>
    <s v="Gadsden State Community College"/>
    <m/>
    <n v="101240"/>
    <x v="6"/>
    <s v="sem"/>
    <m/>
    <m/>
    <m/>
    <n v="70362"/>
    <n v="65629"/>
    <n v="34759"/>
    <n v="25636"/>
    <n v="70491"/>
    <n v="60162"/>
    <n v="175612"/>
    <n v="5853.7333333333336"/>
    <n v="151427"/>
    <n v="5047.5666666666666"/>
    <n v="2689"/>
    <n v="2848"/>
    <n v="175612"/>
    <n v="151427"/>
    <m/>
    <m/>
    <m/>
    <m/>
    <m/>
    <m/>
    <m/>
    <m/>
    <n v="0"/>
    <n v="0"/>
    <n v="0"/>
    <n v="0"/>
    <m/>
    <m/>
    <n v="0"/>
    <n v="0"/>
  </r>
  <r>
    <x v="0"/>
    <s v="Jefferson State Community College"/>
    <m/>
    <n v="101505"/>
    <x v="6"/>
    <s v="sem"/>
    <m/>
    <m/>
    <m/>
    <n v="78960"/>
    <n v="74288"/>
    <n v="41971"/>
    <n v="39473"/>
    <n v="81990"/>
    <n v="75268"/>
    <n v="202921"/>
    <n v="6764.0333333333338"/>
    <n v="189029"/>
    <n v="6300.9666666666662"/>
    <n v="5753"/>
    <n v="4722"/>
    <n v="202921"/>
    <n v="189029"/>
    <m/>
    <m/>
    <m/>
    <m/>
    <m/>
    <m/>
    <m/>
    <m/>
    <n v="0"/>
    <n v="0"/>
    <n v="0"/>
    <n v="0"/>
    <m/>
    <m/>
    <n v="0"/>
    <n v="0"/>
  </r>
  <r>
    <x v="0"/>
    <s v="John C. Calhoun State Community College "/>
    <m/>
    <n v="101514"/>
    <x v="6"/>
    <s v="sem"/>
    <m/>
    <m/>
    <m/>
    <n v="105691"/>
    <n v="101146"/>
    <n v="46471"/>
    <n v="43406"/>
    <n v="109962"/>
    <n v="102046"/>
    <n v="262124"/>
    <n v="8737.4666666666672"/>
    <n v="246598"/>
    <n v="8219.9333333333325"/>
    <n v="9688"/>
    <n v="9766"/>
    <n v="262124"/>
    <n v="246598"/>
    <m/>
    <m/>
    <m/>
    <m/>
    <m/>
    <m/>
    <m/>
    <m/>
    <n v="0"/>
    <n v="0"/>
    <n v="0"/>
    <n v="0"/>
    <m/>
    <m/>
    <n v="0"/>
    <n v="0"/>
  </r>
  <r>
    <x v="0"/>
    <s v="Wallace Community College - Hanceville"/>
    <s v="Met the criteria for Two-Year 2 in 2012-13."/>
    <n v="101295"/>
    <x v="6"/>
    <s v="sem"/>
    <m/>
    <m/>
    <m/>
    <n v="67685"/>
    <n v="59866"/>
    <n v="31282"/>
    <n v="27052"/>
    <n v="61700"/>
    <n v="59667"/>
    <n v="160667"/>
    <n v="5355.5666666666666"/>
    <n v="146585"/>
    <n v="4886.166666666667"/>
    <n v="4673"/>
    <n v="5314"/>
    <n v="160667"/>
    <n v="146585"/>
    <m/>
    <m/>
    <m/>
    <m/>
    <m/>
    <m/>
    <m/>
    <m/>
    <n v="0"/>
    <n v="0"/>
    <n v="0"/>
    <n v="0"/>
    <m/>
    <m/>
    <n v="0"/>
    <n v="0"/>
  </r>
  <r>
    <x v="0"/>
    <s v="Bevill State Community College"/>
    <m/>
    <n v="102429"/>
    <x v="7"/>
    <s v="sem"/>
    <m/>
    <m/>
    <m/>
    <n v="45434"/>
    <n v="37298"/>
    <n v="19403"/>
    <n v="16306"/>
    <n v="43114"/>
    <n v="38890"/>
    <n v="107951"/>
    <n v="3598.3666666666668"/>
    <n v="92494"/>
    <n v="3083.1333333333332"/>
    <n v="1406"/>
    <n v="2066"/>
    <n v="107951"/>
    <n v="92494"/>
    <m/>
    <m/>
    <m/>
    <m/>
    <m/>
    <m/>
    <m/>
    <m/>
    <n v="0"/>
    <n v="0"/>
    <n v="0"/>
    <n v="0"/>
    <m/>
    <m/>
    <n v="0"/>
    <n v="0"/>
  </r>
  <r>
    <x v="0"/>
    <s v="Bishop State Community College"/>
    <m/>
    <n v="102030"/>
    <x v="7"/>
    <s v="sem"/>
    <m/>
    <m/>
    <m/>
    <n v="36750"/>
    <n v="36732"/>
    <n v="16077"/>
    <n v="12916"/>
    <n v="37535"/>
    <n v="37181"/>
    <n v="90362"/>
    <n v="3012.0666666666666"/>
    <n v="86829"/>
    <n v="2894.3"/>
    <n v="3808"/>
    <n v="3231"/>
    <n v="90362"/>
    <n v="86829"/>
    <m/>
    <m/>
    <m/>
    <m/>
    <m/>
    <m/>
    <m/>
    <m/>
    <n v="0"/>
    <n v="0"/>
    <n v="0"/>
    <n v="0"/>
    <m/>
    <m/>
    <n v="0"/>
    <n v="0"/>
  </r>
  <r>
    <x v="0"/>
    <s v="Central Alabama Community College"/>
    <s v="Met the criteria for Two-Year 3 in 2012-13."/>
    <n v="100760"/>
    <x v="7"/>
    <s v="sem"/>
    <m/>
    <m/>
    <m/>
    <n v="23564"/>
    <n v="23002"/>
    <n v="12652"/>
    <n v="8636"/>
    <n v="26211"/>
    <n v="20219"/>
    <n v="62427"/>
    <n v="2080.9"/>
    <n v="51857"/>
    <n v="1728.5666666666666"/>
    <n v="870"/>
    <n v="455"/>
    <n v="62427"/>
    <n v="51857"/>
    <m/>
    <m/>
    <m/>
    <m/>
    <m/>
    <m/>
    <m/>
    <m/>
    <n v="0"/>
    <n v="0"/>
    <n v="0"/>
    <n v="0"/>
    <m/>
    <m/>
    <n v="0"/>
    <n v="0"/>
  </r>
  <r>
    <x v="0"/>
    <s v="Enterprise State Community College"/>
    <m/>
    <n v="101143"/>
    <x v="7"/>
    <s v="sem"/>
    <m/>
    <m/>
    <m/>
    <n v="32701"/>
    <n v="29240"/>
    <n v="17224"/>
    <n v="12862"/>
    <n v="31824"/>
    <n v="27961"/>
    <n v="81749"/>
    <n v="2724.9666666666667"/>
    <n v="70063"/>
    <n v="2335.4333333333334"/>
    <n v="2660"/>
    <n v="3088"/>
    <n v="81749"/>
    <n v="70063"/>
    <m/>
    <m/>
    <m/>
    <m/>
    <m/>
    <m/>
    <m/>
    <m/>
    <n v="0"/>
    <n v="0"/>
    <n v="0"/>
    <n v="0"/>
    <m/>
    <m/>
    <n v="0"/>
    <n v="0"/>
  </r>
  <r>
    <x v="0"/>
    <s v="George C. Wallace State Community College - Dothan"/>
    <m/>
    <n v="101286"/>
    <x v="7"/>
    <s v="sem"/>
    <m/>
    <m/>
    <m/>
    <n v="48365"/>
    <n v="43429"/>
    <n v="27326"/>
    <n v="21192"/>
    <n v="49568"/>
    <n v="45168"/>
    <n v="125259"/>
    <n v="4175.3"/>
    <n v="109789"/>
    <n v="3659.6333333333332"/>
    <n v="1953"/>
    <n v="2666"/>
    <n v="125259"/>
    <n v="109789"/>
    <m/>
    <m/>
    <m/>
    <m/>
    <m/>
    <m/>
    <m/>
    <m/>
    <n v="0"/>
    <n v="0"/>
    <n v="0"/>
    <n v="0"/>
    <m/>
    <m/>
    <n v="0"/>
    <n v="0"/>
  </r>
  <r>
    <x v="0"/>
    <s v="James H. Faulkner State Community College"/>
    <m/>
    <n v="101161"/>
    <x v="7"/>
    <s v="sem"/>
    <m/>
    <m/>
    <m/>
    <n v="48165"/>
    <n v="48541"/>
    <n v="22353"/>
    <n v="20014"/>
    <n v="47216"/>
    <n v="47713"/>
    <n v="117734"/>
    <n v="3924.4666666666667"/>
    <n v="116268"/>
    <n v="3875.6"/>
    <n v="2833"/>
    <n v="2813"/>
    <n v="117734"/>
    <n v="116268"/>
    <m/>
    <m/>
    <m/>
    <m/>
    <m/>
    <m/>
    <m/>
    <m/>
    <n v="0"/>
    <n v="0"/>
    <n v="0"/>
    <n v="0"/>
    <m/>
    <m/>
    <n v="0"/>
    <n v="0"/>
  </r>
  <r>
    <x v="0"/>
    <s v="Lawson State Community College "/>
    <m/>
    <n v="101569"/>
    <x v="7"/>
    <s v="sem"/>
    <m/>
    <m/>
    <m/>
    <n v="46382"/>
    <n v="39365"/>
    <n v="22575"/>
    <n v="12916"/>
    <n v="45440"/>
    <n v="35848"/>
    <n v="114397"/>
    <n v="3813.2333333333331"/>
    <n v="88129"/>
    <n v="2937.6333333333332"/>
    <n v="825"/>
    <n v="840"/>
    <n v="114397"/>
    <n v="88129"/>
    <m/>
    <m/>
    <m/>
    <m/>
    <m/>
    <m/>
    <m/>
    <m/>
    <n v="0"/>
    <n v="0"/>
    <n v="0"/>
    <n v="0"/>
    <m/>
    <m/>
    <n v="0"/>
    <n v="0"/>
  </r>
  <r>
    <x v="0"/>
    <s v="Northeast Alabama State Community College "/>
    <m/>
    <n v="101897"/>
    <x v="7"/>
    <s v="sem"/>
    <m/>
    <m/>
    <m/>
    <n v="33700"/>
    <n v="30649"/>
    <n v="17668"/>
    <n v="13647"/>
    <n v="33253"/>
    <n v="31300"/>
    <n v="84621"/>
    <n v="2820.7"/>
    <n v="75596"/>
    <n v="2519.8666666666668"/>
    <n v="3830"/>
    <n v="3917"/>
    <n v="84621"/>
    <n v="75596"/>
    <m/>
    <m/>
    <m/>
    <m/>
    <m/>
    <m/>
    <m/>
    <m/>
    <n v="0"/>
    <n v="0"/>
    <n v="0"/>
    <n v="0"/>
    <m/>
    <m/>
    <n v="0"/>
    <n v="0"/>
  </r>
  <r>
    <x v="0"/>
    <s v="Northwest-Shoals Community College"/>
    <m/>
    <n v="101736"/>
    <x v="7"/>
    <s v="sem"/>
    <m/>
    <m/>
    <m/>
    <n v="40076"/>
    <n v="34653"/>
    <n v="15184"/>
    <n v="13315"/>
    <n v="38579"/>
    <n v="36130"/>
    <n v="93839"/>
    <n v="3127.9666666666667"/>
    <n v="84098"/>
    <n v="2803.2666666666669"/>
    <n v="4701"/>
    <n v="4002"/>
    <n v="93839"/>
    <n v="84098"/>
    <m/>
    <m/>
    <m/>
    <m/>
    <m/>
    <m/>
    <m/>
    <m/>
    <n v="0"/>
    <n v="0"/>
    <n v="0"/>
    <n v="0"/>
    <m/>
    <m/>
    <n v="0"/>
    <n v="0"/>
  </r>
  <r>
    <x v="0"/>
    <s v="Shelton State Community College"/>
    <m/>
    <n v="102067"/>
    <x v="7"/>
    <s v="sem"/>
    <m/>
    <m/>
    <m/>
    <n v="56989"/>
    <n v="48990"/>
    <n v="27055"/>
    <n v="22752"/>
    <n v="54601"/>
    <n v="52247"/>
    <n v="138645"/>
    <n v="4621.5"/>
    <n v="123989"/>
    <n v="4132.9666666666662"/>
    <n v="607"/>
    <n v="501"/>
    <n v="138645"/>
    <n v="123989"/>
    <m/>
    <m/>
    <m/>
    <m/>
    <m/>
    <m/>
    <m/>
    <m/>
    <n v="0"/>
    <n v="0"/>
    <n v="0"/>
    <n v="0"/>
    <m/>
    <m/>
    <n v="0"/>
    <n v="0"/>
  </r>
  <r>
    <x v="0"/>
    <s v="Southern Union State Community College"/>
    <m/>
    <n v="251260"/>
    <x v="7"/>
    <s v="sem"/>
    <m/>
    <m/>
    <m/>
    <n v="52183"/>
    <n v="52038"/>
    <n v="25024"/>
    <n v="21824"/>
    <n v="56156"/>
    <n v="54079"/>
    <n v="133363"/>
    <n v="4445.4333333333334"/>
    <n v="127941"/>
    <n v="4264.7"/>
    <n v="179"/>
    <n v="799"/>
    <n v="133363"/>
    <n v="127941"/>
    <m/>
    <m/>
    <m/>
    <m/>
    <m/>
    <m/>
    <m/>
    <m/>
    <n v="0"/>
    <n v="0"/>
    <n v="0"/>
    <n v="0"/>
    <m/>
    <m/>
    <n v="0"/>
    <n v="0"/>
  </r>
  <r>
    <x v="0"/>
    <s v="Alabama Southern Community College"/>
    <m/>
    <n v="101949"/>
    <x v="8"/>
    <s v="sem"/>
    <m/>
    <m/>
    <m/>
    <n v="16644"/>
    <n v="14934"/>
    <n v="7840"/>
    <n v="5146"/>
    <n v="16224"/>
    <n v="14698"/>
    <n v="40708"/>
    <n v="1356.9333333333334"/>
    <n v="34778"/>
    <n v="1159.2666666666667"/>
    <n v="838"/>
    <n v="1146"/>
    <n v="40708"/>
    <n v="34778"/>
    <m/>
    <m/>
    <m/>
    <m/>
    <m/>
    <m/>
    <m/>
    <m/>
    <n v="0"/>
    <n v="0"/>
    <n v="0"/>
    <n v="0"/>
    <m/>
    <m/>
    <n v="0"/>
    <n v="0"/>
  </r>
  <r>
    <x v="0"/>
    <s v="Chattahoochee Valley State Community College "/>
    <m/>
    <n v="101028"/>
    <x v="8"/>
    <s v="sem"/>
    <m/>
    <m/>
    <m/>
    <n v="17390"/>
    <n v="16736"/>
    <n v="7473"/>
    <n v="5926"/>
    <n v="17305"/>
    <n v="17951"/>
    <n v="42168"/>
    <n v="1405.6"/>
    <n v="40613"/>
    <n v="1353.7666666666667"/>
    <n v="1103"/>
    <n v="980"/>
    <n v="42168"/>
    <n v="40613"/>
    <m/>
    <m/>
    <m/>
    <m/>
    <m/>
    <m/>
    <m/>
    <m/>
    <n v="0"/>
    <n v="0"/>
    <n v="0"/>
    <n v="0"/>
    <m/>
    <m/>
    <n v="0"/>
    <n v="0"/>
  </r>
  <r>
    <x v="0"/>
    <s v="George Corley Wallace State Community College - Selma"/>
    <m/>
    <n v="101301"/>
    <x v="8"/>
    <s v="sem"/>
    <m/>
    <m/>
    <m/>
    <n v="20969"/>
    <n v="20519"/>
    <n v="17749"/>
    <n v="10681"/>
    <n v="22129"/>
    <n v="19796"/>
    <n v="60847"/>
    <n v="2028.2333333333333"/>
    <n v="50996"/>
    <n v="1699.8666666666666"/>
    <n v="3352"/>
    <n v="1437"/>
    <n v="60847"/>
    <n v="50996"/>
    <m/>
    <m/>
    <m/>
    <m/>
    <m/>
    <m/>
    <m/>
    <m/>
    <n v="0"/>
    <n v="0"/>
    <n v="0"/>
    <n v="0"/>
    <m/>
    <m/>
    <n v="0"/>
    <n v="0"/>
  </r>
  <r>
    <x v="0"/>
    <s v="Jefferson Davis Community College"/>
    <m/>
    <n v="101499"/>
    <x v="8"/>
    <s v="sem"/>
    <m/>
    <m/>
    <m/>
    <n v="13054"/>
    <n v="11575"/>
    <n v="6189"/>
    <n v="4902"/>
    <n v="13058"/>
    <n v="11707"/>
    <n v="32301"/>
    <n v="1076.7"/>
    <n v="28184"/>
    <n v="939.4666666666667"/>
    <n v="335"/>
    <n v="328"/>
    <n v="32301"/>
    <n v="28184"/>
    <m/>
    <m/>
    <m/>
    <m/>
    <m/>
    <m/>
    <m/>
    <m/>
    <n v="0"/>
    <n v="0"/>
    <n v="0"/>
    <n v="0"/>
    <m/>
    <m/>
    <n v="0"/>
    <n v="0"/>
  </r>
  <r>
    <x v="0"/>
    <s v="Lurleen B. Wallace Community College "/>
    <m/>
    <n v="101602"/>
    <x v="8"/>
    <s v="sem"/>
    <m/>
    <m/>
    <m/>
    <n v="18987"/>
    <n v="16461"/>
    <n v="9795"/>
    <n v="7584"/>
    <n v="18627"/>
    <n v="17522"/>
    <n v="47409"/>
    <n v="1580.3"/>
    <n v="41567"/>
    <n v="1385.5666666666666"/>
    <n v="1806"/>
    <n v="1870"/>
    <n v="47409"/>
    <n v="41567"/>
    <m/>
    <m/>
    <m/>
    <m/>
    <m/>
    <m/>
    <m/>
    <m/>
    <n v="0"/>
    <n v="0"/>
    <n v="0"/>
    <n v="0"/>
    <m/>
    <m/>
    <n v="0"/>
    <n v="0"/>
  </r>
  <r>
    <x v="0"/>
    <s v="Snead State Community College "/>
    <s v="Met the criteria for Two-Year 2 in 2012-13."/>
    <n v="102076"/>
    <x v="8"/>
    <s v="sem"/>
    <m/>
    <m/>
    <m/>
    <n v="24519"/>
    <n v="23965"/>
    <n v="9191"/>
    <n v="8221"/>
    <n v="26027"/>
    <n v="27919"/>
    <n v="59737"/>
    <n v="1991.2333333333333"/>
    <n v="60105"/>
    <n v="2003.5"/>
    <n v="1619"/>
    <n v="1432"/>
    <n v="59737"/>
    <n v="60105"/>
    <m/>
    <m/>
    <m/>
    <m/>
    <m/>
    <m/>
    <m/>
    <m/>
    <n v="0"/>
    <n v="0"/>
    <n v="0"/>
    <n v="0"/>
    <m/>
    <m/>
    <n v="0"/>
    <n v="0"/>
  </r>
  <r>
    <x v="0"/>
    <s v="Trenholm State Technical College "/>
    <m/>
    <n v="102313"/>
    <x v="9"/>
    <s v="sem"/>
    <m/>
    <m/>
    <m/>
    <n v="18967"/>
    <n v="17016"/>
    <n v="12725"/>
    <n v="8628"/>
    <n v="17810"/>
    <n v="14834"/>
    <n v="49502"/>
    <n v="1650.0666666666666"/>
    <n v="40478"/>
    <n v="1349.2666666666667"/>
    <n v="93"/>
    <n v="210"/>
    <n v="49502"/>
    <n v="40478"/>
    <m/>
    <m/>
    <m/>
    <m/>
    <m/>
    <m/>
    <m/>
    <m/>
    <n v="0"/>
    <n v="0"/>
    <n v="0"/>
    <n v="0"/>
    <m/>
    <m/>
    <n v="0"/>
    <n v="0"/>
  </r>
  <r>
    <x v="0"/>
    <s v="J.F. Drake State Technical College "/>
    <m/>
    <n v="101462"/>
    <x v="10"/>
    <s v="sem"/>
    <m/>
    <m/>
    <m/>
    <n v="12358"/>
    <n v="11982"/>
    <n v="7822"/>
    <n v="5837"/>
    <n v="11966"/>
    <n v="11230"/>
    <n v="32146"/>
    <n v="1071.5333333333333"/>
    <n v="29049"/>
    <n v="968.3"/>
    <n v="494"/>
    <n v="2649"/>
    <n v="32146"/>
    <n v="29049"/>
    <m/>
    <m/>
    <m/>
    <m/>
    <m/>
    <m/>
    <m/>
    <m/>
    <n v="0"/>
    <n v="0"/>
    <n v="0"/>
    <n v="0"/>
    <m/>
    <m/>
    <n v="0"/>
    <n v="0"/>
  </r>
  <r>
    <x v="0"/>
    <s v="J.F. Ingram State Technical College "/>
    <m/>
    <n v="101471"/>
    <x v="10"/>
    <s v="sem"/>
    <m/>
    <m/>
    <m/>
    <n v="6793"/>
    <n v="6532"/>
    <n v="6510"/>
    <n v="6591"/>
    <n v="6833"/>
    <n v="5330"/>
    <n v="20136"/>
    <n v="671.2"/>
    <n v="18453"/>
    <n v="615.1"/>
    <n v="0"/>
    <n v="18"/>
    <n v="20136"/>
    <n v="18453"/>
    <m/>
    <m/>
    <m/>
    <m/>
    <m/>
    <m/>
    <m/>
    <m/>
    <n v="0"/>
    <n v="0"/>
    <n v="0"/>
    <n v="0"/>
    <m/>
    <m/>
    <n v="0"/>
    <n v="0"/>
  </r>
  <r>
    <x v="0"/>
    <s v="Reid State Technical College "/>
    <m/>
    <n v="101994"/>
    <x v="10"/>
    <s v="sem"/>
    <m/>
    <m/>
    <m/>
    <n v="8016"/>
    <n v="6330"/>
    <n v="5670"/>
    <n v="3648"/>
    <n v="8087"/>
    <n v="5584"/>
    <n v="21773"/>
    <n v="725.76666666666665"/>
    <n v="15562"/>
    <n v="518.73333333333335"/>
    <n v="1072"/>
    <n v="704"/>
    <n v="21773"/>
    <n v="15562"/>
    <m/>
    <m/>
    <m/>
    <m/>
    <m/>
    <m/>
    <m/>
    <m/>
    <n v="0"/>
    <n v="0"/>
    <n v="0"/>
    <n v="0"/>
    <m/>
    <m/>
    <n v="0"/>
    <n v="0"/>
  </r>
  <r>
    <x v="1"/>
    <s v="University of Arkansas, Fayetteville"/>
    <m/>
    <n v="106397"/>
    <x v="0"/>
    <s v="sem"/>
    <m/>
    <m/>
    <m/>
    <n v="223699"/>
    <n v="246316"/>
    <n v="40511"/>
    <n v="42076"/>
    <n v="261683"/>
    <n v="281242"/>
    <n v="525893"/>
    <n v="17529.766666666666"/>
    <n v="569634"/>
    <n v="18987.8"/>
    <n v="98"/>
    <n v="129"/>
    <n v="525893"/>
    <n v="569634"/>
    <m/>
    <m/>
    <m/>
    <m/>
    <m/>
    <m/>
    <m/>
    <m/>
    <n v="0"/>
    <n v="0"/>
    <n v="0"/>
    <n v="0"/>
    <m/>
    <m/>
    <n v="0"/>
    <n v="0"/>
  </r>
  <r>
    <x v="1"/>
    <s v="Arkansas State University"/>
    <m/>
    <n v="106458"/>
    <x v="2"/>
    <s v="sem"/>
    <m/>
    <m/>
    <m/>
    <n v="121311"/>
    <n v="122334"/>
    <n v="24842"/>
    <n v="23610"/>
    <n v="130144"/>
    <n v="131785"/>
    <n v="276297"/>
    <n v="9209.9"/>
    <n v="277729"/>
    <n v="9257.6333333333332"/>
    <n v="3258"/>
    <n v="3670"/>
    <n v="276297"/>
    <n v="277729"/>
    <m/>
    <m/>
    <m/>
    <m/>
    <m/>
    <m/>
    <m/>
    <m/>
    <n v="0"/>
    <n v="0"/>
    <n v="0"/>
    <n v="0"/>
    <m/>
    <m/>
    <n v="0"/>
    <n v="0"/>
  </r>
  <r>
    <x v="1"/>
    <s v="Arkansas Tech University"/>
    <s v="Reclassified: met the criteria for Four-Year 3 in 2010-11, 2011-12 and 2012-13."/>
    <n v="106467"/>
    <x v="2"/>
    <s v="sem"/>
    <m/>
    <m/>
    <m/>
    <n v="95372"/>
    <n v="98931"/>
    <n v="15748"/>
    <n v="15630"/>
    <n v="106982"/>
    <n v="108145"/>
    <n v="218102"/>
    <n v="7270.0666666666666"/>
    <n v="222706"/>
    <n v="7423.5333333333338"/>
    <n v="5942"/>
    <n v="5994"/>
    <n v="218102"/>
    <n v="222706"/>
    <m/>
    <m/>
    <m/>
    <m/>
    <m/>
    <m/>
    <m/>
    <m/>
    <n v="0"/>
    <n v="0"/>
    <n v="0"/>
    <n v="0"/>
    <m/>
    <m/>
    <n v="0"/>
    <n v="0"/>
  </r>
  <r>
    <x v="1"/>
    <s v="University of Arkansas at Little Rock"/>
    <s v="Met the criteria for Four-Year 2 in 2012-13."/>
    <n v="106245"/>
    <x v="2"/>
    <s v="sem"/>
    <m/>
    <m/>
    <m/>
    <n v="103304"/>
    <n v="104543"/>
    <n v="23400"/>
    <n v="22237"/>
    <n v="110459"/>
    <n v="110450"/>
    <n v="237163"/>
    <n v="7905.4333333333334"/>
    <n v="237230"/>
    <n v="7907.666666666667"/>
    <n v="12669"/>
    <n v="15191"/>
    <n v="237163"/>
    <n v="237230"/>
    <m/>
    <m/>
    <m/>
    <m/>
    <m/>
    <m/>
    <m/>
    <m/>
    <n v="0"/>
    <n v="0"/>
    <n v="0"/>
    <n v="0"/>
    <m/>
    <m/>
    <n v="0"/>
    <n v="0"/>
  </r>
  <r>
    <x v="1"/>
    <s v="University of Central Arkansas "/>
    <m/>
    <n v="106704"/>
    <x v="2"/>
    <s v="sem"/>
    <m/>
    <m/>
    <m/>
    <n v="120795"/>
    <n v="114123"/>
    <n v="19771"/>
    <n v="17883"/>
    <n v="128853"/>
    <n v="129238"/>
    <n v="269419"/>
    <n v="8980.6333333333332"/>
    <n v="261244"/>
    <n v="8708.1333333333332"/>
    <n v="3989"/>
    <n v="2287"/>
    <n v="269419"/>
    <n v="261244"/>
    <m/>
    <m/>
    <m/>
    <m/>
    <m/>
    <m/>
    <m/>
    <m/>
    <n v="0"/>
    <n v="0"/>
    <n v="0"/>
    <n v="0"/>
    <m/>
    <m/>
    <n v="0"/>
    <n v="0"/>
  </r>
  <r>
    <x v="1"/>
    <s v="Henderson State University"/>
    <m/>
    <n v="107071"/>
    <x v="3"/>
    <s v="sem"/>
    <m/>
    <m/>
    <m/>
    <n v="43590"/>
    <n v="43169"/>
    <n v="7129"/>
    <n v="5624"/>
    <n v="47323"/>
    <n v="47196"/>
    <n v="98042"/>
    <n v="3268.0666666666666"/>
    <n v="95989"/>
    <n v="3199.6333333333332"/>
    <n v="30"/>
    <n v="35"/>
    <n v="98042"/>
    <n v="95989"/>
    <m/>
    <m/>
    <m/>
    <m/>
    <m/>
    <m/>
    <m/>
    <m/>
    <n v="0"/>
    <n v="0"/>
    <n v="0"/>
    <n v="0"/>
    <m/>
    <m/>
    <n v="0"/>
    <n v="0"/>
  </r>
  <r>
    <x v="1"/>
    <s v="Southern Arkansas University"/>
    <m/>
    <n v="107983"/>
    <x v="3"/>
    <s v="sem"/>
    <m/>
    <m/>
    <m/>
    <n v="37068"/>
    <n v="36593"/>
    <n v="5367"/>
    <n v="4813"/>
    <n v="41110"/>
    <n v="39975"/>
    <n v="83545"/>
    <n v="2784.8333333333335"/>
    <n v="81381"/>
    <n v="2712.7"/>
    <n v="694"/>
    <n v="1008"/>
    <n v="83545"/>
    <n v="81381"/>
    <m/>
    <m/>
    <m/>
    <m/>
    <m/>
    <m/>
    <m/>
    <m/>
    <n v="0"/>
    <n v="0"/>
    <n v="0"/>
    <n v="0"/>
    <m/>
    <m/>
    <n v="0"/>
    <n v="0"/>
  </r>
  <r>
    <x v="1"/>
    <s v="University of Arkansas at Monticello"/>
    <m/>
    <n v="106485"/>
    <x v="4"/>
    <s v="sem"/>
    <m/>
    <m/>
    <m/>
    <n v="30307"/>
    <n v="31870"/>
    <n v="6430"/>
    <n v="4622"/>
    <n v="35265"/>
    <n v="34112"/>
    <n v="72002"/>
    <n v="2400.0666666666666"/>
    <n v="70604"/>
    <n v="2353.4666666666667"/>
    <n v="3921"/>
    <n v="4390"/>
    <n v="72002"/>
    <n v="70604"/>
    <m/>
    <m/>
    <m/>
    <m/>
    <m/>
    <m/>
    <m/>
    <m/>
    <n v="0"/>
    <n v="0"/>
    <n v="0"/>
    <n v="0"/>
    <m/>
    <m/>
    <n v="0"/>
    <n v="0"/>
  </r>
  <r>
    <x v="1"/>
    <s v="University of Arkansas at Fort Smith"/>
    <m/>
    <n v="108092"/>
    <x v="5"/>
    <s v="sem"/>
    <m/>
    <m/>
    <m/>
    <n v="81617"/>
    <n v="78825"/>
    <n v="16468"/>
    <n v="14723"/>
    <n v="87010"/>
    <n v="84807"/>
    <n v="185095"/>
    <n v="6169.833333333333"/>
    <n v="178355"/>
    <n v="5945.166666666667"/>
    <n v="1796"/>
    <n v="1530"/>
    <n v="185095"/>
    <n v="178355"/>
    <m/>
    <m/>
    <m/>
    <m/>
    <m/>
    <m/>
    <m/>
    <m/>
    <n v="0"/>
    <n v="0"/>
    <n v="0"/>
    <n v="0"/>
    <m/>
    <m/>
    <n v="0"/>
    <n v="0"/>
  </r>
  <r>
    <x v="1"/>
    <s v="University of Arkansas at Pine Bluff"/>
    <s v="Met the criteria for Four-Year 5 in 2012-13."/>
    <n v="106412"/>
    <x v="5"/>
    <s v="sem"/>
    <m/>
    <m/>
    <m/>
    <n v="39816"/>
    <n v="37521"/>
    <n v="6408"/>
    <n v="5110"/>
    <n v="42531"/>
    <n v="37638"/>
    <n v="88755"/>
    <n v="2958.5"/>
    <n v="80269"/>
    <n v="2675.6333333333332"/>
    <n v="9"/>
    <n v="0"/>
    <n v="88755"/>
    <n v="80269"/>
    <m/>
    <m/>
    <m/>
    <m/>
    <m/>
    <m/>
    <m/>
    <m/>
    <n v="0"/>
    <n v="0"/>
    <n v="0"/>
    <n v="0"/>
    <m/>
    <m/>
    <n v="0"/>
    <n v="0"/>
  </r>
  <r>
    <x v="1"/>
    <s v="Northwest Arkansas Community College "/>
    <m/>
    <n v="367459"/>
    <x v="6"/>
    <s v="sem"/>
    <m/>
    <m/>
    <m/>
    <n v="75886"/>
    <n v="74726"/>
    <n v="18386"/>
    <n v="16520"/>
    <n v="79810"/>
    <n v="78348"/>
    <n v="174082"/>
    <n v="5802.7333333333336"/>
    <n v="169594"/>
    <n v="5653.1333333333332"/>
    <n v="5733"/>
    <n v="6400"/>
    <n v="174082"/>
    <n v="169594"/>
    <m/>
    <m/>
    <m/>
    <m/>
    <m/>
    <m/>
    <m/>
    <m/>
    <n v="0"/>
    <n v="0"/>
    <n v="0"/>
    <n v="0"/>
    <m/>
    <m/>
    <n v="0"/>
    <n v="0"/>
  </r>
  <r>
    <x v="1"/>
    <s v="Pulaski Technical College"/>
    <m/>
    <n v="107664"/>
    <x v="6"/>
    <s v="sem"/>
    <m/>
    <m/>
    <m/>
    <n v="114525"/>
    <n v="118448"/>
    <n v="27409"/>
    <n v="21689"/>
    <n v="119230"/>
    <n v="116649"/>
    <n v="261164"/>
    <n v="8705.4666666666672"/>
    <n v="256786"/>
    <n v="8559.5333333333328"/>
    <n v="3008"/>
    <n v="1261"/>
    <n v="261164"/>
    <n v="256786"/>
    <m/>
    <m/>
    <m/>
    <m/>
    <m/>
    <m/>
    <m/>
    <m/>
    <n v="0"/>
    <n v="0"/>
    <n v="0"/>
    <n v="0"/>
    <m/>
    <m/>
    <n v="0"/>
    <n v="0"/>
  </r>
  <r>
    <x v="1"/>
    <s v="Arkansas State University-Beebe"/>
    <m/>
    <n v="106449"/>
    <x v="7"/>
    <s v="sem"/>
    <m/>
    <m/>
    <m/>
    <n v="47248"/>
    <n v="45198"/>
    <n v="10143"/>
    <n v="9675"/>
    <n v="48016"/>
    <n v="47448"/>
    <n v="105407"/>
    <n v="3513.5666666666666"/>
    <n v="102321"/>
    <n v="3410.7"/>
    <n v="6115"/>
    <n v="5744"/>
    <n v="105407"/>
    <n v="102321"/>
    <m/>
    <m/>
    <m/>
    <m/>
    <m/>
    <m/>
    <m/>
    <m/>
    <n v="0"/>
    <n v="0"/>
    <n v="0"/>
    <n v="0"/>
    <m/>
    <m/>
    <n v="0"/>
    <n v="0"/>
  </r>
  <r>
    <x v="1"/>
    <s v="National Park Community College"/>
    <m/>
    <n v="106980"/>
    <x v="7"/>
    <s v="sem"/>
    <m/>
    <m/>
    <m/>
    <n v="37006"/>
    <n v="36294"/>
    <n v="8939"/>
    <n v="5944"/>
    <n v="40368"/>
    <n v="33758"/>
    <n v="86313"/>
    <n v="2877.1"/>
    <n v="75996"/>
    <n v="2533.1999999999998"/>
    <n v="5369"/>
    <n v="5339"/>
    <n v="86313"/>
    <n v="75996"/>
    <m/>
    <m/>
    <m/>
    <m/>
    <m/>
    <m/>
    <m/>
    <m/>
    <n v="0"/>
    <n v="0"/>
    <n v="0"/>
    <n v="0"/>
    <m/>
    <m/>
    <n v="0"/>
    <n v="0"/>
  </r>
  <r>
    <x v="1"/>
    <s v="Arkansas Northeastern College"/>
    <m/>
    <n v="107327"/>
    <x v="8"/>
    <s v="sem"/>
    <m/>
    <m/>
    <m/>
    <n v="18136"/>
    <n v="16635"/>
    <n v="4353"/>
    <n v="3987"/>
    <n v="18526"/>
    <n v="16099"/>
    <n v="41015"/>
    <n v="1367.1666666666667"/>
    <n v="36721"/>
    <n v="1224.0333333333333"/>
    <n v="1315"/>
    <n v="893"/>
    <n v="41015"/>
    <n v="36721"/>
    <m/>
    <m/>
    <m/>
    <m/>
    <m/>
    <m/>
    <m/>
    <m/>
    <n v="0"/>
    <n v="0"/>
    <n v="0"/>
    <n v="0"/>
    <m/>
    <m/>
    <n v="0"/>
    <n v="0"/>
  </r>
  <r>
    <x v="1"/>
    <s v="Arkansas State University Mountain Home"/>
    <m/>
    <n v="420538"/>
    <x v="8"/>
    <s v="sem"/>
    <m/>
    <m/>
    <m/>
    <n v="15864"/>
    <n v="16307"/>
    <n v="3293"/>
    <n v="2857"/>
    <n v="16415"/>
    <n v="16162"/>
    <n v="35572"/>
    <n v="1185.7333333333333"/>
    <n v="35326"/>
    <n v="1177.5333333333333"/>
    <n v="535"/>
    <n v="554"/>
    <n v="35572"/>
    <n v="35326"/>
    <m/>
    <m/>
    <m/>
    <m/>
    <m/>
    <m/>
    <m/>
    <m/>
    <n v="0"/>
    <n v="0"/>
    <n v="0"/>
    <n v="0"/>
    <m/>
    <m/>
    <n v="0"/>
    <n v="0"/>
  </r>
  <r>
    <x v="1"/>
    <s v="Arkansas State University-Newport"/>
    <m/>
    <n v="440402"/>
    <x v="8"/>
    <s v="sem"/>
    <m/>
    <m/>
    <m/>
    <n v="16402"/>
    <n v="16455"/>
    <n v="7597"/>
    <n v="7850"/>
    <n v="18492"/>
    <n v="15713"/>
    <n v="42491"/>
    <n v="1416.3666666666666"/>
    <n v="40018"/>
    <n v="1333.9333333333334"/>
    <n v="3734"/>
    <n v="2129"/>
    <n v="42491"/>
    <n v="40018"/>
    <m/>
    <m/>
    <m/>
    <m/>
    <m/>
    <m/>
    <m/>
    <m/>
    <n v="0"/>
    <n v="0"/>
    <n v="0"/>
    <n v="0"/>
    <m/>
    <m/>
    <n v="0"/>
    <n v="0"/>
  </r>
  <r>
    <x v="1"/>
    <s v="Black River Technical College"/>
    <m/>
    <n v="106625"/>
    <x v="8"/>
    <s v="sem"/>
    <m/>
    <m/>
    <m/>
    <n v="28136"/>
    <n v="26678"/>
    <n v="6566"/>
    <n v="5370"/>
    <n v="28259"/>
    <n v="27189"/>
    <n v="62961"/>
    <n v="2098.6999999999998"/>
    <n v="59237"/>
    <n v="1974.5666666666666"/>
    <n v="2325"/>
    <n v="2681"/>
    <n v="62961"/>
    <n v="59237"/>
    <m/>
    <m/>
    <m/>
    <m/>
    <m/>
    <m/>
    <m/>
    <m/>
    <n v="0"/>
    <n v="0"/>
    <n v="0"/>
    <n v="0"/>
    <m/>
    <m/>
    <n v="0"/>
    <n v="0"/>
  </r>
  <r>
    <x v="1"/>
    <s v="College of the Ouachitas"/>
    <m/>
    <n v="107521"/>
    <x v="8"/>
    <s v="sem"/>
    <m/>
    <m/>
    <m/>
    <n v="11877"/>
    <n v="10597"/>
    <n v="2590"/>
    <n v="2342"/>
    <n v="11276"/>
    <n v="11431"/>
    <n v="25743"/>
    <n v="858.1"/>
    <n v="24370"/>
    <n v="812.33333333333337"/>
    <n v="2047"/>
    <n v="2393"/>
    <n v="25743"/>
    <n v="24370"/>
    <m/>
    <m/>
    <m/>
    <m/>
    <m/>
    <m/>
    <m/>
    <m/>
    <n v="0"/>
    <n v="0"/>
    <n v="0"/>
    <n v="0"/>
    <m/>
    <m/>
    <n v="0"/>
    <n v="0"/>
  </r>
  <r>
    <x v="1"/>
    <s v="Cossatot Community College of the University of Arkansas"/>
    <m/>
    <n v="106795"/>
    <x v="8"/>
    <s v="sem"/>
    <m/>
    <m/>
    <m/>
    <n v="14067"/>
    <n v="12387"/>
    <n v="3942"/>
    <n v="2973"/>
    <n v="13642"/>
    <n v="14313"/>
    <n v="31651"/>
    <n v="1055.0333333333333"/>
    <n v="29673"/>
    <n v="989.1"/>
    <n v="3366"/>
    <n v="3561"/>
    <n v="31651"/>
    <n v="29673"/>
    <m/>
    <m/>
    <m/>
    <m/>
    <m/>
    <m/>
    <m/>
    <m/>
    <n v="0"/>
    <n v="0"/>
    <n v="0"/>
    <n v="0"/>
    <m/>
    <m/>
    <n v="0"/>
    <n v="0"/>
  </r>
  <r>
    <x v="1"/>
    <s v="East Arkansas Community College "/>
    <m/>
    <n v="106883"/>
    <x v="8"/>
    <s v="sem"/>
    <m/>
    <m/>
    <m/>
    <n v="12789"/>
    <n v="11239"/>
    <n v="4393"/>
    <n v="3415"/>
    <n v="12236"/>
    <n v="13468"/>
    <n v="29418"/>
    <n v="980.6"/>
    <n v="28122"/>
    <n v="937.4"/>
    <n v="1021"/>
    <n v="2030"/>
    <n v="29418"/>
    <n v="28122"/>
    <m/>
    <m/>
    <m/>
    <m/>
    <m/>
    <m/>
    <m/>
    <m/>
    <n v="0"/>
    <n v="0"/>
    <n v="0"/>
    <n v="0"/>
    <m/>
    <m/>
    <n v="0"/>
    <n v="0"/>
  </r>
  <r>
    <x v="1"/>
    <s v="Mid-South Community College "/>
    <m/>
    <n v="107318"/>
    <x v="8"/>
    <s v="sem"/>
    <m/>
    <m/>
    <m/>
    <n v="16776"/>
    <n v="17322"/>
    <n v="3003"/>
    <n v="2726"/>
    <n v="18875"/>
    <n v="17703"/>
    <n v="38654"/>
    <n v="1288.4666666666667"/>
    <n v="37751"/>
    <n v="1258.3666666666666"/>
    <n v="4612"/>
    <n v="4902"/>
    <n v="38654"/>
    <n v="37751"/>
    <m/>
    <m/>
    <m/>
    <m/>
    <m/>
    <m/>
    <m/>
    <m/>
    <n v="0"/>
    <n v="0"/>
    <n v="0"/>
    <n v="0"/>
    <m/>
    <m/>
    <n v="0"/>
    <n v="0"/>
  </r>
  <r>
    <x v="1"/>
    <s v="North Arkansas College"/>
    <m/>
    <n v="107460"/>
    <x v="8"/>
    <s v="sem"/>
    <m/>
    <m/>
    <m/>
    <n v="25665"/>
    <n v="24309"/>
    <n v="4023"/>
    <n v="2910"/>
    <n v="25315"/>
    <n v="24390"/>
    <n v="55003"/>
    <n v="1833.4333333333334"/>
    <n v="51609"/>
    <n v="1720.3"/>
    <n v="579"/>
    <n v="791"/>
    <n v="55003"/>
    <n v="51609"/>
    <m/>
    <m/>
    <m/>
    <m/>
    <m/>
    <m/>
    <m/>
    <m/>
    <n v="0"/>
    <n v="0"/>
    <n v="0"/>
    <n v="0"/>
    <m/>
    <m/>
    <n v="0"/>
    <n v="0"/>
  </r>
  <r>
    <x v="1"/>
    <s v="Ozarka College "/>
    <m/>
    <n v="107549"/>
    <x v="8"/>
    <s v="sem"/>
    <m/>
    <m/>
    <m/>
    <n v="17169"/>
    <n v="16870"/>
    <n v="3965"/>
    <n v="3635"/>
    <n v="17576"/>
    <n v="16710"/>
    <n v="38710"/>
    <n v="1290.3333333333333"/>
    <n v="37215"/>
    <n v="1240.5"/>
    <n v="1020"/>
    <n v="1519"/>
    <n v="38710"/>
    <n v="37215"/>
    <m/>
    <m/>
    <m/>
    <m/>
    <m/>
    <m/>
    <m/>
    <m/>
    <n v="0"/>
    <n v="0"/>
    <n v="0"/>
    <n v="0"/>
    <m/>
    <m/>
    <n v="0"/>
    <n v="0"/>
  </r>
  <r>
    <x v="1"/>
    <s v="Phillips Community College of the Univ of Arkansas"/>
    <m/>
    <n v="107619"/>
    <x v="8"/>
    <s v="sem"/>
    <m/>
    <m/>
    <m/>
    <n v="17287"/>
    <n v="15618"/>
    <n v="3844"/>
    <n v="2799"/>
    <n v="18885"/>
    <n v="16978"/>
    <n v="40016"/>
    <n v="1333.8666666666666"/>
    <n v="35395"/>
    <n v="1179.8333333333333"/>
    <n v="6604"/>
    <n v="7104"/>
    <n v="40016"/>
    <n v="35395"/>
    <m/>
    <m/>
    <m/>
    <m/>
    <m/>
    <m/>
    <m/>
    <m/>
    <n v="0"/>
    <n v="0"/>
    <n v="0"/>
    <n v="0"/>
    <m/>
    <m/>
    <n v="0"/>
    <n v="0"/>
  </r>
  <r>
    <x v="1"/>
    <s v="Rich Mountain Community College "/>
    <m/>
    <n v="107743"/>
    <x v="8"/>
    <s v="sem"/>
    <m/>
    <m/>
    <m/>
    <n v="8658"/>
    <n v="7202"/>
    <n v="1459"/>
    <n v="1540"/>
    <n v="8434"/>
    <n v="8950"/>
    <n v="18551"/>
    <n v="618.36666666666667"/>
    <n v="17692"/>
    <n v="589.73333333333335"/>
    <n v="386"/>
    <n v="1379"/>
    <n v="18551"/>
    <n v="17692"/>
    <m/>
    <m/>
    <m/>
    <m/>
    <m/>
    <m/>
    <m/>
    <m/>
    <n v="0"/>
    <n v="0"/>
    <n v="0"/>
    <n v="0"/>
    <m/>
    <m/>
    <n v="0"/>
    <n v="0"/>
  </r>
  <r>
    <x v="1"/>
    <s v="South Arkansas Community College"/>
    <m/>
    <n v="107974"/>
    <x v="8"/>
    <s v="sem"/>
    <m/>
    <m/>
    <m/>
    <n v="17047"/>
    <n v="17434"/>
    <n v="7185"/>
    <n v="6320"/>
    <n v="17513"/>
    <n v="15924"/>
    <n v="41745"/>
    <n v="1391.5"/>
    <n v="39678"/>
    <n v="1322.6"/>
    <n v="2397"/>
    <n v="2752"/>
    <n v="41745"/>
    <n v="39678"/>
    <m/>
    <m/>
    <m/>
    <m/>
    <m/>
    <m/>
    <m/>
    <m/>
    <n v="0"/>
    <n v="0"/>
    <n v="0"/>
    <n v="0"/>
    <m/>
    <m/>
    <n v="0"/>
    <n v="0"/>
  </r>
  <r>
    <x v="1"/>
    <s v="Southeast Arkansas College"/>
    <m/>
    <n v="107637"/>
    <x v="8"/>
    <s v="sem"/>
    <m/>
    <m/>
    <m/>
    <n v="19519"/>
    <n v="19112"/>
    <n v="6006"/>
    <n v="4901"/>
    <n v="21341"/>
    <n v="17863"/>
    <n v="46866"/>
    <n v="1562.2"/>
    <n v="41876"/>
    <n v="1395.8666666666666"/>
    <n v="2111"/>
    <n v="2325"/>
    <n v="46866"/>
    <n v="41876"/>
    <m/>
    <m/>
    <m/>
    <m/>
    <m/>
    <m/>
    <m/>
    <m/>
    <n v="0"/>
    <n v="0"/>
    <n v="0"/>
    <n v="0"/>
    <m/>
    <m/>
    <n v="0"/>
    <n v="0"/>
  </r>
  <r>
    <x v="1"/>
    <s v="Southern Arkansas University Tech"/>
    <m/>
    <n v="107992"/>
    <x v="8"/>
    <s v="sem"/>
    <m/>
    <m/>
    <m/>
    <n v="13632"/>
    <n v="13869"/>
    <n v="5377"/>
    <n v="4264"/>
    <n v="14888"/>
    <n v="14467"/>
    <n v="33897"/>
    <n v="1129.9000000000001"/>
    <n v="32600"/>
    <n v="1086.6666666666667"/>
    <n v="2441"/>
    <n v="2852"/>
    <n v="33897"/>
    <n v="32600"/>
    <m/>
    <m/>
    <m/>
    <m/>
    <m/>
    <m/>
    <m/>
    <m/>
    <n v="0"/>
    <n v="0"/>
    <n v="0"/>
    <n v="0"/>
    <m/>
    <m/>
    <n v="0"/>
    <n v="0"/>
  </r>
  <r>
    <x v="1"/>
    <s v="University of Arkansas Community College at Batesville"/>
    <m/>
    <n v="106999"/>
    <x v="8"/>
    <s v="sem"/>
    <m/>
    <m/>
    <m/>
    <n v="18090"/>
    <n v="14935"/>
    <n v="3530"/>
    <n v="3158"/>
    <n v="17006"/>
    <n v="15348"/>
    <n v="38626"/>
    <n v="1287.5333333333333"/>
    <n v="33441"/>
    <n v="1114.7"/>
    <n v="924"/>
    <n v="1252"/>
    <n v="38626"/>
    <n v="33441"/>
    <m/>
    <m/>
    <m/>
    <m/>
    <m/>
    <m/>
    <m/>
    <m/>
    <n v="0"/>
    <n v="0"/>
    <n v="0"/>
    <n v="0"/>
    <m/>
    <m/>
    <n v="0"/>
    <n v="0"/>
  </r>
  <r>
    <x v="1"/>
    <s v="University of Arkansas Community College at Hope"/>
    <m/>
    <n v="107725"/>
    <x v="8"/>
    <s v="sem"/>
    <m/>
    <m/>
    <m/>
    <n v="14520"/>
    <n v="12230"/>
    <n v="2923"/>
    <n v="2191"/>
    <n v="13999"/>
    <n v="14714"/>
    <n v="31442"/>
    <n v="1048.0666666666666"/>
    <n v="29135"/>
    <n v="971.16666666666663"/>
    <n v="1664"/>
    <n v="1805"/>
    <n v="31442"/>
    <n v="29135"/>
    <m/>
    <m/>
    <m/>
    <m/>
    <m/>
    <m/>
    <m/>
    <m/>
    <n v="0"/>
    <n v="0"/>
    <n v="0"/>
    <n v="0"/>
    <m/>
    <m/>
    <n v="0"/>
    <n v="0"/>
  </r>
  <r>
    <x v="1"/>
    <s v="University of Arkansas Community College at Morrilton"/>
    <m/>
    <n v="107585"/>
    <x v="8"/>
    <s v="sem"/>
    <m/>
    <m/>
    <m/>
    <n v="26522"/>
    <n v="23858"/>
    <n v="4265"/>
    <n v="3265"/>
    <n v="26847"/>
    <n v="24088"/>
    <n v="57634"/>
    <n v="1921.1333333333334"/>
    <n v="51211"/>
    <n v="1707.0333333333333"/>
    <n v="545"/>
    <n v="444"/>
    <n v="57634"/>
    <n v="51211"/>
    <m/>
    <m/>
    <m/>
    <m/>
    <m/>
    <m/>
    <m/>
    <m/>
    <n v="0"/>
    <n v="0"/>
    <n v="0"/>
    <n v="0"/>
    <m/>
    <m/>
    <n v="0"/>
    <n v="0"/>
  </r>
  <r>
    <x v="2"/>
    <s v="University of Delaware"/>
    <m/>
    <n v="130943"/>
    <x v="0"/>
    <s v="sem"/>
    <s v="sem"/>
    <n v="32358"/>
    <n v="30784"/>
    <n v="227549"/>
    <n v="234969"/>
    <n v="14925"/>
    <n v="15364"/>
    <n v="250767"/>
    <n v="257692"/>
    <n v="525599"/>
    <n v="17519.966666666667"/>
    <n v="538809"/>
    <n v="17960.3"/>
    <m/>
    <m/>
    <n v="0"/>
    <n v="0"/>
    <m/>
    <m/>
    <m/>
    <m/>
    <m/>
    <m/>
    <m/>
    <m/>
    <n v="0"/>
    <n v="0"/>
    <n v="0"/>
    <n v="0"/>
    <m/>
    <m/>
    <n v="0"/>
    <n v="0"/>
  </r>
  <r>
    <x v="2"/>
    <s v="Delaware State University"/>
    <s v="Reclassified: met the criteria for Four-Year 3 in 2010-11, 2011-12 and 2012-13."/>
    <n v="130934"/>
    <x v="2"/>
    <s v="sem"/>
    <s v="sem"/>
    <m/>
    <m/>
    <n v="43388"/>
    <n v="49398"/>
    <n v="4723"/>
    <n v="4005"/>
    <n v="55120"/>
    <n v="56630"/>
    <n v="103231"/>
    <n v="3441.0333333333333"/>
    <n v="110033"/>
    <n v="3667.7666666666669"/>
    <m/>
    <m/>
    <n v="0"/>
    <n v="0"/>
    <m/>
    <m/>
    <m/>
    <m/>
    <m/>
    <m/>
    <m/>
    <m/>
    <n v="0"/>
    <n v="0"/>
    <n v="0"/>
    <n v="0"/>
    <m/>
    <m/>
    <n v="0"/>
    <n v="0"/>
  </r>
  <r>
    <x v="2"/>
    <s v="Delaware Technical and Community College--Stanton-Wilmington"/>
    <m/>
    <n v="130916"/>
    <x v="6"/>
    <s v="sem"/>
    <s v="sem"/>
    <m/>
    <m/>
    <n v="67910"/>
    <n v="66323"/>
    <n v="18232"/>
    <n v="16560"/>
    <n v="71610"/>
    <n v="70523"/>
    <n v="157752"/>
    <n v="5258.4"/>
    <n v="153406"/>
    <n v="5113.5333333333338"/>
    <m/>
    <m/>
    <n v="0"/>
    <n v="0"/>
    <m/>
    <m/>
    <m/>
    <m/>
    <m/>
    <m/>
    <m/>
    <m/>
    <n v="0"/>
    <n v="0"/>
    <n v="0"/>
    <n v="0"/>
    <m/>
    <m/>
    <n v="0"/>
    <n v="0"/>
  </r>
  <r>
    <x v="2"/>
    <s v="Delaware Technical and Community College--Owens"/>
    <m/>
    <n v="130891"/>
    <x v="7"/>
    <s v="sem"/>
    <s v="sem"/>
    <m/>
    <m/>
    <n v="46550"/>
    <n v="44367"/>
    <n v="8819"/>
    <n v="8406"/>
    <n v="48806"/>
    <n v="46165"/>
    <n v="104175"/>
    <n v="3472.5"/>
    <n v="98938"/>
    <n v="3297.9333333333334"/>
    <m/>
    <m/>
    <n v="0"/>
    <n v="0"/>
    <m/>
    <m/>
    <m/>
    <m/>
    <m/>
    <m/>
    <m/>
    <m/>
    <n v="0"/>
    <n v="0"/>
    <n v="0"/>
    <n v="0"/>
    <m/>
    <m/>
    <n v="0"/>
    <n v="0"/>
  </r>
  <r>
    <x v="2"/>
    <s v="Delaware Technical and Community College--Terry"/>
    <m/>
    <n v="130907"/>
    <x v="7"/>
    <s v="sem"/>
    <s v="sem"/>
    <m/>
    <m/>
    <n v="32418"/>
    <n v="31712"/>
    <n v="8310"/>
    <n v="7569"/>
    <n v="33865"/>
    <n v="31624"/>
    <n v="74593"/>
    <n v="2486.4333333333334"/>
    <n v="70905"/>
    <n v="2363.5"/>
    <m/>
    <m/>
    <n v="0"/>
    <n v="0"/>
    <m/>
    <m/>
    <m/>
    <m/>
    <m/>
    <m/>
    <m/>
    <m/>
    <n v="0"/>
    <n v="0"/>
    <n v="0"/>
    <n v="0"/>
    <m/>
    <m/>
    <n v="0"/>
    <n v="0"/>
  </r>
  <r>
    <x v="3"/>
    <s v="Florida International University"/>
    <m/>
    <n v="133951"/>
    <x v="0"/>
    <s v="sem"/>
    <m/>
    <m/>
    <m/>
    <n v="374465"/>
    <n v="400944"/>
    <n v="191233"/>
    <n v="179559"/>
    <n v="414320"/>
    <n v="433470"/>
    <n v="980018"/>
    <n v="32667.266666666666"/>
    <n v="1013973"/>
    <n v="33799.1"/>
    <n v="25737"/>
    <n v="33744"/>
    <n v="980018"/>
    <n v="1013973"/>
    <m/>
    <m/>
    <m/>
    <m/>
    <m/>
    <m/>
    <m/>
    <m/>
    <n v="0"/>
    <n v="0"/>
    <n v="0"/>
    <n v="0"/>
    <m/>
    <m/>
    <n v="0"/>
    <n v="0"/>
  </r>
  <r>
    <x v="3"/>
    <s v="Florida State University "/>
    <m/>
    <n v="134097"/>
    <x v="0"/>
    <s v="sem"/>
    <m/>
    <m/>
    <m/>
    <n v="399536"/>
    <n v="405780"/>
    <n v="130933"/>
    <n v="127490"/>
    <n v="477741"/>
    <n v="471701"/>
    <n v="1008210"/>
    <n v="33607"/>
    <n v="1004971"/>
    <n v="33499.033333333333"/>
    <n v="467"/>
    <n v="1116"/>
    <n v="1008210"/>
    <n v="1004971"/>
    <m/>
    <m/>
    <m/>
    <m/>
    <m/>
    <m/>
    <m/>
    <m/>
    <n v="0"/>
    <n v="0"/>
    <n v="0"/>
    <n v="0"/>
    <m/>
    <m/>
    <n v="0"/>
    <n v="0"/>
  </r>
  <r>
    <x v="3"/>
    <s v="University of Central Florida "/>
    <m/>
    <n v="132903"/>
    <x v="0"/>
    <s v="sem"/>
    <m/>
    <m/>
    <m/>
    <n v="550424"/>
    <n v="570430"/>
    <n v="203060"/>
    <n v="206207"/>
    <n v="589882"/>
    <n v="591832"/>
    <n v="1343366"/>
    <n v="44778.866666666669"/>
    <n v="1368469"/>
    <n v="45615.633333333331"/>
    <n v="684"/>
    <n v="771"/>
    <n v="1343366"/>
    <n v="1368469"/>
    <m/>
    <m/>
    <m/>
    <m/>
    <m/>
    <m/>
    <m/>
    <m/>
    <n v="0"/>
    <n v="0"/>
    <n v="0"/>
    <n v="0"/>
    <m/>
    <m/>
    <n v="0"/>
    <n v="0"/>
  </r>
  <r>
    <x v="3"/>
    <s v="University of Florida"/>
    <m/>
    <n v="134130"/>
    <x v="0"/>
    <s v="sem"/>
    <m/>
    <m/>
    <m/>
    <n v="420487"/>
    <n v="420313"/>
    <n v="117007"/>
    <n v="116093"/>
    <n v="436376"/>
    <n v="435297"/>
    <n v="973870"/>
    <n v="32462.333333333332"/>
    <n v="971703"/>
    <n v="32390.1"/>
    <n v="1306"/>
    <n v="1487"/>
    <n v="973870"/>
    <n v="971703"/>
    <m/>
    <m/>
    <m/>
    <m/>
    <m/>
    <m/>
    <m/>
    <m/>
    <n v="0"/>
    <n v="0"/>
    <n v="0"/>
    <n v="0"/>
    <m/>
    <m/>
    <n v="0"/>
    <n v="0"/>
  </r>
  <r>
    <x v="3"/>
    <s v="University of South Florida "/>
    <m/>
    <n v="137351"/>
    <x v="0"/>
    <s v="sem"/>
    <m/>
    <m/>
    <m/>
    <n v="416310"/>
    <n v="421127"/>
    <n v="157950"/>
    <n v="153540"/>
    <n v="443707"/>
    <n v="450005"/>
    <n v="1017967"/>
    <n v="33932.23333333333"/>
    <n v="1024672"/>
    <n v="34155.73333333333"/>
    <n v="657"/>
    <n v="733"/>
    <n v="1017967"/>
    <n v="1024672"/>
    <m/>
    <m/>
    <m/>
    <m/>
    <m/>
    <m/>
    <m/>
    <m/>
    <n v="0"/>
    <n v="0"/>
    <n v="0"/>
    <n v="0"/>
    <m/>
    <m/>
    <n v="0"/>
    <n v="0"/>
  </r>
  <r>
    <x v="3"/>
    <s v="Florida Atlantic University "/>
    <s v="Met the criteria for Four-Year 1 in 2012-13."/>
    <n v="133669"/>
    <x v="1"/>
    <s v="sem"/>
    <m/>
    <m/>
    <m/>
    <n v="236722"/>
    <n v="249063"/>
    <n v="96196"/>
    <n v="91973"/>
    <n v="266759"/>
    <n v="275769"/>
    <n v="599677"/>
    <n v="19989.233333333334"/>
    <n v="616805"/>
    <n v="20560.166666666668"/>
    <n v="6185"/>
    <n v="8071"/>
    <n v="599677"/>
    <n v="616805"/>
    <m/>
    <m/>
    <m/>
    <m/>
    <m/>
    <m/>
    <m/>
    <m/>
    <n v="0"/>
    <n v="0"/>
    <n v="0"/>
    <n v="0"/>
    <m/>
    <m/>
    <n v="0"/>
    <n v="0"/>
  </r>
  <r>
    <x v="3"/>
    <s v="Florida Agricultural &amp; Mechanical University "/>
    <s v="Met the criteria for Four-Year 2 in 2011-12 and 2012-13."/>
    <n v="133650"/>
    <x v="2"/>
    <s v="sem"/>
    <m/>
    <m/>
    <m/>
    <n v="143196"/>
    <n v="138674"/>
    <n v="29446"/>
    <n v="27241"/>
    <n v="151544"/>
    <n v="136531"/>
    <n v="324186"/>
    <n v="10806.2"/>
    <n v="302446"/>
    <n v="10081.533333333333"/>
    <n v="139"/>
    <n v="189"/>
    <n v="324186"/>
    <n v="302446"/>
    <m/>
    <m/>
    <m/>
    <m/>
    <m/>
    <m/>
    <m/>
    <m/>
    <n v="0"/>
    <n v="0"/>
    <n v="0"/>
    <n v="0"/>
    <m/>
    <m/>
    <n v="0"/>
    <n v="0"/>
  </r>
  <r>
    <x v="3"/>
    <s v="University of North Florida"/>
    <m/>
    <n v="136172"/>
    <x v="2"/>
    <s v="sem"/>
    <m/>
    <m/>
    <m/>
    <n v="156495"/>
    <n v="156989"/>
    <n v="57248"/>
    <n v="53389"/>
    <n v="168733"/>
    <n v="168167"/>
    <n v="382476"/>
    <n v="12749.2"/>
    <n v="378545"/>
    <n v="12618.166666666666"/>
    <n v="825"/>
    <n v="744"/>
    <n v="382476"/>
    <n v="378545"/>
    <m/>
    <m/>
    <m/>
    <m/>
    <m/>
    <m/>
    <m/>
    <m/>
    <n v="0"/>
    <n v="0"/>
    <n v="0"/>
    <n v="0"/>
    <m/>
    <m/>
    <n v="0"/>
    <n v="0"/>
  </r>
  <r>
    <x v="3"/>
    <s v="University of West Florida"/>
    <m/>
    <n v="138354"/>
    <x v="2"/>
    <s v="sem"/>
    <m/>
    <m/>
    <m/>
    <n v="103175"/>
    <n v="106062"/>
    <n v="40268"/>
    <n v="34663"/>
    <n v="112277"/>
    <n v="119021"/>
    <n v="255720"/>
    <n v="8524"/>
    <n v="259746"/>
    <n v="8658.2000000000007"/>
    <n v="585"/>
    <n v="614"/>
    <n v="255720"/>
    <n v="259746"/>
    <m/>
    <m/>
    <m/>
    <m/>
    <m/>
    <m/>
    <m/>
    <m/>
    <n v="0"/>
    <n v="0"/>
    <n v="0"/>
    <n v="0"/>
    <m/>
    <m/>
    <n v="0"/>
    <n v="0"/>
  </r>
  <r>
    <x v="3"/>
    <s v="Florida Gulf Coast University"/>
    <m/>
    <n v="433660"/>
    <x v="3"/>
    <s v="sem"/>
    <m/>
    <m/>
    <m/>
    <n v="119973"/>
    <n v="128362"/>
    <n v="30408"/>
    <n v="29430"/>
    <n v="138182"/>
    <n v="146619"/>
    <n v="288563"/>
    <n v="9618.7666666666664"/>
    <n v="304411"/>
    <n v="10147.033333333333"/>
    <n v="2373"/>
    <n v="3235"/>
    <n v="288563"/>
    <n v="304411"/>
    <m/>
    <m/>
    <m/>
    <m/>
    <m/>
    <m/>
    <m/>
    <m/>
    <n v="0"/>
    <n v="0"/>
    <n v="0"/>
    <n v="0"/>
    <m/>
    <m/>
    <n v="0"/>
    <n v="0"/>
  </r>
  <r>
    <x v="3"/>
    <s v="New College of Florida"/>
    <m/>
    <n v="262129"/>
    <x v="5"/>
    <s v="sem"/>
    <m/>
    <m/>
    <m/>
    <n v="12144"/>
    <n v="12752"/>
    <m/>
    <n v="0"/>
    <n v="16064"/>
    <n v="15768"/>
    <n v="28208"/>
    <n v="940.26666666666665"/>
    <n v="28520"/>
    <n v="950.66666666666663"/>
    <m/>
    <n v="20"/>
    <n v="0"/>
    <n v="28520"/>
    <m/>
    <m/>
    <m/>
    <m/>
    <m/>
    <m/>
    <m/>
    <m/>
    <n v="0"/>
    <n v="0"/>
    <n v="0"/>
    <n v="0"/>
    <m/>
    <m/>
    <n v="0"/>
    <n v="0"/>
  </r>
  <r>
    <x v="3"/>
    <s v="Chipola College "/>
    <m/>
    <n v="133021"/>
    <x v="11"/>
    <s v="sem"/>
    <m/>
    <m/>
    <m/>
    <n v="19257"/>
    <n v="19100"/>
    <n v="5980"/>
    <n v="5901"/>
    <n v="20842"/>
    <n v="20255"/>
    <n v="46079"/>
    <n v="1535.9666666666667"/>
    <n v="45256"/>
    <n v="1508.5333333333333"/>
    <n v="4503"/>
    <n v="5469"/>
    <n v="46079"/>
    <n v="45256"/>
    <m/>
    <m/>
    <n v="49087"/>
    <n v="42203"/>
    <n v="16451"/>
    <n v="13777"/>
    <n v="46361"/>
    <n v="49304"/>
    <n v="111899"/>
    <n v="124.33222222222223"/>
    <n v="105284"/>
    <n v="116.98222222222222"/>
    <n v="2730"/>
    <n v="1785"/>
    <n v="111899"/>
    <n v="105284"/>
  </r>
  <r>
    <x v="3"/>
    <s v="Daytona State College "/>
    <m/>
    <n v="133386"/>
    <x v="11"/>
    <s v="sem"/>
    <m/>
    <m/>
    <m/>
    <n v="168080"/>
    <n v="144792"/>
    <n v="52875"/>
    <n v="44520"/>
    <n v="156632"/>
    <n v="140532"/>
    <n v="377587"/>
    <n v="12586.233333333334"/>
    <n v="329844"/>
    <n v="10994.8"/>
    <n v="24883"/>
    <n v="27072"/>
    <n v="377587"/>
    <n v="329844"/>
    <m/>
    <m/>
    <n v="1139373"/>
    <n v="847829"/>
    <n v="646883"/>
    <n v="450015"/>
    <n v="859415"/>
    <n v="816179"/>
    <n v="2645671"/>
    <n v="2939.6344444444444"/>
    <n v="2114023"/>
    <n v="2348.9144444444446"/>
    <n v="5580"/>
    <n v="4940"/>
    <n v="2645671"/>
    <n v="2114023"/>
  </r>
  <r>
    <x v="3"/>
    <s v="Edison State College "/>
    <m/>
    <n v="133508"/>
    <x v="11"/>
    <s v="sem"/>
    <m/>
    <m/>
    <m/>
    <n v="150475"/>
    <n v="141156"/>
    <n v="63150"/>
    <n v="52499"/>
    <n v="151732"/>
    <n v="136807"/>
    <n v="365357"/>
    <n v="12178.566666666668"/>
    <n v="330462"/>
    <n v="11015.4"/>
    <n v="26397"/>
    <n v="26406"/>
    <n v="365357"/>
    <n v="330462"/>
    <m/>
    <m/>
    <n v="7020"/>
    <n v="3990"/>
    <n v="11760"/>
    <n v="3900"/>
    <n v="4800"/>
    <n v="0"/>
    <n v="23580"/>
    <n v="26.2"/>
    <n v="7890"/>
    <n v="8.7666666666666675"/>
    <n v="0"/>
    <n v="0"/>
    <n v="23580"/>
    <n v="7890"/>
  </r>
  <r>
    <x v="3"/>
    <s v="Florida State College at Jacksonville"/>
    <m/>
    <n v="133702"/>
    <x v="11"/>
    <s v="sem"/>
    <m/>
    <m/>
    <m/>
    <n v="265115"/>
    <n v="259025"/>
    <n v="144070"/>
    <n v="129952"/>
    <n v="273768"/>
    <n v="248614"/>
    <n v="682953"/>
    <n v="22765.1"/>
    <n v="637591"/>
    <n v="21253.033333333333"/>
    <n v="31742"/>
    <n v="32881"/>
    <n v="682953"/>
    <n v="637591"/>
    <m/>
    <m/>
    <n v="990157"/>
    <n v="873495"/>
    <n v="770279"/>
    <n v="535059"/>
    <n v="838246"/>
    <n v="799377"/>
    <n v="2598682"/>
    <n v="2887.4244444444444"/>
    <n v="2207931"/>
    <n v="2453.2566666666667"/>
    <n v="39231"/>
    <n v="34827"/>
    <n v="2598682"/>
    <n v="2207931"/>
  </r>
  <r>
    <x v="3"/>
    <s v="Indian River State College "/>
    <m/>
    <n v="134608"/>
    <x v="11"/>
    <s v="sem"/>
    <m/>
    <m/>
    <m/>
    <n v="133258"/>
    <n v="133118"/>
    <n v="67639"/>
    <n v="63072"/>
    <n v="140421"/>
    <n v="143137"/>
    <n v="341318"/>
    <n v="11377.266666666666"/>
    <n v="339327"/>
    <n v="11310.9"/>
    <n v="31606"/>
    <n v="36630"/>
    <n v="341318"/>
    <n v="339327"/>
    <m/>
    <m/>
    <n v="933053"/>
    <n v="722970"/>
    <n v="650630"/>
    <n v="490692"/>
    <n v="770013"/>
    <n v="724338"/>
    <n v="2353696"/>
    <n v="2615.2177777777779"/>
    <n v="1938000"/>
    <n v="2153.3333333333335"/>
    <n v="35757"/>
    <n v="41440"/>
    <n v="2353696"/>
    <n v="1938000"/>
  </r>
  <r>
    <x v="3"/>
    <s v="Miami Dade College "/>
    <m/>
    <n v="135717"/>
    <x v="11"/>
    <s v="sem"/>
    <m/>
    <m/>
    <m/>
    <n v="639453"/>
    <n v="650249"/>
    <n v="344344"/>
    <n v="295176"/>
    <n v="670327"/>
    <n v="650690"/>
    <n v="1654124"/>
    <n v="55137.466666666667"/>
    <n v="1596115"/>
    <n v="53203.833333333336"/>
    <n v="26532"/>
    <n v="35022"/>
    <n v="1654124"/>
    <n v="1596115"/>
    <m/>
    <m/>
    <n v="1971917"/>
    <n v="1233420"/>
    <n v="1484804"/>
    <n v="921686"/>
    <n v="1100943"/>
    <n v="1108304"/>
    <n v="4557664"/>
    <n v="5064.0711111111113"/>
    <n v="3263410"/>
    <n v="3626.0111111111109"/>
    <n v="0"/>
    <n v="0"/>
    <n v="4557664"/>
    <n v="3263410"/>
  </r>
  <r>
    <x v="3"/>
    <s v="Northwest Florida State College"/>
    <m/>
    <n v="136233"/>
    <x v="11"/>
    <s v="sem"/>
    <m/>
    <m/>
    <m/>
    <n v="67037"/>
    <n v="63434"/>
    <n v="29849"/>
    <n v="26154"/>
    <n v="65510"/>
    <n v="62508"/>
    <n v="162396"/>
    <n v="5413.2"/>
    <n v="152096"/>
    <n v="5069.8666666666668"/>
    <n v="8400"/>
    <n v="8870"/>
    <n v="162396"/>
    <n v="152096"/>
    <m/>
    <m/>
    <n v="108168"/>
    <n v="109611"/>
    <n v="63392"/>
    <n v="60497"/>
    <n v="98506"/>
    <n v="107642"/>
    <n v="270066"/>
    <n v="300.07333333333332"/>
    <n v="277750"/>
    <n v="308.61111111111109"/>
    <n v="0"/>
    <n v="0"/>
    <n v="270066"/>
    <n v="277750"/>
  </r>
  <r>
    <x v="3"/>
    <s v="St. Petersburg College "/>
    <m/>
    <n v="137078"/>
    <x v="11"/>
    <s v="sem"/>
    <m/>
    <m/>
    <m/>
    <n v="279908"/>
    <n v="271911"/>
    <n v="108608"/>
    <n v="96285"/>
    <n v="291178"/>
    <n v="276141"/>
    <n v="679694"/>
    <n v="22656.466666666667"/>
    <n v="644337"/>
    <n v="21477.9"/>
    <n v="33428"/>
    <n v="37452"/>
    <n v="679694"/>
    <n v="644337"/>
    <m/>
    <m/>
    <n v="59075"/>
    <n v="47140"/>
    <n v="25397"/>
    <n v="26277"/>
    <n v="60834"/>
    <n v="62940"/>
    <n v="145306"/>
    <n v="161.45111111111112"/>
    <n v="136357"/>
    <n v="151.50777777777779"/>
    <n v="0"/>
    <n v="0"/>
    <n v="145306"/>
    <n v="136357"/>
  </r>
  <r>
    <x v="3"/>
    <s v="Brevard Community College "/>
    <m/>
    <n v="132693"/>
    <x v="6"/>
    <s v="sem"/>
    <m/>
    <m/>
    <m/>
    <n v="155633"/>
    <n v="150391"/>
    <n v="57150"/>
    <n v="48875"/>
    <n v="160161"/>
    <n v="147500"/>
    <n v="372944"/>
    <n v="12431.466666666667"/>
    <n v="346766"/>
    <n v="11558.866666666667"/>
    <n v="50287"/>
    <n v="54984"/>
    <n v="372944"/>
    <n v="346766"/>
    <m/>
    <m/>
    <n v="705107"/>
    <n v="452940"/>
    <n v="121528"/>
    <n v="129757"/>
    <n v="492401"/>
    <n v="362364"/>
    <n v="1319036"/>
    <n v="1465.5955555555556"/>
    <n v="945061"/>
    <n v="1050.0677777777778"/>
    <n v="91770"/>
    <n v="92565"/>
    <n v="1319036"/>
    <n v="945061"/>
  </r>
  <r>
    <x v="3"/>
    <s v="Broward College "/>
    <s v="Met the criteria for Two-Year with Bachelor's in 2011-12 and 2012-13."/>
    <n v="132709"/>
    <x v="6"/>
    <s v="sem"/>
    <m/>
    <m/>
    <m/>
    <n v="364923"/>
    <n v="363645"/>
    <n v="187684"/>
    <n v="171912"/>
    <n v="369074"/>
    <n v="365871"/>
    <n v="921681"/>
    <n v="30722.7"/>
    <n v="901428"/>
    <n v="30047.599999999999"/>
    <n v="40449"/>
    <n v="45262"/>
    <n v="921681"/>
    <n v="901428"/>
    <m/>
    <m/>
    <n v="147620"/>
    <n v="163204"/>
    <n v="109605"/>
    <n v="97091"/>
    <n v="164154"/>
    <n v="149838"/>
    <n v="421379"/>
    <n v="468.19888888888892"/>
    <n v="410133"/>
    <n v="455.70333333333332"/>
    <n v="0"/>
    <n v="225"/>
    <n v="421379"/>
    <n v="410133"/>
  </r>
  <r>
    <x v="3"/>
    <s v="College of Central Florida"/>
    <m/>
    <n v="132851"/>
    <x v="6"/>
    <s v="sem"/>
    <m/>
    <m/>
    <m/>
    <n v="76838"/>
    <n v="74341"/>
    <n v="28700"/>
    <n v="26395"/>
    <n v="78593"/>
    <n v="74213"/>
    <n v="184131"/>
    <n v="6137.7"/>
    <n v="174949"/>
    <n v="5831.6333333333332"/>
    <n v="11671"/>
    <n v="13023"/>
    <n v="184131"/>
    <n v="174949"/>
    <m/>
    <m/>
    <n v="190618"/>
    <n v="146424"/>
    <n v="118329"/>
    <n v="84648"/>
    <n v="155787"/>
    <n v="117024"/>
    <n v="464734"/>
    <n v="516.37111111111108"/>
    <n v="348096"/>
    <n v="386.77333333333331"/>
    <n v="1860"/>
    <n v="1050"/>
    <n v="464734"/>
    <n v="348096"/>
  </r>
  <r>
    <x v="3"/>
    <s v="Hillsborough Community College "/>
    <m/>
    <n v="134495"/>
    <x v="6"/>
    <s v="sem"/>
    <m/>
    <m/>
    <m/>
    <n v="253680"/>
    <n v="250281"/>
    <n v="94010"/>
    <n v="87131"/>
    <n v="256082"/>
    <n v="249249"/>
    <n v="603772"/>
    <n v="20125.733333333334"/>
    <n v="586661"/>
    <n v="19555.366666666665"/>
    <n v="11877"/>
    <n v="15384"/>
    <n v="603772"/>
    <n v="586661"/>
    <m/>
    <m/>
    <n v="610533"/>
    <n v="558295"/>
    <n v="121009"/>
    <n v="99500"/>
    <n v="632269"/>
    <n v="634802"/>
    <n v="1363811"/>
    <n v="1515.3455555555556"/>
    <n v="1292597"/>
    <n v="1436.2188888888888"/>
    <n v="0"/>
    <n v="0"/>
    <n v="1363811"/>
    <n v="1292597"/>
  </r>
  <r>
    <x v="3"/>
    <s v="Palm Beach State College "/>
    <s v="Met the criteria for Two-Year with Bachelor's in 2011-12 and 2012-13."/>
    <n v="136358"/>
    <x v="6"/>
    <s v="sem"/>
    <m/>
    <m/>
    <m/>
    <n v="236663"/>
    <n v="235834"/>
    <n v="103022"/>
    <n v="90121"/>
    <n v="252774"/>
    <n v="244928"/>
    <n v="592459"/>
    <n v="19748.633333333335"/>
    <n v="570883"/>
    <n v="19029.433333333334"/>
    <n v="25471"/>
    <n v="22540"/>
    <n v="592459"/>
    <n v="570883"/>
    <m/>
    <m/>
    <n v="554691"/>
    <n v="470037"/>
    <n v="311300"/>
    <n v="269345"/>
    <n v="458036"/>
    <n v="479213"/>
    <n v="1324027"/>
    <n v="1471.1411111111111"/>
    <n v="1218595"/>
    <n v="1353.9944444444445"/>
    <n v="15000"/>
    <n v="4080"/>
    <n v="1324027"/>
    <n v="1218595"/>
  </r>
  <r>
    <x v="3"/>
    <s v="Pasco-Hernando Community College "/>
    <m/>
    <n v="136400"/>
    <x v="6"/>
    <s v="sem"/>
    <m/>
    <m/>
    <m/>
    <n v="93566"/>
    <n v="92204"/>
    <n v="30868"/>
    <n v="27620"/>
    <n v="98347"/>
    <n v="89575"/>
    <n v="222781"/>
    <n v="7426.0333333333338"/>
    <n v="209399"/>
    <n v="6979.9666666666662"/>
    <n v="24342"/>
    <n v="24399"/>
    <n v="222781"/>
    <n v="209399"/>
    <m/>
    <m/>
    <n v="206440"/>
    <n v="168953"/>
    <n v="82670"/>
    <n v="79855"/>
    <n v="170272"/>
    <n v="114863"/>
    <n v="459382"/>
    <n v="510.42444444444442"/>
    <n v="363671"/>
    <n v="404.07888888888891"/>
    <n v="480"/>
    <n v="805"/>
    <n v="459382"/>
    <n v="363671"/>
  </r>
  <r>
    <x v="3"/>
    <s v="Pensacola State College "/>
    <s v="Met the criteria for Two-Year with Bachelor's in 2012-13."/>
    <n v="136473"/>
    <x v="6"/>
    <s v="sem"/>
    <m/>
    <m/>
    <m/>
    <n v="102411"/>
    <n v="102456"/>
    <n v="42531"/>
    <n v="40266"/>
    <n v="107693"/>
    <n v="106379"/>
    <n v="252635"/>
    <n v="8421.1666666666661"/>
    <n v="249101"/>
    <n v="8303.3666666666668"/>
    <n v="26172"/>
    <n v="27988"/>
    <n v="252635"/>
    <n v="249101"/>
    <m/>
    <m/>
    <n v="387822"/>
    <n v="379700"/>
    <n v="234222"/>
    <n v="220774"/>
    <n v="383605"/>
    <n v="409685"/>
    <n v="1005649"/>
    <n v="1117.3877777777777"/>
    <n v="1010159"/>
    <n v="1122.3988888888889"/>
    <n v="2160"/>
    <n v="1170"/>
    <n v="1005649"/>
    <n v="1010159"/>
  </r>
  <r>
    <x v="3"/>
    <s v="Polk State College "/>
    <s v="Met the criteria for Two-Year with Bachelor's in 2011-12 and 2012-13."/>
    <n v="136516"/>
    <x v="6"/>
    <s v="sem"/>
    <m/>
    <m/>
    <m/>
    <n v="87435"/>
    <n v="95577"/>
    <n v="33282"/>
    <n v="35442"/>
    <n v="98313"/>
    <n v="100190"/>
    <n v="219030"/>
    <n v="7301"/>
    <n v="231209"/>
    <n v="7706.9666666666662"/>
    <n v="23256"/>
    <n v="29544"/>
    <n v="219030"/>
    <n v="231209"/>
    <m/>
    <m/>
    <n v="40784"/>
    <n v="27397"/>
    <n v="24268"/>
    <n v="24121"/>
    <n v="35946"/>
    <n v="29361"/>
    <n v="100998"/>
    <n v="112.22"/>
    <n v="80879"/>
    <n v="89.865555555555559"/>
    <n v="0"/>
    <n v="0"/>
    <n v="100998"/>
    <n v="80879"/>
  </r>
  <r>
    <x v="3"/>
    <s v="Santa Fe College "/>
    <s v="Met the criteria for Two-Year with Bachelor's in 2012-13."/>
    <n v="137096"/>
    <x v="6"/>
    <s v="sem"/>
    <m/>
    <m/>
    <m/>
    <n v="145105"/>
    <n v="142534"/>
    <n v="67496"/>
    <n v="60253"/>
    <n v="151359"/>
    <n v="146754"/>
    <n v="363960"/>
    <n v="12132"/>
    <n v="349541"/>
    <n v="11651.366666666667"/>
    <n v="14020"/>
    <n v="15659"/>
    <n v="363960"/>
    <n v="349541"/>
    <m/>
    <m/>
    <n v="214465"/>
    <n v="195473"/>
    <n v="144304"/>
    <n v="126062"/>
    <n v="191013"/>
    <n v="211324"/>
    <n v="549782"/>
    <n v="610.86888888888893"/>
    <n v="532859"/>
    <n v="592.06555555555553"/>
    <n v="525"/>
    <n v="1080"/>
    <n v="549782"/>
    <n v="532859"/>
  </r>
  <r>
    <x v="3"/>
    <s v="Seminole State College of Florida"/>
    <s v="Met the criteria for Two-Year with Bachelor's in 2012-13."/>
    <n v="137209"/>
    <x v="6"/>
    <s v="sem"/>
    <m/>
    <m/>
    <m/>
    <n v="169869"/>
    <n v="167812"/>
    <n v="75855"/>
    <n v="71447"/>
    <n v="169432"/>
    <n v="175798"/>
    <n v="415156"/>
    <n v="13838.533333333333"/>
    <n v="415057"/>
    <n v="13835.233333333334"/>
    <n v="5883"/>
    <n v="6881"/>
    <n v="415156"/>
    <n v="415057"/>
    <m/>
    <m/>
    <n v="542141"/>
    <n v="470402"/>
    <n v="344890"/>
    <n v="321229"/>
    <n v="496784"/>
    <n v="441055"/>
    <n v="1383815"/>
    <n v="1537.5722222222223"/>
    <n v="1232686"/>
    <n v="1369.651111111111"/>
    <n v="4680"/>
    <n v="6120"/>
    <n v="1383815"/>
    <n v="1232686"/>
  </r>
  <r>
    <x v="3"/>
    <s v="State College of Florida, Manatee-Sarasota"/>
    <s v="Met the criteria for Two-Year with Bachelor's in 2011-12 and 2012-13."/>
    <n v="135391"/>
    <x v="6"/>
    <s v="sem"/>
    <m/>
    <m/>
    <m/>
    <n v="109231"/>
    <n v="104680"/>
    <n v="36876"/>
    <n v="32779"/>
    <n v="112326"/>
    <n v="108096"/>
    <n v="258433"/>
    <n v="8614.4333333333325"/>
    <n v="245555"/>
    <n v="8185.166666666667"/>
    <n v="16709"/>
    <n v="18340"/>
    <n v="258433"/>
    <n v="245555"/>
    <m/>
    <m/>
    <n v="10805"/>
    <n v="0"/>
    <n v="4708"/>
    <n v="0"/>
    <n v="0"/>
    <n v="0"/>
    <n v="15513"/>
    <n v="17.236666666666668"/>
    <n v="0"/>
    <n v="0"/>
    <n v="0"/>
    <n v="0"/>
    <n v="15513"/>
    <n v="0"/>
  </r>
  <r>
    <x v="3"/>
    <s v="Tallahassee Community College "/>
    <m/>
    <n v="137759"/>
    <x v="6"/>
    <s v="sem"/>
    <m/>
    <m/>
    <m/>
    <n v="133652"/>
    <n v="135595"/>
    <n v="70124"/>
    <n v="61101"/>
    <n v="148741"/>
    <n v="135376"/>
    <n v="352517"/>
    <n v="11750.566666666668"/>
    <n v="332072"/>
    <n v="11069.066666666668"/>
    <n v="8663"/>
    <n v="8082"/>
    <n v="352517"/>
    <n v="332072"/>
    <m/>
    <m/>
    <n v="228984"/>
    <n v="186962"/>
    <n v="40015"/>
    <n v="43974"/>
    <n v="142710"/>
    <n v="152595"/>
    <n v="411709"/>
    <n v="457.45444444444445"/>
    <n v="383531"/>
    <n v="426.14555555555557"/>
    <n v="7028"/>
    <n v="692"/>
    <n v="411709"/>
    <n v="383531"/>
  </r>
  <r>
    <x v="3"/>
    <s v="Valencia Community College "/>
    <m/>
    <n v="138187"/>
    <x v="6"/>
    <s v="sem"/>
    <m/>
    <m/>
    <m/>
    <n v="367512"/>
    <n v="364963"/>
    <n v="187193"/>
    <n v="165729"/>
    <n v="388537"/>
    <n v="380499"/>
    <n v="943242"/>
    <n v="31441.4"/>
    <n v="911191"/>
    <n v="30373.033333333333"/>
    <n v="37913"/>
    <n v="37708"/>
    <n v="943242"/>
    <n v="911191"/>
    <m/>
    <m/>
    <n v="96784"/>
    <n v="106522"/>
    <n v="55258"/>
    <n v="35864"/>
    <n v="39296"/>
    <n v="42650"/>
    <n v="191338"/>
    <n v="212.59777777777776"/>
    <n v="185036"/>
    <n v="205.59555555555556"/>
    <n v="0"/>
    <n v="0"/>
    <n v="191338"/>
    <n v="185036"/>
  </r>
  <r>
    <x v="3"/>
    <s v="Florida Gateway College"/>
    <m/>
    <n v="135160"/>
    <x v="7"/>
    <s v="sem"/>
    <m/>
    <m/>
    <m/>
    <n v="23834"/>
    <n v="24508"/>
    <n v="10470"/>
    <n v="9472"/>
    <n v="25526"/>
    <n v="24083"/>
    <n v="59830"/>
    <n v="1994.3333333333333"/>
    <n v="58063"/>
    <n v="1935.4333333333334"/>
    <n v="10042"/>
    <n v="13166"/>
    <n v="59830"/>
    <n v="58063"/>
    <m/>
    <m/>
    <n v="129183"/>
    <n v="105997"/>
    <n v="62678"/>
    <n v="65806"/>
    <n v="121412"/>
    <n v="100505"/>
    <n v="313273"/>
    <n v="348.08111111111111"/>
    <n v="272308"/>
    <n v="302.56444444444446"/>
    <n v="5316"/>
    <n v="9095"/>
    <n v="313273"/>
    <n v="272308"/>
  </r>
  <r>
    <x v="3"/>
    <s v="Gulf Coast Community College "/>
    <s v="Met the criteria for Two-Year with Bachelor's in 2012-13."/>
    <n v="134343"/>
    <x v="7"/>
    <s v="sem"/>
    <m/>
    <m/>
    <m/>
    <n v="57781"/>
    <n v="57995"/>
    <n v="18136"/>
    <n v="17122"/>
    <n v="62384"/>
    <n v="57451"/>
    <n v="138301"/>
    <n v="4610.0333333333338"/>
    <n v="132568"/>
    <n v="4418.9333333333334"/>
    <n v="15203"/>
    <n v="14090"/>
    <n v="138301"/>
    <n v="132568"/>
    <m/>
    <m/>
    <n v="111116"/>
    <n v="75812"/>
    <n v="66384"/>
    <n v="47721"/>
    <n v="74222"/>
    <n v="58552"/>
    <n v="251722"/>
    <n v="279.69111111111113"/>
    <n v="182085"/>
    <n v="202.31666666666666"/>
    <n v="0"/>
    <n v="0"/>
    <n v="251722"/>
    <n v="182085"/>
  </r>
  <r>
    <x v="3"/>
    <s v="Lake-Sumter Community College "/>
    <m/>
    <n v="135188"/>
    <x v="7"/>
    <s v="sem"/>
    <m/>
    <m/>
    <m/>
    <n v="40603"/>
    <n v="40492"/>
    <n v="13943"/>
    <n v="12836"/>
    <n v="42677"/>
    <n v="39424"/>
    <n v="97223"/>
    <n v="3240.7666666666669"/>
    <n v="92752"/>
    <n v="3091.7333333333331"/>
    <n v="13580"/>
    <n v="13282"/>
    <n v="97223"/>
    <n v="92752"/>
    <m/>
    <m/>
    <n v="979"/>
    <n v="798"/>
    <n v="207"/>
    <n v="105"/>
    <n v="654"/>
    <n v="1031"/>
    <n v="1840"/>
    <n v="2.0444444444444443"/>
    <n v="1934"/>
    <n v="2.1488888888888891"/>
    <n v="0"/>
    <n v="0"/>
    <n v="1840"/>
    <n v="1934"/>
  </r>
  <r>
    <x v="3"/>
    <s v="South Florida Community College "/>
    <m/>
    <n v="137315"/>
    <x v="7"/>
    <s v="sem"/>
    <m/>
    <m/>
    <m/>
    <n v="20029"/>
    <n v="19548"/>
    <n v="6394"/>
    <n v="5808"/>
    <n v="20933"/>
    <n v="21291"/>
    <n v="47356"/>
    <n v="1578.5333333333333"/>
    <n v="46647"/>
    <n v="1554.9"/>
    <n v="5311"/>
    <n v="5711"/>
    <n v="47356"/>
    <n v="46647"/>
    <m/>
    <m/>
    <n v="387106"/>
    <n v="284820"/>
    <n v="179605"/>
    <n v="131551"/>
    <n v="307704"/>
    <n v="290221"/>
    <n v="874415"/>
    <n v="971.57222222222219"/>
    <n v="706592"/>
    <n v="785.10222222222217"/>
    <n v="90138"/>
    <n v="82194"/>
    <n v="874415"/>
    <n v="706592"/>
  </r>
  <r>
    <x v="3"/>
    <s v="St. Johns River Community College "/>
    <s v="Met the criteria for Two-Year with Bachelor's in 2011-12 and 2012-13."/>
    <n v="137281"/>
    <x v="7"/>
    <s v="sem"/>
    <m/>
    <m/>
    <m/>
    <n v="55862"/>
    <n v="56675"/>
    <n v="28011"/>
    <n v="23696"/>
    <n v="59157"/>
    <n v="57468"/>
    <n v="143030"/>
    <n v="4767.666666666667"/>
    <n v="137839"/>
    <n v="4594.6333333333332"/>
    <n v="14774"/>
    <n v="14555"/>
    <n v="143030"/>
    <n v="137839"/>
    <m/>
    <m/>
    <n v="117431"/>
    <n v="104943"/>
    <n v="65403"/>
    <n v="55933"/>
    <n v="110790"/>
    <n v="125073"/>
    <n v="293624"/>
    <n v="326.24888888888887"/>
    <n v="285949"/>
    <n v="317.7211111111111"/>
    <n v="0"/>
    <n v="0"/>
    <n v="293624"/>
    <n v="285949"/>
  </r>
  <r>
    <x v="3"/>
    <s v="Florida Keys Community College "/>
    <m/>
    <n v="133960"/>
    <x v="8"/>
    <s v="sem"/>
    <m/>
    <m/>
    <m/>
    <n v="11322"/>
    <n v="10149"/>
    <n v="4743"/>
    <n v="4030"/>
    <n v="11470"/>
    <n v="10605"/>
    <n v="27535"/>
    <n v="917.83333333333337"/>
    <n v="24784"/>
    <n v="826.13333333333333"/>
    <n v="1914"/>
    <n v="1927"/>
    <n v="27535"/>
    <n v="24784"/>
    <m/>
    <m/>
    <n v="6750"/>
    <n v="12920"/>
    <n v="8057"/>
    <n v="6386"/>
    <n v="7251"/>
    <n v="12789"/>
    <n v="22058"/>
    <n v="24.50888888888889"/>
    <n v="32095"/>
    <n v="35.661111111111111"/>
    <n v="0"/>
    <n v="0"/>
    <n v="22058"/>
    <n v="32095"/>
  </r>
  <r>
    <x v="3"/>
    <s v="North Florida Community College "/>
    <m/>
    <n v="136145"/>
    <x v="8"/>
    <s v="sem"/>
    <m/>
    <m/>
    <m/>
    <n v="10776"/>
    <n v="10272"/>
    <n v="3901"/>
    <n v="3504"/>
    <n v="11642"/>
    <n v="10710"/>
    <n v="26319"/>
    <n v="877.3"/>
    <n v="24486"/>
    <n v="816.2"/>
    <n v="3712"/>
    <n v="3467"/>
    <n v="26319"/>
    <n v="24486"/>
    <m/>
    <m/>
    <n v="58213"/>
    <n v="36952"/>
    <n v="21125"/>
    <n v="6448"/>
    <n v="36927"/>
    <n v="46441"/>
    <n v="116265"/>
    <n v="129.18333333333334"/>
    <n v="89841"/>
    <n v="99.823333333333338"/>
    <n v="590"/>
    <n v="0"/>
    <n v="116265"/>
    <n v="89841"/>
  </r>
  <r>
    <x v="4"/>
    <s v="Georgia State University "/>
    <m/>
    <n v="139940"/>
    <x v="0"/>
    <s v="sem"/>
    <s v="sem"/>
    <m/>
    <m/>
    <n v="275402"/>
    <n v="280797"/>
    <n v="78791"/>
    <n v="69622"/>
    <n v="294405"/>
    <n v="302084.5"/>
    <n v="648598"/>
    <n v="21619.933333333334"/>
    <n v="652503.5"/>
    <n v="21750.116666666665"/>
    <n v="1532.5"/>
    <n v="2134"/>
    <n v="648598"/>
    <n v="652503.5"/>
    <m/>
    <m/>
    <m/>
    <m/>
    <m/>
    <m/>
    <m/>
    <m/>
    <n v="0"/>
    <n v="0"/>
    <n v="0"/>
    <n v="0"/>
    <m/>
    <m/>
    <n v="0"/>
    <n v="0"/>
  </r>
  <r>
    <x v="4"/>
    <s v="University of Georgia"/>
    <m/>
    <n v="139959"/>
    <x v="0"/>
    <s v="sem"/>
    <s v="sem"/>
    <m/>
    <m/>
    <n v="334519"/>
    <n v="341933.4"/>
    <n v="56768.5"/>
    <n v="52137"/>
    <n v="359771.6"/>
    <n v="358004.5"/>
    <n v="751059.1"/>
    <n v="25035.303333333333"/>
    <n v="752074.9"/>
    <n v="25069.163333333334"/>
    <n v="245"/>
    <n v="303"/>
    <n v="751059.1"/>
    <n v="752074.9"/>
    <m/>
    <m/>
    <m/>
    <m/>
    <m/>
    <m/>
    <m/>
    <m/>
    <n v="0"/>
    <n v="0"/>
    <n v="0"/>
    <n v="0"/>
    <m/>
    <m/>
    <n v="0"/>
    <n v="0"/>
  </r>
  <r>
    <x v="4"/>
    <s v="Georgia Institute of Technology"/>
    <m/>
    <n v="139755"/>
    <x v="1"/>
    <s v="sem"/>
    <s v="sem"/>
    <m/>
    <m/>
    <n v="174934"/>
    <n v="179762.5"/>
    <n v="45475"/>
    <n v="43581"/>
    <n v="192016"/>
    <n v="200584.5"/>
    <n v="412425"/>
    <n v="13747.5"/>
    <n v="423928"/>
    <n v="14130.933333333332"/>
    <n v="2210"/>
    <n v="2490"/>
    <n v="412425"/>
    <n v="423928"/>
    <m/>
    <m/>
    <m/>
    <m/>
    <m/>
    <m/>
    <m/>
    <m/>
    <n v="0"/>
    <n v="0"/>
    <n v="0"/>
    <n v="0"/>
    <m/>
    <m/>
    <n v="0"/>
    <n v="0"/>
  </r>
  <r>
    <x v="4"/>
    <s v="Georgia Southern University"/>
    <m/>
    <n v="139931"/>
    <x v="2"/>
    <s v="sem"/>
    <s v="sem"/>
    <m/>
    <m/>
    <n v="211194.5"/>
    <n v="219703"/>
    <n v="61666"/>
    <n v="56580"/>
    <n v="233397"/>
    <n v="237958"/>
    <n v="506257.5"/>
    <n v="16875.25"/>
    <n v="514241"/>
    <n v="17141.366666666665"/>
    <n v="1921"/>
    <n v="2137"/>
    <n v="506257.5"/>
    <n v="514241"/>
    <m/>
    <m/>
    <m/>
    <m/>
    <m/>
    <m/>
    <m/>
    <m/>
    <n v="0"/>
    <n v="0"/>
    <n v="0"/>
    <n v="0"/>
    <m/>
    <m/>
    <n v="0"/>
    <n v="0"/>
  </r>
  <r>
    <x v="4"/>
    <s v="University of West Georgia"/>
    <m/>
    <n v="141334"/>
    <x v="2"/>
    <s v="sem"/>
    <s v="sem"/>
    <m/>
    <m/>
    <n v="116229"/>
    <n v="118814"/>
    <n v="33909"/>
    <n v="28487"/>
    <n v="128657"/>
    <n v="127540"/>
    <n v="278795"/>
    <n v="9293.1666666666661"/>
    <n v="274841"/>
    <n v="9161.3666666666668"/>
    <n v="2573"/>
    <n v="2788"/>
    <n v="278795"/>
    <n v="274841"/>
    <m/>
    <m/>
    <m/>
    <m/>
    <m/>
    <m/>
    <m/>
    <m/>
    <n v="0"/>
    <n v="0"/>
    <n v="0"/>
    <n v="0"/>
    <m/>
    <m/>
    <n v="0"/>
    <n v="0"/>
  </r>
  <r>
    <x v="4"/>
    <s v="Valdosta State University "/>
    <m/>
    <n v="141264"/>
    <x v="2"/>
    <s v="sem"/>
    <s v="sem"/>
    <m/>
    <m/>
    <n v="132972"/>
    <n v="130853"/>
    <n v="26870"/>
    <n v="23404"/>
    <n v="139485"/>
    <n v="133720"/>
    <n v="299327"/>
    <n v="9977.5666666666675"/>
    <n v="287977"/>
    <n v="9599.2333333333336"/>
    <n v="269"/>
    <n v="198"/>
    <n v="299327"/>
    <n v="287977"/>
    <m/>
    <m/>
    <m/>
    <m/>
    <m/>
    <m/>
    <m/>
    <m/>
    <n v="0"/>
    <n v="0"/>
    <n v="0"/>
    <n v="0"/>
    <m/>
    <m/>
    <n v="0"/>
    <n v="0"/>
  </r>
  <r>
    <x v="4"/>
    <s v="Albany State University "/>
    <m/>
    <n v="138716"/>
    <x v="3"/>
    <s v="sem"/>
    <s v="sem"/>
    <m/>
    <m/>
    <n v="50803"/>
    <n v="49806"/>
    <n v="19410"/>
    <n v="8308"/>
    <n v="54183"/>
    <n v="48419"/>
    <n v="124396"/>
    <n v="4146.5333333333338"/>
    <n v="106533"/>
    <n v="3551.1"/>
    <n v="37"/>
    <n v="168"/>
    <n v="124396"/>
    <n v="106533"/>
    <m/>
    <m/>
    <m/>
    <m/>
    <m/>
    <m/>
    <m/>
    <m/>
    <n v="0"/>
    <n v="0"/>
    <n v="0"/>
    <n v="0"/>
    <m/>
    <m/>
    <n v="0"/>
    <n v="0"/>
  </r>
  <r>
    <x v="4"/>
    <s v="Armstrong Atlantic State University"/>
    <m/>
    <n v="138789"/>
    <x v="3"/>
    <s v="sem"/>
    <s v="sem"/>
    <m/>
    <m/>
    <n v="76494.399999999994"/>
    <n v="75947"/>
    <n v="22230"/>
    <n v="19748"/>
    <n v="79879"/>
    <n v="80411"/>
    <n v="178603.4"/>
    <n v="5953.4466666666667"/>
    <n v="176106"/>
    <n v="5870.2"/>
    <n v="745"/>
    <n v="745"/>
    <n v="178603.4"/>
    <n v="176106"/>
    <m/>
    <m/>
    <m/>
    <m/>
    <m/>
    <m/>
    <m/>
    <m/>
    <n v="0"/>
    <n v="0"/>
    <n v="0"/>
    <n v="0"/>
    <m/>
    <m/>
    <n v="0"/>
    <n v="0"/>
  </r>
  <r>
    <x v="4"/>
    <s v="Augusta State University"/>
    <s v="Reclassified: met the criteria for Four-Year 4 in 2010-11, 2011-12, and 2012-13."/>
    <n v="138983"/>
    <x v="3"/>
    <s v="sem"/>
    <s v="sem"/>
    <m/>
    <m/>
    <n v="65929"/>
    <n v="65008"/>
    <n v="17265"/>
    <n v="14796"/>
    <n v="68476"/>
    <n v="67328"/>
    <n v="151670"/>
    <n v="5055.666666666667"/>
    <n v="147132"/>
    <n v="4904.3999999999996"/>
    <n v="844"/>
    <n v="946"/>
    <n v="151670"/>
    <n v="147132"/>
    <m/>
    <m/>
    <m/>
    <m/>
    <m/>
    <m/>
    <m/>
    <m/>
    <n v="0"/>
    <n v="0"/>
    <n v="0"/>
    <n v="0"/>
    <m/>
    <m/>
    <n v="0"/>
    <n v="0"/>
  </r>
  <r>
    <x v="4"/>
    <s v="Columbus State University"/>
    <m/>
    <n v="139366"/>
    <x v="3"/>
    <s v="sem"/>
    <s v="sem"/>
    <m/>
    <m/>
    <n v="78366"/>
    <n v="78739"/>
    <n v="23168"/>
    <n v="18584"/>
    <n v="83177"/>
    <n v="83625"/>
    <n v="184711"/>
    <n v="6157.0333333333338"/>
    <n v="180948"/>
    <n v="6031.6"/>
    <n v="766"/>
    <n v="942"/>
    <n v="184711"/>
    <n v="180948"/>
    <m/>
    <m/>
    <m/>
    <m/>
    <m/>
    <m/>
    <m/>
    <m/>
    <n v="0"/>
    <n v="0"/>
    <n v="0"/>
    <n v="0"/>
    <m/>
    <m/>
    <n v="0"/>
    <n v="0"/>
  </r>
  <r>
    <x v="4"/>
    <s v="Georgia College and State University"/>
    <m/>
    <n v="139861"/>
    <x v="3"/>
    <s v="sem"/>
    <s v="sem"/>
    <m/>
    <m/>
    <n v="72065"/>
    <n v="73639"/>
    <n v="15575"/>
    <n v="14223"/>
    <n v="77941.5"/>
    <n v="77778.5"/>
    <n v="165581.5"/>
    <n v="5519.3833333333332"/>
    <n v="165640.5"/>
    <n v="5521.35"/>
    <n v="574"/>
    <n v="618"/>
    <n v="165581.5"/>
    <n v="165640.5"/>
    <m/>
    <m/>
    <m/>
    <m/>
    <m/>
    <m/>
    <m/>
    <m/>
    <n v="0"/>
    <n v="0"/>
    <n v="0"/>
    <n v="0"/>
    <m/>
    <m/>
    <n v="0"/>
    <n v="0"/>
  </r>
  <r>
    <x v="4"/>
    <s v="Kennesaw State University"/>
    <s v="Met the criteria for Four-Year 3 in 2011-12 and 2012-13."/>
    <n v="140164"/>
    <x v="3"/>
    <s v="sem"/>
    <s v="sem"/>
    <m/>
    <m/>
    <n v="250745"/>
    <n v="256602"/>
    <n v="74469"/>
    <n v="65036"/>
    <n v="269717"/>
    <n v="273537"/>
    <n v="594931"/>
    <n v="19831.033333333333"/>
    <n v="595175"/>
    <n v="19839.166666666668"/>
    <n v="3558"/>
    <n v="3923"/>
    <n v="594931"/>
    <n v="595175"/>
    <m/>
    <m/>
    <m/>
    <m/>
    <m/>
    <m/>
    <m/>
    <m/>
    <n v="0"/>
    <n v="0"/>
    <n v="0"/>
    <n v="0"/>
    <m/>
    <m/>
    <n v="0"/>
    <n v="0"/>
  </r>
  <r>
    <x v="4"/>
    <s v="North Georgia College and State University"/>
    <s v="Reclassified: met the criteria for Four-Year 4 in 2010-11, 2011-12, and 2012-13."/>
    <n v="140669"/>
    <x v="3"/>
    <s v="sem"/>
    <s v="sem"/>
    <m/>
    <m/>
    <n v="67162"/>
    <n v="69648"/>
    <n v="14643"/>
    <n v="16529"/>
    <n v="71634"/>
    <n v="76097"/>
    <n v="153439"/>
    <n v="5114.6333333333332"/>
    <n v="162274"/>
    <n v="5409.1333333333332"/>
    <n v="210"/>
    <n v="210"/>
    <n v="153439"/>
    <n v="162274"/>
    <m/>
    <m/>
    <m/>
    <m/>
    <m/>
    <m/>
    <m/>
    <m/>
    <n v="0"/>
    <n v="0"/>
    <n v="0"/>
    <n v="0"/>
    <m/>
    <m/>
    <n v="0"/>
    <n v="0"/>
  </r>
  <r>
    <x v="4"/>
    <s v="Clayton State University"/>
    <s v="Met the criteria for Four-Year 4 in 2012-13."/>
    <n v="139311"/>
    <x v="4"/>
    <s v="sem"/>
    <s v="sem"/>
    <m/>
    <m/>
    <n v="70014"/>
    <n v="70640"/>
    <n v="28772"/>
    <n v="23185"/>
    <n v="70882"/>
    <n v="73336"/>
    <n v="169668"/>
    <n v="5655.6"/>
    <n v="167161"/>
    <n v="5572.0333333333338"/>
    <n v="4597"/>
    <n v="4352"/>
    <n v="169668"/>
    <n v="167161"/>
    <m/>
    <m/>
    <m/>
    <m/>
    <m/>
    <m/>
    <m/>
    <m/>
    <n v="0"/>
    <n v="0"/>
    <n v="0"/>
    <n v="0"/>
    <m/>
    <m/>
    <n v="0"/>
    <n v="0"/>
  </r>
  <r>
    <x v="4"/>
    <s v="Fort Valley State University"/>
    <m/>
    <n v="139719"/>
    <x v="4"/>
    <s v="sem"/>
    <s v="sem"/>
    <m/>
    <m/>
    <n v="43498"/>
    <n v="45657"/>
    <n v="10572"/>
    <n v="7184"/>
    <n v="48340"/>
    <n v="43648"/>
    <n v="102410"/>
    <n v="3413.6666666666665"/>
    <n v="96489"/>
    <n v="3216.3"/>
    <n v="265"/>
    <n v="197"/>
    <n v="102410"/>
    <n v="96489"/>
    <m/>
    <m/>
    <m/>
    <m/>
    <m/>
    <m/>
    <m/>
    <m/>
    <n v="0"/>
    <n v="0"/>
    <n v="0"/>
    <n v="0"/>
    <m/>
    <m/>
    <n v="0"/>
    <n v="0"/>
  </r>
  <r>
    <x v="4"/>
    <s v="Georgia Southwestern State University"/>
    <m/>
    <n v="139764"/>
    <x v="4"/>
    <s v="sem"/>
    <s v="sem"/>
    <m/>
    <m/>
    <n v="32215"/>
    <n v="31388"/>
    <n v="11775"/>
    <n v="10470"/>
    <n v="33474"/>
    <n v="32746"/>
    <n v="77464"/>
    <n v="2582.1333333333332"/>
    <n v="74604"/>
    <n v="2486.8000000000002"/>
    <n v="643"/>
    <n v="399"/>
    <n v="77464"/>
    <n v="74604"/>
    <m/>
    <m/>
    <m/>
    <m/>
    <m/>
    <m/>
    <m/>
    <m/>
    <n v="0"/>
    <n v="0"/>
    <n v="0"/>
    <n v="0"/>
    <m/>
    <m/>
    <n v="0"/>
    <n v="0"/>
  </r>
  <r>
    <x v="4"/>
    <s v="Savannah State University"/>
    <m/>
    <n v="140960"/>
    <x v="4"/>
    <s v="sem"/>
    <s v="sem"/>
    <m/>
    <m/>
    <n v="48301"/>
    <n v="52297"/>
    <n v="13000"/>
    <n v="7997"/>
    <n v="57314"/>
    <n v="57761"/>
    <n v="118615"/>
    <n v="3953.8333333333335"/>
    <n v="118055"/>
    <n v="3935.1666666666665"/>
    <n v="1034"/>
    <n v="1392"/>
    <n v="118615"/>
    <n v="118055"/>
    <m/>
    <m/>
    <m/>
    <m/>
    <m/>
    <m/>
    <m/>
    <m/>
    <n v="0"/>
    <n v="0"/>
    <n v="0"/>
    <n v="0"/>
    <m/>
    <m/>
    <n v="0"/>
    <n v="0"/>
  </r>
  <r>
    <x v="4"/>
    <s v="Georgia Gwinnett College"/>
    <m/>
    <n v="447689"/>
    <x v="5"/>
    <s v="sem"/>
    <s v="sem"/>
    <m/>
    <m/>
    <n v="67161"/>
    <n v="94939"/>
    <n v="18140"/>
    <n v="19884"/>
    <n v="92274"/>
    <n v="111197"/>
    <n v="177575"/>
    <n v="5919.166666666667"/>
    <n v="226020"/>
    <n v="7534"/>
    <n v="2408"/>
    <n v="3645"/>
    <n v="177575"/>
    <n v="226020"/>
    <m/>
    <m/>
    <m/>
    <m/>
    <m/>
    <m/>
    <m/>
    <m/>
    <n v="0"/>
    <n v="0"/>
    <n v="0"/>
    <n v="0"/>
    <m/>
    <m/>
    <n v="0"/>
    <n v="0"/>
  </r>
  <r>
    <x v="4"/>
    <s v="Macon State College "/>
    <m/>
    <n v="140322"/>
    <x v="5"/>
    <s v="sem"/>
    <s v="sem"/>
    <m/>
    <m/>
    <n v="61658"/>
    <n v="58294"/>
    <n v="25609"/>
    <n v="19093"/>
    <n v="60160"/>
    <n v="60576"/>
    <n v="147427"/>
    <n v="4914.2333333333336"/>
    <n v="137963"/>
    <n v="4598.7666666666664"/>
    <n v="1203"/>
    <n v="1554"/>
    <n v="147427"/>
    <n v="137963"/>
    <m/>
    <m/>
    <m/>
    <m/>
    <m/>
    <m/>
    <m/>
    <m/>
    <n v="0"/>
    <n v="0"/>
    <n v="0"/>
    <n v="0"/>
    <m/>
    <m/>
    <n v="0"/>
    <n v="0"/>
  </r>
  <r>
    <x v="4"/>
    <s v="Dalton State College "/>
    <s v="Met the criteria for Four-Year 6 in 2011-12 and 2012-13."/>
    <n v="139463"/>
    <x v="11"/>
    <s v="sem"/>
    <s v="sem"/>
    <m/>
    <m/>
    <n v="60114"/>
    <n v="52243"/>
    <n v="13407"/>
    <n v="11845"/>
    <n v="58779"/>
    <n v="54418"/>
    <n v="132300"/>
    <n v="4410"/>
    <n v="118506"/>
    <n v="3950.2"/>
    <n v="991"/>
    <n v="1004"/>
    <n v="132300"/>
    <n v="118506"/>
    <m/>
    <m/>
    <m/>
    <m/>
    <m/>
    <m/>
    <m/>
    <m/>
    <n v="0"/>
    <n v="0"/>
    <n v="0"/>
    <n v="0"/>
    <m/>
    <m/>
    <n v="0"/>
    <n v="0"/>
  </r>
  <r>
    <x v="4"/>
    <s v="Gainesville State College "/>
    <m/>
    <n v="139773"/>
    <x v="11"/>
    <s v="sem"/>
    <s v="sem"/>
    <m/>
    <m/>
    <n v="87167"/>
    <n v="84213"/>
    <n v="21559"/>
    <n v="20148"/>
    <n v="92855"/>
    <n v="93808"/>
    <n v="201581"/>
    <n v="6719.3666666666668"/>
    <n v="198169"/>
    <n v="6605.6333333333332"/>
    <n v="11206"/>
    <n v="2434"/>
    <n v="201581"/>
    <n v="198169"/>
    <m/>
    <m/>
    <m/>
    <m/>
    <m/>
    <m/>
    <m/>
    <m/>
    <n v="0"/>
    <n v="0"/>
    <n v="0"/>
    <n v="0"/>
    <m/>
    <m/>
    <n v="0"/>
    <n v="0"/>
  </r>
  <r>
    <x v="4"/>
    <s v="Gordon College "/>
    <m/>
    <n v="139968"/>
    <x v="11"/>
    <s v="sem"/>
    <s v="sem"/>
    <m/>
    <m/>
    <n v="56296"/>
    <n v="48524"/>
    <n v="9907"/>
    <n v="6974"/>
    <n v="54394"/>
    <n v="48916"/>
    <n v="120597"/>
    <n v="4019.9"/>
    <n v="104414"/>
    <n v="3480.4666666666667"/>
    <n v="766"/>
    <n v="991"/>
    <n v="120597"/>
    <n v="104414"/>
    <m/>
    <m/>
    <m/>
    <m/>
    <m/>
    <m/>
    <m/>
    <m/>
    <n v="0"/>
    <n v="0"/>
    <n v="0"/>
    <n v="0"/>
    <m/>
    <m/>
    <n v="0"/>
    <n v="0"/>
  </r>
  <r>
    <x v="4"/>
    <s v="Georgia Perimeter College "/>
    <m/>
    <n v="244437"/>
    <x v="6"/>
    <s v="sem"/>
    <s v="sem"/>
    <m/>
    <m/>
    <n v="250419"/>
    <n v="244704"/>
    <n v="105024"/>
    <n v="84352"/>
    <n v="254794"/>
    <n v="222399"/>
    <n v="610237"/>
    <n v="20341.233333333334"/>
    <n v="551455"/>
    <n v="18381.833333333332"/>
    <n v="772"/>
    <n v="11740"/>
    <n v="610237"/>
    <n v="551455"/>
    <m/>
    <m/>
    <m/>
    <m/>
    <m/>
    <m/>
    <m/>
    <m/>
    <n v="0"/>
    <n v="0"/>
    <n v="0"/>
    <n v="0"/>
    <m/>
    <m/>
    <n v="0"/>
    <n v="0"/>
  </r>
  <r>
    <x v="4"/>
    <s v="Abraham Baldwin Agricultural College "/>
    <s v="Met the criteria for Two-Year with Bachelor's in 2011-12 and 2012-13. "/>
    <n v="138558"/>
    <x v="7"/>
    <s v="sem"/>
    <s v="sem"/>
    <m/>
    <m/>
    <n v="35443"/>
    <n v="34153"/>
    <n v="8028"/>
    <n v="6358"/>
    <n v="37672"/>
    <n v="37304"/>
    <n v="81143"/>
    <n v="2704.7666666666669"/>
    <n v="77815"/>
    <n v="2593.8333333333335"/>
    <n v="1241"/>
    <n v="1661"/>
    <n v="81143"/>
    <n v="77815"/>
    <m/>
    <m/>
    <m/>
    <m/>
    <m/>
    <m/>
    <m/>
    <m/>
    <n v="0"/>
    <n v="0"/>
    <n v="0"/>
    <n v="0"/>
    <m/>
    <m/>
    <n v="0"/>
    <n v="0"/>
  </r>
  <r>
    <x v="4"/>
    <s v="Atlanta Metropolitan College"/>
    <m/>
    <n v="138901"/>
    <x v="7"/>
    <s v="sem"/>
    <s v="sem"/>
    <m/>
    <m/>
    <n v="32533"/>
    <n v="29462"/>
    <n v="13582"/>
    <n v="11490"/>
    <n v="29816"/>
    <n v="30154"/>
    <n v="75931"/>
    <n v="2531.0333333333333"/>
    <n v="71106"/>
    <n v="2370.1999999999998"/>
    <n v="300"/>
    <n v="449"/>
    <n v="75931"/>
    <n v="71106"/>
    <m/>
    <m/>
    <m/>
    <m/>
    <m/>
    <m/>
    <m/>
    <m/>
    <n v="0"/>
    <n v="0"/>
    <n v="0"/>
    <n v="0"/>
    <m/>
    <m/>
    <n v="0"/>
    <n v="0"/>
  </r>
  <r>
    <x v="4"/>
    <s v="Bainbridge College "/>
    <m/>
    <n v="139010"/>
    <x v="7"/>
    <s v="sem"/>
    <s v="sem"/>
    <m/>
    <m/>
    <n v="39960"/>
    <n v="38421"/>
    <n v="23673"/>
    <n v="17742"/>
    <n v="39342"/>
    <n v="30697"/>
    <n v="102975"/>
    <n v="3432.5"/>
    <n v="86860"/>
    <n v="2895.3333333333335"/>
    <n v="873"/>
    <n v="1019"/>
    <n v="102975"/>
    <n v="86860"/>
    <m/>
    <m/>
    <m/>
    <m/>
    <m/>
    <m/>
    <m/>
    <m/>
    <n v="0"/>
    <n v="0"/>
    <n v="0"/>
    <n v="0"/>
    <m/>
    <m/>
    <n v="0"/>
    <n v="0"/>
  </r>
  <r>
    <x v="4"/>
    <s v="College of Coastal Georgia "/>
    <s v="Met the criteria for Two-Year with Bachelor's in 2011-12 and 2012-13. "/>
    <n v="139250"/>
    <x v="7"/>
    <s v="sem"/>
    <s v="sem"/>
    <m/>
    <m/>
    <n v="34704"/>
    <n v="33273"/>
    <n v="10136"/>
    <n v="7116"/>
    <n v="37459"/>
    <n v="34158"/>
    <n v="82299"/>
    <n v="2743.3"/>
    <n v="74547"/>
    <n v="2484.9"/>
    <n v="907.5"/>
    <n v="1449"/>
    <n v="82299"/>
    <n v="74547"/>
    <m/>
    <m/>
    <m/>
    <m/>
    <m/>
    <m/>
    <m/>
    <m/>
    <n v="0"/>
    <n v="0"/>
    <n v="0"/>
    <n v="0"/>
    <m/>
    <m/>
    <n v="0"/>
    <n v="0"/>
  </r>
  <r>
    <x v="4"/>
    <s v="Darton College "/>
    <m/>
    <n v="138691"/>
    <x v="7"/>
    <s v="sem"/>
    <s v="sem"/>
    <m/>
    <m/>
    <n v="52377"/>
    <n v="58391.5"/>
    <n v="28811.5"/>
    <n v="27357"/>
    <n v="60674.5"/>
    <n v="63513"/>
    <n v="141863"/>
    <n v="4728.7666666666664"/>
    <n v="149261.5"/>
    <n v="4975.3833333333332"/>
    <n v="1773"/>
    <n v="992.5"/>
    <n v="141863"/>
    <n v="149261.5"/>
    <m/>
    <m/>
    <m/>
    <m/>
    <m/>
    <m/>
    <m/>
    <m/>
    <n v="0"/>
    <n v="0"/>
    <n v="0"/>
    <n v="0"/>
    <m/>
    <m/>
    <n v="0"/>
    <n v="0"/>
  </r>
  <r>
    <x v="4"/>
    <s v="East Georgia College"/>
    <m/>
    <n v="139621"/>
    <x v="7"/>
    <s v="sem"/>
    <s v="sem"/>
    <m/>
    <m/>
    <n v="32742"/>
    <n v="35314"/>
    <n v="8505"/>
    <n v="6147"/>
    <n v="39921"/>
    <n v="33696"/>
    <n v="81168"/>
    <n v="2705.6"/>
    <n v="75157"/>
    <n v="2505.2333333333331"/>
    <n v="427"/>
    <n v="323"/>
    <n v="81168"/>
    <n v="75157"/>
    <m/>
    <m/>
    <m/>
    <m/>
    <m/>
    <m/>
    <m/>
    <m/>
    <n v="0"/>
    <n v="0"/>
    <n v="0"/>
    <n v="0"/>
    <m/>
    <m/>
    <n v="0"/>
    <n v="0"/>
  </r>
  <r>
    <x v="4"/>
    <s v="Georgia Highlands College"/>
    <m/>
    <n v="139700"/>
    <x v="7"/>
    <s v="sem"/>
    <s v="sem"/>
    <m/>
    <m/>
    <n v="54217"/>
    <n v="55157"/>
    <n v="14882"/>
    <n v="13296"/>
    <n v="57318"/>
    <n v="56389"/>
    <n v="126417"/>
    <n v="4213.8999999999996"/>
    <n v="124842"/>
    <n v="4161.3999999999996"/>
    <n v="1083"/>
    <n v="1585"/>
    <n v="126417"/>
    <n v="124842"/>
    <m/>
    <m/>
    <m/>
    <m/>
    <m/>
    <m/>
    <m/>
    <m/>
    <n v="0"/>
    <n v="0"/>
    <n v="0"/>
    <n v="0"/>
    <m/>
    <m/>
    <n v="0"/>
    <n v="0"/>
  </r>
  <r>
    <x v="4"/>
    <s v="Middle Georgia College "/>
    <s v="Met the criteria for Two-Year with Bachelor's in 2011-12 and 2012-13. "/>
    <n v="140483"/>
    <x v="7"/>
    <s v="sem"/>
    <s v="sem"/>
    <m/>
    <m/>
    <n v="39534"/>
    <n v="34734"/>
    <n v="12649"/>
    <n v="9176"/>
    <n v="40079"/>
    <n v="36070"/>
    <n v="92262"/>
    <n v="3075.4"/>
    <n v="79980"/>
    <n v="2666"/>
    <n v="3334"/>
    <n v="3574"/>
    <n v="92262"/>
    <n v="79980"/>
    <m/>
    <m/>
    <m/>
    <m/>
    <m/>
    <m/>
    <m/>
    <m/>
    <n v="0"/>
    <n v="0"/>
    <n v="0"/>
    <n v="0"/>
    <m/>
    <m/>
    <n v="0"/>
    <n v="0"/>
  </r>
  <r>
    <x v="4"/>
    <s v="South Georgia College "/>
    <m/>
    <n v="140997"/>
    <x v="8"/>
    <s v="sem"/>
    <s v="sem"/>
    <m/>
    <m/>
    <n v="23745"/>
    <n v="25533"/>
    <n v="7156"/>
    <n v="5554"/>
    <n v="27869"/>
    <n v="27704"/>
    <n v="58770"/>
    <n v="1959"/>
    <n v="58791"/>
    <n v="1959.7"/>
    <n v="472"/>
    <n v="676"/>
    <n v="58770"/>
    <n v="58791"/>
    <m/>
    <m/>
    <m/>
    <m/>
    <m/>
    <m/>
    <m/>
    <m/>
    <n v="0"/>
    <n v="0"/>
    <n v="0"/>
    <n v="0"/>
    <m/>
    <m/>
    <n v="0"/>
    <n v="0"/>
  </r>
  <r>
    <x v="4"/>
    <s v="Waycross College "/>
    <m/>
    <n v="141307"/>
    <x v="8"/>
    <s v="sem"/>
    <s v="sem"/>
    <m/>
    <m/>
    <n v="10389"/>
    <n v="9420"/>
    <n v="3317"/>
    <n v="2565"/>
    <n v="9159"/>
    <n v="8077"/>
    <n v="22865"/>
    <n v="762.16666666666663"/>
    <n v="20062"/>
    <n v="668.73333333333335"/>
    <n v="1091"/>
    <n v="1477"/>
    <n v="22865"/>
    <n v="20062"/>
    <m/>
    <m/>
    <m/>
    <m/>
    <m/>
    <m/>
    <m/>
    <m/>
    <n v="0"/>
    <n v="0"/>
    <n v="0"/>
    <n v="0"/>
    <m/>
    <m/>
    <n v="0"/>
    <n v="0"/>
  </r>
  <r>
    <x v="4"/>
    <s v="Albany Technical College"/>
    <m/>
    <n v="138682"/>
    <x v="9"/>
    <s v="sem"/>
    <s v="sem"/>
    <n v="37569.199999999997"/>
    <m/>
    <n v="35802.5"/>
    <n v="46658"/>
    <n v="32995"/>
    <n v="31614"/>
    <n v="51561"/>
    <n v="42038"/>
    <n v="157927.70000000001"/>
    <n v="5264.2566666666671"/>
    <n v="120310"/>
    <n v="4010.3333333333335"/>
    <n v="323"/>
    <n v="691"/>
    <n v="157927.70000000001"/>
    <n v="120310"/>
    <m/>
    <m/>
    <m/>
    <m/>
    <m/>
    <m/>
    <m/>
    <m/>
    <n v="0"/>
    <n v="0"/>
    <n v="0"/>
    <n v="0"/>
    <m/>
    <m/>
    <n v="0"/>
    <n v="0"/>
  </r>
  <r>
    <x v="4"/>
    <s v="Altamaha Technical College"/>
    <m/>
    <n v="366447"/>
    <x v="9"/>
    <s v="sem"/>
    <s v="sem"/>
    <n v="10602.2"/>
    <m/>
    <n v="10098.200000000001"/>
    <n v="13256"/>
    <n v="3622.2"/>
    <n v="8121"/>
    <n v="12784"/>
    <n v="12799"/>
    <n v="37106.600000000006"/>
    <n v="1236.8866666666668"/>
    <n v="34176"/>
    <n v="1139.2"/>
    <n v="1507.1"/>
    <n v="1618"/>
    <n v="37106.600000000006"/>
    <n v="34176"/>
    <m/>
    <m/>
    <m/>
    <m/>
    <m/>
    <m/>
    <m/>
    <m/>
    <n v="0"/>
    <n v="0"/>
    <n v="0"/>
    <n v="0"/>
    <m/>
    <m/>
    <n v="0"/>
    <n v="0"/>
  </r>
  <r>
    <x v="4"/>
    <s v="Athens Technical College"/>
    <m/>
    <n v="246813"/>
    <x v="9"/>
    <s v="sem"/>
    <s v="sem"/>
    <n v="36279.1"/>
    <m/>
    <n v="33147"/>
    <n v="39077"/>
    <n v="12104.6"/>
    <n v="19011"/>
    <n v="43959"/>
    <n v="40269"/>
    <n v="125489.70000000001"/>
    <n v="4182.9900000000007"/>
    <n v="98357"/>
    <n v="3278.5666666666666"/>
    <n v="962"/>
    <n v="1795"/>
    <n v="125489.70000000001"/>
    <n v="98357"/>
    <m/>
    <m/>
    <m/>
    <m/>
    <m/>
    <m/>
    <m/>
    <m/>
    <n v="0"/>
    <n v="0"/>
    <n v="0"/>
    <n v="0"/>
    <m/>
    <m/>
    <n v="0"/>
    <n v="0"/>
  </r>
  <r>
    <x v="4"/>
    <s v="Atlanta Technical College"/>
    <m/>
    <n v="138840"/>
    <x v="9"/>
    <s v="sem"/>
    <s v="sem"/>
    <n v="36866.5"/>
    <m/>
    <n v="36451.199999999997"/>
    <n v="41643"/>
    <n v="25381.9"/>
    <n v="30304"/>
    <n v="40562"/>
    <n v="46356"/>
    <n v="139261.6"/>
    <n v="4642.0533333333333"/>
    <n v="118303"/>
    <n v="3943.4333333333334"/>
    <n v="1877.3"/>
    <n v="2772"/>
    <n v="139261.6"/>
    <n v="118303"/>
    <m/>
    <m/>
    <m/>
    <m/>
    <m/>
    <m/>
    <m/>
    <m/>
    <n v="0"/>
    <n v="0"/>
    <n v="0"/>
    <n v="0"/>
    <m/>
    <m/>
    <n v="0"/>
    <n v="0"/>
  </r>
  <r>
    <x v="4"/>
    <s v="Augusta Technical College"/>
    <m/>
    <n v="138956"/>
    <x v="9"/>
    <s v="sem"/>
    <s v="sem"/>
    <n v="33722.400000000001"/>
    <m/>
    <n v="31324.2"/>
    <n v="39919"/>
    <n v="12452.6"/>
    <n v="23353"/>
    <n v="41669"/>
    <n v="40395"/>
    <n v="119168.20000000001"/>
    <n v="3972.2733333333335"/>
    <n v="103667"/>
    <n v="3455.5666666666666"/>
    <n v="1048.0999999999999"/>
    <n v="717"/>
    <n v="119168.20000000001"/>
    <n v="103667"/>
    <m/>
    <m/>
    <m/>
    <m/>
    <m/>
    <m/>
    <m/>
    <m/>
    <n v="0"/>
    <n v="0"/>
    <n v="0"/>
    <n v="0"/>
    <m/>
    <m/>
    <n v="0"/>
    <n v="0"/>
  </r>
  <r>
    <x v="4"/>
    <s v="Central Georgia Technical College"/>
    <m/>
    <n v="140304"/>
    <x v="9"/>
    <s v="sem"/>
    <s v="sem"/>
    <n v="54020"/>
    <m/>
    <n v="48719.1"/>
    <n v="48842"/>
    <n v="23905.200000000001"/>
    <n v="25538"/>
    <n v="58448"/>
    <n v="45348"/>
    <n v="185092.3"/>
    <n v="6169.7433333333329"/>
    <n v="119728"/>
    <n v="3990.9333333333334"/>
    <n v="2248"/>
    <n v="2609"/>
    <n v="185092.3"/>
    <n v="119728"/>
    <m/>
    <m/>
    <m/>
    <m/>
    <m/>
    <m/>
    <m/>
    <m/>
    <n v="0"/>
    <n v="0"/>
    <n v="0"/>
    <n v="0"/>
    <m/>
    <m/>
    <n v="0"/>
    <n v="0"/>
  </r>
  <r>
    <x v="4"/>
    <s v="Chattahoochee Technical College"/>
    <m/>
    <n v="140331"/>
    <x v="9"/>
    <s v="sem"/>
    <s v="sem"/>
    <n v="91757.3"/>
    <m/>
    <n v="85064.9"/>
    <n v="96352"/>
    <n v="32122.3"/>
    <n v="51143"/>
    <n v="99754"/>
    <n v="99832"/>
    <n v="308698.5"/>
    <n v="10289.950000000001"/>
    <n v="247327"/>
    <n v="8244.2333333333336"/>
    <n v="2195.4"/>
    <n v="2537"/>
    <n v="308698.5"/>
    <n v="247327"/>
    <m/>
    <m/>
    <m/>
    <m/>
    <m/>
    <m/>
    <m/>
    <m/>
    <n v="0"/>
    <n v="0"/>
    <n v="0"/>
    <n v="0"/>
    <m/>
    <m/>
    <n v="0"/>
    <n v="0"/>
  </r>
  <r>
    <x v="4"/>
    <s v="Columbus Technical College"/>
    <m/>
    <n v="139357"/>
    <x v="9"/>
    <s v="sem"/>
    <s v="sem"/>
    <n v="27443.4"/>
    <m/>
    <n v="26314.6"/>
    <n v="33136"/>
    <n v="7903.1"/>
    <n v="22208"/>
    <n v="33611"/>
    <n v="38583"/>
    <n v="95272.1"/>
    <n v="3175.7366666666667"/>
    <n v="93927"/>
    <n v="3130.9"/>
    <n v="1924.5"/>
    <n v="1283"/>
    <n v="95272.1"/>
    <n v="93927"/>
    <m/>
    <m/>
    <m/>
    <m/>
    <m/>
    <m/>
    <m/>
    <m/>
    <n v="0"/>
    <n v="0"/>
    <n v="0"/>
    <n v="0"/>
    <m/>
    <m/>
    <n v="0"/>
    <n v="0"/>
  </r>
  <r>
    <x v="4"/>
    <s v="Georgia Northwestern Technical College"/>
    <m/>
    <n v="139384"/>
    <x v="9"/>
    <s v="sem"/>
    <s v="sem"/>
    <n v="48301.1"/>
    <m/>
    <n v="45131.6"/>
    <n v="55703"/>
    <n v="21635.1"/>
    <n v="28077"/>
    <n v="59364"/>
    <n v="57185"/>
    <n v="174431.8"/>
    <n v="5814.3933333333325"/>
    <n v="140965"/>
    <n v="4698.833333333333"/>
    <n v="4173.8"/>
    <n v="5457"/>
    <n v="174431.8"/>
    <n v="140965"/>
    <m/>
    <m/>
    <m/>
    <m/>
    <m/>
    <m/>
    <m/>
    <m/>
    <n v="0"/>
    <n v="0"/>
    <n v="0"/>
    <n v="0"/>
    <m/>
    <m/>
    <n v="0"/>
    <n v="0"/>
  </r>
  <r>
    <x v="4"/>
    <s v="Georgia Piedmont Technical College"/>
    <m/>
    <n v="244446"/>
    <x v="9"/>
    <s v="sem"/>
    <s v="sem"/>
    <n v="36192.5"/>
    <m/>
    <n v="34126.400000000001"/>
    <n v="32747"/>
    <n v="13138"/>
    <n v="21520"/>
    <n v="35883"/>
    <n v="37317"/>
    <n v="119339.9"/>
    <n v="3977.9966666666664"/>
    <n v="91584"/>
    <n v="3052.8"/>
    <n v="1191.4000000000001"/>
    <n v="2980"/>
    <n v="119339.9"/>
    <n v="91584"/>
    <m/>
    <m/>
    <m/>
    <m/>
    <m/>
    <m/>
    <m/>
    <m/>
    <n v="0"/>
    <n v="0"/>
    <n v="0"/>
    <n v="0"/>
    <m/>
    <m/>
    <n v="0"/>
    <n v="0"/>
  </r>
  <r>
    <x v="4"/>
    <s v="Gwinnett Technical College"/>
    <m/>
    <n v="140012"/>
    <x v="9"/>
    <s v="sem"/>
    <s v="sem"/>
    <n v="49573.8"/>
    <m/>
    <n v="47859.1"/>
    <n v="63543"/>
    <n v="17142.900000000001"/>
    <n v="30033"/>
    <n v="58997"/>
    <n v="59948"/>
    <n v="173572.8"/>
    <n v="5785.7599999999993"/>
    <n v="153524"/>
    <n v="5117.4666666666662"/>
    <n v="1122.7"/>
    <n v="1489"/>
    <n v="173572.8"/>
    <n v="153524"/>
    <m/>
    <m/>
    <m/>
    <m/>
    <m/>
    <m/>
    <m/>
    <m/>
    <n v="0"/>
    <n v="0"/>
    <n v="0"/>
    <n v="0"/>
    <m/>
    <m/>
    <n v="0"/>
    <n v="0"/>
  </r>
  <r>
    <x v="4"/>
    <s v="Lanier Technical College"/>
    <m/>
    <n v="140243"/>
    <x v="9"/>
    <s v="sem"/>
    <s v="sem"/>
    <n v="28683.4"/>
    <m/>
    <n v="25922"/>
    <n v="31058"/>
    <n v="8443.1"/>
    <n v="16364"/>
    <n v="29904"/>
    <n v="29072"/>
    <n v="92952.5"/>
    <n v="3098.4166666666665"/>
    <n v="76494"/>
    <n v="2549.8000000000002"/>
    <n v="1555"/>
    <n v="1988"/>
    <n v="92952.5"/>
    <n v="76494"/>
    <m/>
    <m/>
    <m/>
    <m/>
    <m/>
    <m/>
    <m/>
    <m/>
    <n v="0"/>
    <n v="0"/>
    <n v="0"/>
    <n v="0"/>
    <m/>
    <m/>
    <n v="0"/>
    <n v="0"/>
  </r>
  <r>
    <x v="4"/>
    <s v="Middle Georgia Technical College"/>
    <m/>
    <n v="140085"/>
    <x v="9"/>
    <s v="sem"/>
    <s v="sem"/>
    <n v="33682.400000000001"/>
    <m/>
    <n v="29323.5"/>
    <n v="35195"/>
    <n v="11001.2"/>
    <n v="21946"/>
    <n v="36611"/>
    <n v="37212"/>
    <n v="110618.1"/>
    <n v="3687.27"/>
    <n v="94353"/>
    <n v="3145.1"/>
    <n v="4122.3999999999996"/>
    <n v="3702"/>
    <n v="110618.1"/>
    <n v="94353"/>
    <m/>
    <m/>
    <m/>
    <m/>
    <m/>
    <m/>
    <m/>
    <m/>
    <n v="0"/>
    <n v="0"/>
    <n v="0"/>
    <n v="0"/>
    <m/>
    <m/>
    <n v="0"/>
    <n v="0"/>
  </r>
  <r>
    <x v="4"/>
    <s v="Moultrie Technical College"/>
    <m/>
    <n v="140599"/>
    <x v="9"/>
    <s v="sem"/>
    <s v="sem"/>
    <n v="19075.599999999999"/>
    <m/>
    <n v="16884.8"/>
    <n v="18687"/>
    <n v="7234.4"/>
    <n v="10288"/>
    <n v="21431"/>
    <n v="18459"/>
    <n v="64625.799999999996"/>
    <n v="2154.1933333333332"/>
    <n v="47434"/>
    <n v="1581.1333333333334"/>
    <n v="4135.8"/>
    <n v="3695"/>
    <n v="64625.799999999996"/>
    <n v="47434"/>
    <m/>
    <m/>
    <m/>
    <m/>
    <m/>
    <m/>
    <m/>
    <m/>
    <n v="0"/>
    <n v="0"/>
    <n v="0"/>
    <n v="0"/>
    <m/>
    <m/>
    <n v="0"/>
    <n v="0"/>
  </r>
  <r>
    <x v="4"/>
    <s v="North Georgia Technical College"/>
    <m/>
    <n v="140678"/>
    <x v="9"/>
    <s v="sem"/>
    <s v="sem"/>
    <n v="20626.400000000001"/>
    <m/>
    <n v="18672.900000000001"/>
    <n v="23490"/>
    <n v="7467"/>
    <n v="13314"/>
    <n v="25494"/>
    <n v="23899"/>
    <n v="72260.3"/>
    <n v="2408.6766666666667"/>
    <n v="60703"/>
    <n v="2023.4333333333334"/>
    <n v="480"/>
    <n v="603.5"/>
    <n v="72260.3"/>
    <n v="60703"/>
    <m/>
    <m/>
    <m/>
    <m/>
    <m/>
    <m/>
    <m/>
    <m/>
    <n v="0"/>
    <n v="0"/>
    <n v="0"/>
    <n v="0"/>
    <m/>
    <m/>
    <n v="0"/>
    <n v="0"/>
  </r>
  <r>
    <x v="4"/>
    <s v="Oconee Fall Line Technical College"/>
    <m/>
    <n v="420431"/>
    <x v="9"/>
    <s v="sem"/>
    <s v="sem"/>
    <n v="18479.5"/>
    <m/>
    <n v="16510.800000000003"/>
    <n v="16603"/>
    <n v="8010"/>
    <n v="10310"/>
    <n v="16677"/>
    <n v="15920"/>
    <n v="59677.3"/>
    <n v="1989.2433333333333"/>
    <n v="42833"/>
    <n v="1427.7666666666667"/>
    <n v="2730.8"/>
    <n v="4036"/>
    <n v="59677.3"/>
    <n v="42833"/>
    <m/>
    <m/>
    <m/>
    <m/>
    <m/>
    <m/>
    <m/>
    <m/>
    <n v="0"/>
    <n v="0"/>
    <n v="0"/>
    <n v="0"/>
    <m/>
    <m/>
    <n v="0"/>
    <n v="0"/>
  </r>
  <r>
    <x v="4"/>
    <s v="Ogeechee Technical College"/>
    <m/>
    <n v="366465"/>
    <x v="9"/>
    <s v="sem"/>
    <s v="sem"/>
    <n v="21376.400000000001"/>
    <m/>
    <n v="20006.3"/>
    <n v="21910"/>
    <n v="8146.4"/>
    <n v="14115"/>
    <n v="21912"/>
    <n v="22469"/>
    <n v="71441.100000000006"/>
    <n v="2381.3700000000003"/>
    <n v="58494"/>
    <n v="1949.8"/>
    <n v="1225.3"/>
    <n v="1241"/>
    <n v="71441.100000000006"/>
    <n v="58494"/>
    <m/>
    <m/>
    <m/>
    <m/>
    <m/>
    <m/>
    <m/>
    <m/>
    <n v="0"/>
    <n v="0"/>
    <n v="0"/>
    <n v="0"/>
    <m/>
    <m/>
    <n v="0"/>
    <n v="0"/>
  </r>
  <r>
    <x v="4"/>
    <s v="Okefenokee Technical College"/>
    <m/>
    <n v="248776"/>
    <x v="9"/>
    <s v="sem"/>
    <s v="sem"/>
    <n v="10321.799999999999"/>
    <m/>
    <n v="9388.1"/>
    <n v="11217"/>
    <n v="3592.8"/>
    <n v="7073"/>
    <n v="12025"/>
    <n v="12148"/>
    <n v="35327.699999999997"/>
    <n v="1177.5899999999999"/>
    <n v="30438"/>
    <n v="1014.6"/>
    <n v="1054.7"/>
    <n v="1218"/>
    <n v="35327.699999999997"/>
    <n v="30438"/>
    <m/>
    <m/>
    <m/>
    <m/>
    <m/>
    <m/>
    <m/>
    <m/>
    <n v="0"/>
    <n v="0"/>
    <n v="0"/>
    <n v="0"/>
    <m/>
    <m/>
    <n v="0"/>
    <n v="0"/>
  </r>
  <r>
    <x v="4"/>
    <s v="Savannah Technical College"/>
    <m/>
    <n v="140942"/>
    <x v="9"/>
    <s v="sem"/>
    <s v="sem"/>
    <n v="37717.9"/>
    <m/>
    <n v="34802.400000000001"/>
    <n v="40843"/>
    <n v="21076.400000000001"/>
    <n v="25235"/>
    <n v="42060"/>
    <n v="44130"/>
    <n v="135656.70000000001"/>
    <n v="4521.8900000000003"/>
    <n v="110208"/>
    <n v="3673.6"/>
    <n v="2322.1"/>
    <n v="1356"/>
    <n v="135656.70000000001"/>
    <n v="110208"/>
    <m/>
    <m/>
    <m/>
    <m/>
    <m/>
    <m/>
    <m/>
    <m/>
    <n v="0"/>
    <n v="0"/>
    <n v="0"/>
    <n v="0"/>
    <m/>
    <m/>
    <n v="0"/>
    <n v="0"/>
  </r>
  <r>
    <x v="4"/>
    <s v="South Georgia Technical College"/>
    <m/>
    <n v="141006"/>
    <x v="9"/>
    <s v="sem"/>
    <s v="sem"/>
    <n v="20734.400000000001"/>
    <m/>
    <n v="19875.7"/>
    <n v="20930"/>
    <n v="8747.1"/>
    <n v="9300"/>
    <n v="23652"/>
    <n v="19249.7"/>
    <n v="73009.200000000012"/>
    <n v="2433.6400000000003"/>
    <n v="49479.7"/>
    <n v="1649.3233333333333"/>
    <n v="1468.4"/>
    <n v="1573.3"/>
    <n v="73009.200000000012"/>
    <n v="49479.7"/>
    <m/>
    <m/>
    <m/>
    <m/>
    <m/>
    <m/>
    <m/>
    <m/>
    <n v="0"/>
    <n v="0"/>
    <n v="0"/>
    <n v="0"/>
    <m/>
    <m/>
    <n v="0"/>
    <n v="0"/>
  </r>
  <r>
    <x v="4"/>
    <s v="Southeastern Technical College"/>
    <m/>
    <n v="368911"/>
    <x v="9"/>
    <s v="sem"/>
    <s v="sem"/>
    <n v="12954"/>
    <m/>
    <n v="12408"/>
    <n v="16006"/>
    <n v="4332.2"/>
    <n v="9030"/>
    <n v="16303"/>
    <n v="15706"/>
    <n v="45997.2"/>
    <n v="1533.24"/>
    <n v="40742"/>
    <n v="1358.0666666666666"/>
    <n v="2133.6999999999998"/>
    <n v="2270"/>
    <n v="45997.2"/>
    <n v="40742"/>
    <m/>
    <m/>
    <m/>
    <m/>
    <m/>
    <m/>
    <m/>
    <m/>
    <n v="0"/>
    <n v="0"/>
    <n v="0"/>
    <n v="0"/>
    <m/>
    <m/>
    <n v="0"/>
    <n v="0"/>
  </r>
  <r>
    <x v="4"/>
    <s v="Southern Crescent Technical College"/>
    <m/>
    <n v="139986"/>
    <x v="9"/>
    <s v="sem"/>
    <s v="sem"/>
    <n v="41650.300000000003"/>
    <m/>
    <n v="38802.800000000003"/>
    <n v="50196"/>
    <n v="15218.8"/>
    <n v="22700"/>
    <n v="48389"/>
    <n v="52330"/>
    <n v="144060.90000000002"/>
    <n v="4802.0300000000007"/>
    <n v="125226"/>
    <n v="4174.2"/>
    <n v="1473.7"/>
    <n v="1938"/>
    <n v="144060.90000000002"/>
    <n v="125226"/>
    <m/>
    <m/>
    <m/>
    <m/>
    <m/>
    <m/>
    <m/>
    <m/>
    <n v="0"/>
    <n v="0"/>
    <n v="0"/>
    <n v="0"/>
    <m/>
    <m/>
    <n v="0"/>
    <n v="0"/>
  </r>
  <r>
    <x v="4"/>
    <s v="Southwest Georgia Technical College"/>
    <m/>
    <n v="141158"/>
    <x v="9"/>
    <s v="sem"/>
    <s v="sem"/>
    <n v="11118.6"/>
    <m/>
    <n v="9766.5"/>
    <n v="14546"/>
    <n v="4271.2"/>
    <n v="8470"/>
    <n v="14739"/>
    <n v="13749"/>
    <n v="39895.300000000003"/>
    <n v="1329.8433333333335"/>
    <n v="36765"/>
    <n v="1225.5"/>
    <n v="2535.6999999999998"/>
    <n v="2339.3000000000002"/>
    <n v="39895.300000000003"/>
    <n v="36765"/>
    <m/>
    <m/>
    <m/>
    <m/>
    <m/>
    <m/>
    <m/>
    <m/>
    <n v="0"/>
    <n v="0"/>
    <n v="0"/>
    <n v="0"/>
    <m/>
    <m/>
    <n v="0"/>
    <n v="0"/>
  </r>
  <r>
    <x v="4"/>
    <s v="West Georgia Technical College"/>
    <m/>
    <n v="139278"/>
    <x v="9"/>
    <s v="sem"/>
    <s v="sem"/>
    <n v="51884.6"/>
    <m/>
    <n v="48082.400000000001"/>
    <n v="59203"/>
    <n v="19157"/>
    <n v="27351"/>
    <n v="62486"/>
    <n v="58238"/>
    <n v="181610"/>
    <n v="6053.666666666667"/>
    <n v="144792"/>
    <n v="4826.3999999999996"/>
    <n v="6574.8"/>
    <n v="6971"/>
    <n v="181610"/>
    <n v="144792"/>
    <m/>
    <m/>
    <m/>
    <m/>
    <m/>
    <m/>
    <m/>
    <m/>
    <n v="0"/>
    <n v="0"/>
    <n v="0"/>
    <n v="0"/>
    <m/>
    <m/>
    <n v="0"/>
    <n v="0"/>
  </r>
  <r>
    <x v="4"/>
    <s v="Wiregrass Georgia Technical College"/>
    <m/>
    <n v="141255"/>
    <x v="9"/>
    <s v="sem"/>
    <s v="sem"/>
    <n v="39835.300000000003"/>
    <m/>
    <n v="37235.199999999997"/>
    <n v="39061"/>
    <n v="16354.2"/>
    <n v="21641"/>
    <n v="44327"/>
    <n v="38740"/>
    <n v="137751.70000000001"/>
    <n v="4591.7233333333334"/>
    <n v="99442"/>
    <n v="3314.7333333333331"/>
    <n v="2909.8"/>
    <n v="3295"/>
    <n v="137751.70000000001"/>
    <n v="99442"/>
    <m/>
    <m/>
    <m/>
    <m/>
    <m/>
    <m/>
    <m/>
    <m/>
    <n v="0"/>
    <n v="0"/>
    <n v="0"/>
    <n v="0"/>
    <m/>
    <m/>
    <n v="0"/>
    <n v="0"/>
  </r>
  <r>
    <x v="5"/>
    <s v="University of Kentucky"/>
    <m/>
    <n v="157085"/>
    <x v="0"/>
    <s v="sem"/>
    <m/>
    <m/>
    <m/>
    <n v="250747"/>
    <n v="254226"/>
    <n v="28605"/>
    <n v="26786"/>
    <n v="276434"/>
    <n v="287886"/>
    <n v="555786"/>
    <n v="18526.2"/>
    <n v="568898"/>
    <n v="18963.266666666666"/>
    <n v="47"/>
    <n v="67"/>
    <n v="555786"/>
    <n v="568898"/>
    <m/>
    <m/>
    <m/>
    <m/>
    <m/>
    <m/>
    <m/>
    <m/>
    <n v="0"/>
    <n v="0"/>
    <n v="0"/>
    <n v="0"/>
    <m/>
    <m/>
    <n v="0"/>
    <n v="0"/>
  </r>
  <r>
    <x v="5"/>
    <s v="University of Louisville"/>
    <m/>
    <n v="157289"/>
    <x v="0"/>
    <s v="sem"/>
    <m/>
    <m/>
    <m/>
    <n v="173103"/>
    <n v="172938"/>
    <n v="35687"/>
    <n v="33151"/>
    <n v="188398"/>
    <n v="192741"/>
    <n v="397188"/>
    <n v="13239.6"/>
    <n v="398830"/>
    <n v="13294.333333333334"/>
    <n v="1282"/>
    <n v="1485"/>
    <n v="397188"/>
    <n v="398830"/>
    <m/>
    <m/>
    <m/>
    <m/>
    <m/>
    <m/>
    <m/>
    <m/>
    <n v="0"/>
    <n v="0"/>
    <n v="0"/>
    <n v="0"/>
    <m/>
    <m/>
    <n v="0"/>
    <n v="0"/>
  </r>
  <r>
    <x v="5"/>
    <s v="Eastern Kentucky University "/>
    <m/>
    <n v="156620"/>
    <x v="2"/>
    <s v="sem"/>
    <m/>
    <m/>
    <m/>
    <n v="167687"/>
    <n v="161687"/>
    <n v="22324"/>
    <n v="21855"/>
    <n v="176487"/>
    <n v="177480"/>
    <n v="366498"/>
    <n v="12216.6"/>
    <n v="361022"/>
    <n v="12034.066666666668"/>
    <n v="2863"/>
    <n v="3279"/>
    <n v="366498"/>
    <n v="361022"/>
    <m/>
    <m/>
    <m/>
    <m/>
    <m/>
    <m/>
    <m/>
    <m/>
    <n v="0"/>
    <n v="0"/>
    <n v="0"/>
    <n v="0"/>
    <m/>
    <m/>
    <n v="0"/>
    <n v="0"/>
  </r>
  <r>
    <x v="5"/>
    <s v="Morehead State University "/>
    <m/>
    <n v="157386"/>
    <x v="2"/>
    <s v="sem"/>
    <m/>
    <m/>
    <m/>
    <n v="81756"/>
    <n v="86320"/>
    <n v="9599"/>
    <n v="8272"/>
    <n v="97095"/>
    <n v="102105"/>
    <n v="188450"/>
    <n v="6281.666666666667"/>
    <n v="196697"/>
    <n v="6556.5666666666666"/>
    <n v="9086"/>
    <n v="14347"/>
    <n v="188450"/>
    <n v="196697"/>
    <m/>
    <m/>
    <m/>
    <m/>
    <m/>
    <m/>
    <m/>
    <m/>
    <n v="0"/>
    <n v="0"/>
    <n v="0"/>
    <n v="0"/>
    <m/>
    <m/>
    <n v="0"/>
    <n v="0"/>
  </r>
  <r>
    <x v="5"/>
    <s v="Murray State University "/>
    <m/>
    <n v="157401"/>
    <x v="2"/>
    <s v="sem"/>
    <m/>
    <m/>
    <m/>
    <n v="101531"/>
    <n v="104296"/>
    <n v="10049"/>
    <n v="8560"/>
    <n v="111062"/>
    <n v="114877"/>
    <n v="222642"/>
    <n v="7421.4"/>
    <n v="227733"/>
    <n v="7591.1"/>
    <n v="2696"/>
    <n v="3537"/>
    <n v="222642"/>
    <n v="227733"/>
    <m/>
    <m/>
    <m/>
    <m/>
    <m/>
    <m/>
    <m/>
    <m/>
    <n v="0"/>
    <n v="0"/>
    <n v="0"/>
    <n v="0"/>
    <m/>
    <m/>
    <n v="0"/>
    <n v="0"/>
  </r>
  <r>
    <x v="5"/>
    <s v="Western Kentucky University "/>
    <m/>
    <n v="157951"/>
    <x v="2"/>
    <s v="sem"/>
    <m/>
    <m/>
    <m/>
    <n v="211050"/>
    <n v="209719"/>
    <n v="24919"/>
    <n v="24669"/>
    <n v="223633"/>
    <n v="222559"/>
    <n v="459602"/>
    <n v="15320.066666666668"/>
    <n v="456947"/>
    <n v="15231.566666666668"/>
    <n v="12153"/>
    <n v="13475"/>
    <n v="459602"/>
    <n v="456947"/>
    <m/>
    <m/>
    <m/>
    <m/>
    <m/>
    <m/>
    <m/>
    <m/>
    <n v="0"/>
    <n v="0"/>
    <n v="0"/>
    <n v="0"/>
    <m/>
    <m/>
    <n v="0"/>
    <n v="0"/>
  </r>
  <r>
    <x v="5"/>
    <s v="Kentucky State University "/>
    <m/>
    <n v="157058"/>
    <x v="3"/>
    <s v="sem"/>
    <m/>
    <m/>
    <m/>
    <n v="29269"/>
    <n v="28955"/>
    <n v="4031"/>
    <n v="3801"/>
    <n v="30478"/>
    <n v="27941"/>
    <n v="63778"/>
    <n v="2125.9333333333334"/>
    <n v="60697"/>
    <n v="2023.2333333333333"/>
    <n v="490"/>
    <n v="1436"/>
    <n v="63778"/>
    <n v="60697"/>
    <m/>
    <m/>
    <m/>
    <m/>
    <m/>
    <m/>
    <m/>
    <m/>
    <n v="0"/>
    <n v="0"/>
    <n v="0"/>
    <n v="0"/>
    <m/>
    <m/>
    <n v="0"/>
    <n v="0"/>
  </r>
  <r>
    <x v="5"/>
    <s v="Northern Kentucky University "/>
    <s v="Met the criteria for Four-Year 3 in 2012-13."/>
    <n v="157447"/>
    <x v="3"/>
    <s v="sem"/>
    <m/>
    <m/>
    <m/>
    <n v="149605"/>
    <n v="149607"/>
    <n v="22457"/>
    <n v="19078"/>
    <n v="162661"/>
    <n v="163225"/>
    <n v="334723"/>
    <n v="11157.433333333332"/>
    <n v="331910"/>
    <n v="11063.666666666666"/>
    <n v="4106"/>
    <n v="4064"/>
    <n v="334723"/>
    <n v="331910"/>
    <m/>
    <m/>
    <m/>
    <m/>
    <m/>
    <m/>
    <m/>
    <m/>
    <n v="0"/>
    <n v="0"/>
    <n v="0"/>
    <n v="0"/>
    <m/>
    <m/>
    <n v="0"/>
    <n v="0"/>
  </r>
  <r>
    <x v="5"/>
    <s v="Bluegrass Community and Technical College"/>
    <m/>
    <n v="157173"/>
    <x v="6"/>
    <s v="sem"/>
    <m/>
    <m/>
    <m/>
    <n v="123732"/>
    <n v="118051"/>
    <n v="27952"/>
    <n v="23850"/>
    <n v="134608"/>
    <n v="124714"/>
    <n v="286292"/>
    <n v="9543.0666666666675"/>
    <n v="266615"/>
    <n v="8887.1666666666661"/>
    <n v="7198"/>
    <n v="7826"/>
    <n v="286292"/>
    <n v="266615"/>
    <m/>
    <m/>
    <m/>
    <m/>
    <m/>
    <m/>
    <m/>
    <m/>
    <n v="0"/>
    <n v="0"/>
    <n v="0"/>
    <n v="0"/>
    <m/>
    <m/>
    <n v="0"/>
    <n v="0"/>
  </r>
  <r>
    <x v="5"/>
    <s v="Jefferson Community and Technical College "/>
    <m/>
    <n v="156921"/>
    <x v="6"/>
    <s v="sem"/>
    <m/>
    <m/>
    <m/>
    <n v="120585"/>
    <n v="112521"/>
    <n v="22034"/>
    <n v="18247"/>
    <n v="123792"/>
    <n v="115977"/>
    <n v="266411"/>
    <n v="8880.3666666666668"/>
    <n v="246745"/>
    <n v="8224.8333333333339"/>
    <n v="12829"/>
    <n v="9837"/>
    <n v="266411"/>
    <n v="246745"/>
    <m/>
    <m/>
    <m/>
    <m/>
    <m/>
    <m/>
    <m/>
    <m/>
    <n v="0"/>
    <n v="0"/>
    <n v="0"/>
    <n v="0"/>
    <m/>
    <m/>
    <n v="0"/>
    <n v="0"/>
  </r>
  <r>
    <x v="5"/>
    <s v="Ashland Community and Technical College"/>
    <m/>
    <n v="156231"/>
    <x v="7"/>
    <s v="sem"/>
    <m/>
    <m/>
    <m/>
    <n v="35108"/>
    <n v="32226"/>
    <n v="8480"/>
    <n v="6956"/>
    <n v="43144"/>
    <n v="36818"/>
    <n v="86732"/>
    <n v="2891.0666666666666"/>
    <n v="76000"/>
    <n v="2533.3333333333335"/>
    <n v="9358"/>
    <n v="6733"/>
    <n v="86732"/>
    <n v="76000"/>
    <m/>
    <m/>
    <m/>
    <m/>
    <m/>
    <m/>
    <m/>
    <m/>
    <n v="0"/>
    <n v="0"/>
    <n v="0"/>
    <n v="0"/>
    <m/>
    <m/>
    <n v="0"/>
    <n v="0"/>
  </r>
  <r>
    <x v="5"/>
    <s v="Big Sandy Community and Technical College "/>
    <m/>
    <n v="157553"/>
    <x v="7"/>
    <s v="sem"/>
    <m/>
    <m/>
    <m/>
    <n v="40087"/>
    <n v="36595"/>
    <n v="7575"/>
    <n v="6122"/>
    <n v="40140"/>
    <n v="37516"/>
    <n v="87802"/>
    <n v="2926.7333333333331"/>
    <n v="80233"/>
    <n v="2674.4333333333334"/>
    <n v="2355"/>
    <n v="2386"/>
    <n v="87802"/>
    <n v="80233"/>
    <m/>
    <m/>
    <m/>
    <m/>
    <m/>
    <m/>
    <m/>
    <m/>
    <n v="0"/>
    <n v="0"/>
    <n v="0"/>
    <n v="0"/>
    <m/>
    <m/>
    <n v="0"/>
    <n v="0"/>
  </r>
  <r>
    <x v="5"/>
    <s v="Elizabethtown Community and Technical College "/>
    <m/>
    <n v="156648"/>
    <x v="7"/>
    <s v="sem"/>
    <m/>
    <m/>
    <m/>
    <n v="56602"/>
    <n v="53582"/>
    <n v="10429"/>
    <n v="7876"/>
    <n v="60635"/>
    <n v="55707"/>
    <n v="127666"/>
    <n v="4255.5333333333338"/>
    <n v="117165"/>
    <n v="3905.5"/>
    <n v="2349"/>
    <n v="2544"/>
    <n v="127666"/>
    <n v="117165"/>
    <m/>
    <m/>
    <m/>
    <m/>
    <m/>
    <m/>
    <m/>
    <m/>
    <n v="0"/>
    <n v="0"/>
    <n v="0"/>
    <n v="0"/>
    <m/>
    <m/>
    <n v="0"/>
    <n v="0"/>
  </r>
  <r>
    <x v="5"/>
    <s v="Hazard Community and Technical College"/>
    <s v="Reclassified: met the criteria for classification as a Two-Year 2 in 2010-11, 2011-12, and 2012-13."/>
    <n v="156790"/>
    <x v="7"/>
    <s v="sem"/>
    <m/>
    <m/>
    <m/>
    <n v="29430"/>
    <n v="27343"/>
    <n v="5648"/>
    <n v="4937"/>
    <n v="33285"/>
    <n v="29360"/>
    <n v="68363"/>
    <n v="2278.7666666666669"/>
    <n v="61640"/>
    <n v="2054.6666666666665"/>
    <n v="4848"/>
    <n v="2447"/>
    <n v="68363"/>
    <n v="61640"/>
    <m/>
    <m/>
    <m/>
    <m/>
    <m/>
    <m/>
    <m/>
    <m/>
    <n v="0"/>
    <n v="0"/>
    <n v="0"/>
    <n v="0"/>
    <m/>
    <m/>
    <n v="0"/>
    <n v="0"/>
  </r>
  <r>
    <x v="5"/>
    <s v="Hopkinsville Community College "/>
    <m/>
    <n v="156860"/>
    <x v="7"/>
    <s v="sem"/>
    <m/>
    <m/>
    <m/>
    <n v="33542"/>
    <n v="33696"/>
    <n v="8530"/>
    <n v="6330"/>
    <n v="36857"/>
    <n v="31626"/>
    <n v="78929"/>
    <n v="2630.9666666666667"/>
    <n v="71652"/>
    <n v="2388.4"/>
    <n v="2196"/>
    <n v="2063"/>
    <n v="78929"/>
    <n v="71652"/>
    <m/>
    <m/>
    <m/>
    <m/>
    <m/>
    <m/>
    <m/>
    <m/>
    <n v="0"/>
    <n v="0"/>
    <n v="0"/>
    <n v="0"/>
    <m/>
    <m/>
    <n v="0"/>
    <n v="0"/>
  </r>
  <r>
    <x v="5"/>
    <s v="Madisonville Community College"/>
    <m/>
    <n v="157304"/>
    <x v="7"/>
    <s v="sem"/>
    <m/>
    <m/>
    <m/>
    <n v="28895"/>
    <n v="27044"/>
    <n v="3252"/>
    <n v="3725"/>
    <n v="30523"/>
    <n v="30585"/>
    <n v="62670"/>
    <n v="2089"/>
    <n v="61354"/>
    <n v="2045.1333333333334"/>
    <n v="4474"/>
    <n v="4478"/>
    <n v="62670"/>
    <n v="61354"/>
    <m/>
    <m/>
    <m/>
    <m/>
    <m/>
    <m/>
    <m/>
    <m/>
    <n v="0"/>
    <n v="0"/>
    <n v="0"/>
    <n v="0"/>
    <m/>
    <m/>
    <n v="0"/>
    <n v="0"/>
  </r>
  <r>
    <x v="5"/>
    <s v="Maysville Community and Technical College "/>
    <m/>
    <n v="157331"/>
    <x v="7"/>
    <s v="sem"/>
    <m/>
    <m/>
    <m/>
    <n v="47733"/>
    <n v="45378"/>
    <n v="10304"/>
    <n v="6944"/>
    <n v="45934"/>
    <n v="42640"/>
    <n v="103971"/>
    <n v="3465.7"/>
    <n v="94962"/>
    <n v="3165.4"/>
    <n v="7272"/>
    <n v="5506"/>
    <n v="103971"/>
    <n v="94962"/>
    <m/>
    <m/>
    <m/>
    <m/>
    <m/>
    <m/>
    <m/>
    <m/>
    <n v="0"/>
    <n v="0"/>
    <n v="0"/>
    <n v="0"/>
    <m/>
    <m/>
    <n v="0"/>
    <n v="0"/>
  </r>
  <r>
    <x v="5"/>
    <s v="Owensboro Community and Technical College "/>
    <m/>
    <n v="247940"/>
    <x v="7"/>
    <s v="sem"/>
    <m/>
    <m/>
    <m/>
    <n v="42505"/>
    <n v="39349"/>
    <n v="5971"/>
    <n v="5798"/>
    <n v="48398"/>
    <n v="41080"/>
    <n v="96874"/>
    <n v="3229.1333333333332"/>
    <n v="86227"/>
    <n v="2874.2333333333331"/>
    <n v="16621"/>
    <n v="7433"/>
    <n v="96874"/>
    <n v="86227"/>
    <m/>
    <m/>
    <m/>
    <m/>
    <m/>
    <m/>
    <m/>
    <m/>
    <n v="0"/>
    <n v="0"/>
    <n v="0"/>
    <n v="0"/>
    <m/>
    <m/>
    <n v="0"/>
    <n v="0"/>
  </r>
  <r>
    <x v="5"/>
    <s v="Somerset Community and Technical College "/>
    <m/>
    <n v="157711"/>
    <x v="7"/>
    <s v="sem"/>
    <m/>
    <m/>
    <m/>
    <n v="77066"/>
    <n v="71077"/>
    <n v="13713"/>
    <n v="8358"/>
    <n v="82170"/>
    <n v="66292"/>
    <n v="172949"/>
    <n v="5764.9666666666662"/>
    <n v="145727"/>
    <n v="4857.5666666666666"/>
    <n v="10299"/>
    <n v="5487"/>
    <n v="172949"/>
    <n v="145727"/>
    <m/>
    <m/>
    <m/>
    <m/>
    <m/>
    <m/>
    <m/>
    <m/>
    <n v="0"/>
    <n v="0"/>
    <n v="0"/>
    <n v="0"/>
    <m/>
    <m/>
    <n v="0"/>
    <n v="0"/>
  </r>
  <r>
    <x v="5"/>
    <s v="Southeast Kentucky Community and Technical College"/>
    <m/>
    <n v="157739"/>
    <x v="7"/>
    <s v="sem"/>
    <m/>
    <m/>
    <m/>
    <n v="32887"/>
    <n v="30732"/>
    <n v="4019"/>
    <n v="2787"/>
    <n v="35094"/>
    <n v="33101"/>
    <n v="72000"/>
    <n v="2400"/>
    <n v="66620"/>
    <n v="2220.6666666666665"/>
    <n v="5024"/>
    <n v="4698"/>
    <n v="72000"/>
    <n v="66620"/>
    <m/>
    <m/>
    <m/>
    <m/>
    <m/>
    <m/>
    <m/>
    <m/>
    <n v="0"/>
    <n v="0"/>
    <n v="0"/>
    <n v="0"/>
    <m/>
    <m/>
    <n v="0"/>
    <n v="0"/>
  </r>
  <r>
    <x v="5"/>
    <s v="West Kentucky Community and Technical College"/>
    <m/>
    <n v="157483"/>
    <x v="7"/>
    <s v="sem"/>
    <m/>
    <m/>
    <m/>
    <n v="54242"/>
    <n v="53864"/>
    <n v="11607"/>
    <n v="9873"/>
    <n v="62468"/>
    <n v="59691"/>
    <n v="128317"/>
    <n v="4277.2333333333336"/>
    <n v="123428"/>
    <n v="4114.2666666666664"/>
    <n v="10705"/>
    <n v="10212"/>
    <n v="128317"/>
    <n v="123428"/>
    <m/>
    <m/>
    <m/>
    <m/>
    <m/>
    <m/>
    <m/>
    <m/>
    <n v="0"/>
    <n v="0"/>
    <n v="0"/>
    <n v="0"/>
    <m/>
    <m/>
    <n v="0"/>
    <n v="0"/>
  </r>
  <r>
    <x v="5"/>
    <s v="Henderson Community College "/>
    <m/>
    <n v="156851"/>
    <x v="8"/>
    <s v="sem"/>
    <m/>
    <m/>
    <m/>
    <n v="18837"/>
    <n v="17174"/>
    <n v="3798"/>
    <n v="2782"/>
    <n v="20600"/>
    <n v="18257"/>
    <n v="43235"/>
    <n v="1441.1666666666667"/>
    <n v="38213"/>
    <n v="1273.7666666666667"/>
    <n v="1619"/>
    <n v="1813"/>
    <n v="43235"/>
    <n v="38213"/>
    <m/>
    <m/>
    <m/>
    <m/>
    <m/>
    <m/>
    <m/>
    <m/>
    <n v="0"/>
    <n v="0"/>
    <n v="0"/>
    <n v="0"/>
    <m/>
    <m/>
    <n v="0"/>
    <n v="0"/>
  </r>
  <r>
    <x v="5"/>
    <s v="Gateway Community and Technical College"/>
    <m/>
    <n v="157438"/>
    <x v="9"/>
    <s v="sem"/>
    <m/>
    <m/>
    <m/>
    <n v="32870"/>
    <n v="32686"/>
    <n v="7251"/>
    <n v="6560"/>
    <n v="35036"/>
    <n v="33536"/>
    <n v="75157"/>
    <n v="2505.2333333333331"/>
    <n v="72782"/>
    <n v="2426.0666666666666"/>
    <n v="3290"/>
    <n v="2416"/>
    <n v="75157"/>
    <n v="72782"/>
    <m/>
    <m/>
    <m/>
    <m/>
    <m/>
    <m/>
    <m/>
    <m/>
    <n v="0"/>
    <n v="0"/>
    <n v="0"/>
    <n v="0"/>
    <m/>
    <m/>
    <n v="0"/>
    <n v="0"/>
  </r>
  <r>
    <x v="5"/>
    <s v="Southcentral Kentucky Community and Technical College"/>
    <m/>
    <n v="156338"/>
    <x v="9"/>
    <s v="sem"/>
    <m/>
    <m/>
    <m/>
    <n v="29052"/>
    <n v="33739"/>
    <n v="4837"/>
    <n v="6299"/>
    <n v="35470"/>
    <n v="38592"/>
    <n v="69359"/>
    <n v="2311.9666666666667"/>
    <n v="78630"/>
    <n v="2621"/>
    <n v="5845"/>
    <n v="4202"/>
    <n v="69359"/>
    <n v="78630"/>
    <m/>
    <m/>
    <m/>
    <m/>
    <m/>
    <m/>
    <m/>
    <m/>
    <n v="0"/>
    <n v="0"/>
    <n v="0"/>
    <n v="0"/>
    <m/>
    <m/>
    <n v="0"/>
    <n v="0"/>
  </r>
  <r>
    <x v="6"/>
    <s v="Louisiana State University and A&amp;M College"/>
    <m/>
    <n v="159391"/>
    <x v="0"/>
    <s v="sem"/>
    <s v="sem"/>
    <m/>
    <m/>
    <n v="321960"/>
    <n v="321021"/>
    <n v="45694"/>
    <n v="43468"/>
    <n v="359983"/>
    <n v="360518"/>
    <n v="727637"/>
    <n v="24254.566666666666"/>
    <n v="725007"/>
    <n v="24166.9"/>
    <n v="1574"/>
    <n v="2047"/>
    <n v="727637"/>
    <n v="725007"/>
    <m/>
    <m/>
    <m/>
    <m/>
    <m/>
    <m/>
    <m/>
    <m/>
    <n v="0"/>
    <n v="0"/>
    <n v="0"/>
    <n v="0"/>
    <m/>
    <m/>
    <n v="0"/>
    <n v="0"/>
  </r>
  <r>
    <x v="6"/>
    <s v="Louisiana Tech University "/>
    <m/>
    <n v="159647"/>
    <x v="1"/>
    <s v="quar"/>
    <s v="quar"/>
    <n v="67969"/>
    <n v="69068"/>
    <n v="69219"/>
    <n v="69697"/>
    <n v="17543"/>
    <n v="16955"/>
    <n v="79602"/>
    <n v="76434"/>
    <n v="234333"/>
    <n v="7811.1"/>
    <n v="232154"/>
    <n v="7738.4666666666662"/>
    <n v="10075"/>
    <n v="12178"/>
    <n v="234333"/>
    <n v="232154"/>
    <m/>
    <m/>
    <m/>
    <m/>
    <m/>
    <m/>
    <m/>
    <m/>
    <n v="0"/>
    <n v="0"/>
    <n v="0"/>
    <n v="0"/>
    <m/>
    <m/>
    <n v="0"/>
    <n v="0"/>
  </r>
  <r>
    <x v="6"/>
    <s v="University of Louisiana at Lafayette"/>
    <m/>
    <n v="160658"/>
    <x v="1"/>
    <s v="sem"/>
    <s v="sem"/>
    <m/>
    <m/>
    <n v="183146"/>
    <n v="184501"/>
    <n v="25735"/>
    <n v="24934"/>
    <n v="201949"/>
    <n v="195627"/>
    <n v="410830"/>
    <n v="13694.333333333334"/>
    <n v="405062"/>
    <n v="13502.066666666668"/>
    <n v="992"/>
    <n v="1724"/>
    <n v="410830"/>
    <n v="405062"/>
    <m/>
    <m/>
    <m/>
    <m/>
    <m/>
    <m/>
    <m/>
    <m/>
    <n v="0"/>
    <n v="0"/>
    <n v="0"/>
    <n v="0"/>
    <m/>
    <m/>
    <n v="0"/>
    <n v="0"/>
  </r>
  <r>
    <x v="6"/>
    <s v="University of New Orleans"/>
    <m/>
    <n v="159939"/>
    <x v="1"/>
    <s v="sem"/>
    <s v="sem"/>
    <m/>
    <m/>
    <n v="96961"/>
    <n v="92318"/>
    <n v="18653"/>
    <n v="18426"/>
    <n v="101303"/>
    <n v="95073"/>
    <n v="216917"/>
    <n v="7230.5666666666666"/>
    <n v="205817"/>
    <n v="6860.5666666666666"/>
    <n v="613"/>
    <n v="557"/>
    <n v="216917"/>
    <n v="205817"/>
    <m/>
    <m/>
    <m/>
    <m/>
    <m/>
    <m/>
    <m/>
    <m/>
    <n v="0"/>
    <n v="0"/>
    <n v="0"/>
    <n v="0"/>
    <m/>
    <m/>
    <n v="0"/>
    <n v="0"/>
  </r>
  <r>
    <x v="6"/>
    <s v="Southeastern Louisiana University "/>
    <m/>
    <n v="160612"/>
    <x v="2"/>
    <s v="sem"/>
    <s v="sem"/>
    <m/>
    <m/>
    <n v="166891"/>
    <n v="162619"/>
    <n v="25518"/>
    <n v="21975"/>
    <n v="175070"/>
    <n v="173089"/>
    <n v="367479"/>
    <n v="12249.3"/>
    <n v="357683"/>
    <n v="11922.766666666666"/>
    <n v="9364"/>
    <n v="9149"/>
    <n v="367479"/>
    <n v="357683"/>
    <m/>
    <m/>
    <m/>
    <m/>
    <m/>
    <m/>
    <m/>
    <m/>
    <n v="0"/>
    <n v="0"/>
    <n v="0"/>
    <n v="0"/>
    <m/>
    <m/>
    <n v="0"/>
    <n v="0"/>
  </r>
  <r>
    <x v="6"/>
    <s v="Southern University and A&amp;M College at Baton Rouge "/>
    <s v="Met the criteria for Four-Year 2 in 2012-13."/>
    <n v="160621"/>
    <x v="2"/>
    <s v="sem"/>
    <s v="sem"/>
    <m/>
    <m/>
    <n v="79786"/>
    <n v="74723"/>
    <n v="17343"/>
    <n v="10996"/>
    <n v="78761"/>
    <n v="73535"/>
    <n v="175890"/>
    <n v="5863"/>
    <n v="159254"/>
    <n v="5308.4666666666662"/>
    <n v="219"/>
    <n v="142"/>
    <n v="175890"/>
    <n v="159254"/>
    <m/>
    <m/>
    <m/>
    <m/>
    <m/>
    <m/>
    <m/>
    <m/>
    <n v="0"/>
    <n v="0"/>
    <n v="0"/>
    <n v="0"/>
    <m/>
    <m/>
    <n v="0"/>
    <n v="0"/>
  </r>
  <r>
    <x v="6"/>
    <s v="University of Louisiana at Monroe"/>
    <m/>
    <n v="159993"/>
    <x v="2"/>
    <s v="sem"/>
    <s v="sem"/>
    <n v="2599"/>
    <n v="2643"/>
    <n v="76512"/>
    <n v="74963"/>
    <n v="25494"/>
    <n v="16684"/>
    <n v="86222"/>
    <n v="85842"/>
    <n v="190827"/>
    <n v="6360.9"/>
    <n v="180132"/>
    <n v="6004.4"/>
    <n v="8899"/>
    <n v="13524"/>
    <n v="190827"/>
    <n v="180132"/>
    <m/>
    <m/>
    <m/>
    <m/>
    <m/>
    <m/>
    <m/>
    <m/>
    <n v="0"/>
    <n v="0"/>
    <n v="0"/>
    <n v="0"/>
    <m/>
    <m/>
    <n v="0"/>
    <n v="0"/>
  </r>
  <r>
    <x v="6"/>
    <s v="Grambling State University"/>
    <m/>
    <n v="159009"/>
    <x v="3"/>
    <s v="sem"/>
    <s v="sem"/>
    <m/>
    <m/>
    <n v="57133"/>
    <n v="57258"/>
    <n v="15132"/>
    <n v="11522"/>
    <n v="61060"/>
    <n v="60356"/>
    <n v="133325"/>
    <n v="4444.166666666667"/>
    <n v="129136"/>
    <n v="4304.5333333333338"/>
    <n v="129"/>
    <n v="282"/>
    <n v="133325"/>
    <n v="129136"/>
    <m/>
    <m/>
    <m/>
    <m/>
    <m/>
    <m/>
    <m/>
    <m/>
    <n v="0"/>
    <n v="0"/>
    <n v="0"/>
    <n v="0"/>
    <m/>
    <m/>
    <n v="0"/>
    <n v="0"/>
  </r>
  <r>
    <x v="6"/>
    <s v="Louisiana State University in Shreveport"/>
    <m/>
    <n v="159416"/>
    <x v="3"/>
    <s v="sem"/>
    <s v="sem"/>
    <m/>
    <m/>
    <n v="40140"/>
    <n v="40658"/>
    <n v="9056"/>
    <n v="7099"/>
    <n v="42238"/>
    <n v="41384"/>
    <n v="91434"/>
    <n v="3047.8"/>
    <n v="89141"/>
    <n v="2971.3666666666668"/>
    <n v="7771"/>
    <n v="11114"/>
    <n v="91434"/>
    <n v="89141"/>
    <m/>
    <m/>
    <m/>
    <m/>
    <m/>
    <m/>
    <m/>
    <m/>
    <n v="0"/>
    <n v="0"/>
    <n v="0"/>
    <n v="0"/>
    <m/>
    <m/>
    <n v="0"/>
    <n v="0"/>
  </r>
  <r>
    <x v="6"/>
    <s v="McNeese State University"/>
    <m/>
    <n v="159717"/>
    <x v="3"/>
    <s v="sem"/>
    <s v="sem"/>
    <m/>
    <m/>
    <n v="99274"/>
    <n v="97806"/>
    <n v="13537"/>
    <n v="12418"/>
    <n v="105150"/>
    <n v="103403"/>
    <n v="217961"/>
    <n v="7265.3666666666668"/>
    <n v="213627"/>
    <n v="7120.9"/>
    <n v="5793"/>
    <n v="5685"/>
    <n v="217961"/>
    <n v="213627"/>
    <m/>
    <m/>
    <m/>
    <m/>
    <m/>
    <m/>
    <m/>
    <m/>
    <n v="0"/>
    <n v="0"/>
    <n v="0"/>
    <n v="0"/>
    <m/>
    <m/>
    <n v="0"/>
    <n v="0"/>
  </r>
  <r>
    <x v="6"/>
    <s v="Nicholls State University "/>
    <m/>
    <n v="159966"/>
    <x v="3"/>
    <s v="sem"/>
    <s v="sem"/>
    <m/>
    <m/>
    <n v="77075"/>
    <n v="73786"/>
    <n v="16318"/>
    <n v="11331"/>
    <n v="81554"/>
    <n v="79365"/>
    <n v="174947"/>
    <n v="5831.5666666666666"/>
    <n v="164482"/>
    <n v="5482.7333333333336"/>
    <n v="1011"/>
    <n v="1020"/>
    <n v="174947"/>
    <n v="164482"/>
    <m/>
    <m/>
    <m/>
    <m/>
    <m/>
    <m/>
    <m/>
    <m/>
    <n v="0"/>
    <n v="0"/>
    <n v="0"/>
    <n v="0"/>
    <m/>
    <m/>
    <n v="0"/>
    <n v="0"/>
  </r>
  <r>
    <x v="6"/>
    <s v="Northwestern State University"/>
    <m/>
    <n v="160038"/>
    <x v="3"/>
    <s v="sem"/>
    <s v="sem"/>
    <m/>
    <m/>
    <n v="93649"/>
    <n v="92476"/>
    <n v="22572"/>
    <n v="19687"/>
    <n v="99684"/>
    <n v="100426"/>
    <n v="215905"/>
    <n v="7196.833333333333"/>
    <n v="212589"/>
    <n v="7086.3"/>
    <n v="5488"/>
    <n v="5504"/>
    <n v="215905"/>
    <n v="212589"/>
    <m/>
    <m/>
    <m/>
    <m/>
    <m/>
    <m/>
    <m/>
    <m/>
    <n v="0"/>
    <n v="0"/>
    <n v="0"/>
    <n v="0"/>
    <m/>
    <m/>
    <n v="0"/>
    <n v="0"/>
  </r>
  <r>
    <x v="6"/>
    <s v="Southern University at New Orleans"/>
    <s v="Met the criteria for Four-Year 5 in 2012-13."/>
    <n v="160630"/>
    <x v="3"/>
    <s v="sem"/>
    <s v="sem"/>
    <m/>
    <m/>
    <n v="33100"/>
    <n v="38111"/>
    <n v="5563"/>
    <n v="5480"/>
    <n v="38090"/>
    <n v="35925"/>
    <n v="76753"/>
    <n v="2558.4333333333334"/>
    <n v="79516"/>
    <n v="2650.5333333333333"/>
    <n v="1353"/>
    <n v="1246"/>
    <n v="76753"/>
    <n v="79516"/>
    <m/>
    <m/>
    <m/>
    <m/>
    <m/>
    <m/>
    <m/>
    <m/>
    <n v="0"/>
    <n v="0"/>
    <n v="0"/>
    <n v="0"/>
    <m/>
    <m/>
    <n v="0"/>
    <n v="0"/>
  </r>
  <r>
    <x v="6"/>
    <s v="Louisiana State University at Alexandria"/>
    <m/>
    <n v="159382"/>
    <x v="5"/>
    <s v="sem"/>
    <s v="sem"/>
    <m/>
    <m/>
    <n v="24708"/>
    <n v="23055"/>
    <n v="5137"/>
    <n v="4552"/>
    <n v="26009"/>
    <n v="24122"/>
    <n v="55854"/>
    <n v="1861.8"/>
    <n v="51729"/>
    <n v="1724.3"/>
    <n v="2930"/>
    <n v="2869"/>
    <n v="55854"/>
    <n v="51729"/>
    <m/>
    <m/>
    <m/>
    <m/>
    <m/>
    <m/>
    <m/>
    <m/>
    <n v="0"/>
    <n v="0"/>
    <n v="0"/>
    <n v="0"/>
    <m/>
    <m/>
    <n v="0"/>
    <n v="0"/>
  </r>
  <r>
    <x v="6"/>
    <s v="Baton Rouge Community College"/>
    <m/>
    <n v="437103"/>
    <x v="6"/>
    <s v="sem"/>
    <s v="sem"/>
    <m/>
    <m/>
    <n v="77210"/>
    <n v="78630"/>
    <n v="11789"/>
    <n v="10495"/>
    <n v="81813"/>
    <n v="87401"/>
    <n v="170812"/>
    <n v="5693.7333333333336"/>
    <n v="176526"/>
    <n v="5884.2"/>
    <n v="2302"/>
    <n v="1847"/>
    <n v="170812"/>
    <n v="176526"/>
    <m/>
    <m/>
    <m/>
    <m/>
    <m/>
    <m/>
    <m/>
    <m/>
    <n v="0"/>
    <n v="0"/>
    <n v="0"/>
    <n v="0"/>
    <m/>
    <m/>
    <n v="0"/>
    <n v="0"/>
  </r>
  <r>
    <x v="6"/>
    <s v="Bossier Parish Community College"/>
    <s v="Reclassified: met the criteria for Two-Year 1 in 2010-11, 2011-12, and 2012-13."/>
    <n v="158431"/>
    <x v="6"/>
    <s v="sem"/>
    <s v="sem"/>
    <m/>
    <m/>
    <n v="68306"/>
    <n v="80514"/>
    <n v="17609"/>
    <n v="17606"/>
    <n v="74088"/>
    <n v="85162"/>
    <n v="160003"/>
    <n v="5333.4333333333334"/>
    <n v="183282"/>
    <n v="6109.4"/>
    <n v="2967"/>
    <n v="3619"/>
    <n v="160003"/>
    <n v="183282"/>
    <m/>
    <m/>
    <m/>
    <m/>
    <m/>
    <m/>
    <m/>
    <m/>
    <n v="0"/>
    <n v="0"/>
    <n v="0"/>
    <n v="0"/>
    <m/>
    <m/>
    <n v="0"/>
    <n v="0"/>
  </r>
  <r>
    <x v="6"/>
    <s v="Delgado Community College "/>
    <m/>
    <n v="158662"/>
    <x v="6"/>
    <s v="sem"/>
    <s v="sem"/>
    <m/>
    <m/>
    <n v="186202"/>
    <n v="192771"/>
    <n v="42309"/>
    <n v="38177"/>
    <n v="200159"/>
    <n v="172000"/>
    <n v="428670"/>
    <n v="14289"/>
    <n v="402948"/>
    <n v="13431.6"/>
    <n v="1393"/>
    <n v="1372"/>
    <n v="428670"/>
    <n v="402948"/>
    <m/>
    <m/>
    <m/>
    <m/>
    <m/>
    <m/>
    <m/>
    <m/>
    <n v="0"/>
    <n v="0"/>
    <n v="0"/>
    <n v="0"/>
    <m/>
    <m/>
    <n v="0"/>
    <n v="0"/>
  </r>
  <r>
    <x v="6"/>
    <s v="Louisiana State University at Eunice"/>
    <m/>
    <n v="159407"/>
    <x v="7"/>
    <s v="sem"/>
    <s v="sem"/>
    <m/>
    <m/>
    <n v="29837"/>
    <n v="27989"/>
    <n v="4759"/>
    <n v="4969"/>
    <n v="28751"/>
    <n v="29014"/>
    <n v="63347"/>
    <n v="2111.5666666666666"/>
    <n v="61972"/>
    <n v="2065.7333333333331"/>
    <n v="3237"/>
    <n v="3283"/>
    <n v="63347"/>
    <n v="61972"/>
    <m/>
    <m/>
    <m/>
    <m/>
    <m/>
    <m/>
    <m/>
    <m/>
    <n v="0"/>
    <n v="0"/>
    <n v="0"/>
    <n v="0"/>
    <m/>
    <m/>
    <n v="0"/>
    <n v="0"/>
  </r>
  <r>
    <x v="6"/>
    <s v="South Louisiana Community College"/>
    <s v="Met the criteria for Two-Year 1 in 2012-13."/>
    <n v="434061"/>
    <x v="7"/>
    <s v="sem"/>
    <s v="sem"/>
    <m/>
    <m/>
    <n v="35271"/>
    <n v="70353.5"/>
    <n v="7912"/>
    <n v="18151"/>
    <n v="36145"/>
    <n v="71265"/>
    <n v="79328"/>
    <n v="2644.2666666666669"/>
    <n v="159769.5"/>
    <n v="5325.65"/>
    <n v="5705"/>
    <n v="15668"/>
    <n v="79328"/>
    <n v="159769.5"/>
    <m/>
    <m/>
    <m/>
    <m/>
    <m/>
    <m/>
    <m/>
    <m/>
    <n v="0"/>
    <n v="0"/>
    <n v="0"/>
    <n v="0"/>
    <m/>
    <m/>
    <n v="0"/>
    <n v="0"/>
  </r>
  <r>
    <x v="6"/>
    <s v="Louisiana Delta Community College"/>
    <s v="Met the criteria for Two-Year 2 in 2011-12 and 2012-13."/>
    <n v="440624"/>
    <x v="8"/>
    <s v="sem"/>
    <s v="sem"/>
    <m/>
    <m/>
    <n v="26832"/>
    <n v="43182.5"/>
    <n v="6985"/>
    <n v="11259.5"/>
    <n v="29062"/>
    <n v="37628"/>
    <n v="62879"/>
    <n v="2095.9666666666667"/>
    <n v="92070"/>
    <n v="3069"/>
    <n v="3654"/>
    <n v="5405"/>
    <n v="62879"/>
    <n v="92070"/>
    <m/>
    <m/>
    <m/>
    <m/>
    <m/>
    <m/>
    <m/>
    <m/>
    <n v="0"/>
    <n v="0"/>
    <n v="0"/>
    <n v="0"/>
    <m/>
    <m/>
    <n v="0"/>
    <n v="0"/>
  </r>
  <r>
    <x v="6"/>
    <s v="Nunez Community College"/>
    <m/>
    <n v="158884"/>
    <x v="8"/>
    <s v="sem"/>
    <s v="sem"/>
    <m/>
    <m/>
    <n v="18029"/>
    <n v="18641"/>
    <n v="4186"/>
    <n v="3734"/>
    <n v="19942"/>
    <n v="19632"/>
    <n v="42157"/>
    <n v="1405.2333333333333"/>
    <n v="42007"/>
    <n v="1400.2333333333333"/>
    <n v="5250"/>
    <n v="5241"/>
    <n v="42157"/>
    <n v="42007"/>
    <m/>
    <m/>
    <m/>
    <m/>
    <m/>
    <m/>
    <m/>
    <m/>
    <n v="0"/>
    <n v="0"/>
    <n v="0"/>
    <n v="0"/>
    <m/>
    <m/>
    <n v="0"/>
    <n v="0"/>
  </r>
  <r>
    <x v="6"/>
    <s v="River Parishes Community College"/>
    <m/>
    <n v="436304"/>
    <x v="8"/>
    <s v="sem"/>
    <s v="sem"/>
    <m/>
    <m/>
    <n v="21170"/>
    <n v="21519"/>
    <n v="5848"/>
    <n v="4445"/>
    <n v="23260"/>
    <n v="28080"/>
    <n v="50278"/>
    <n v="1675.9333333333334"/>
    <n v="54044"/>
    <n v="1801.4666666666667"/>
    <n v="5390"/>
    <n v="9861"/>
    <n v="50278"/>
    <n v="54044"/>
    <m/>
    <m/>
    <m/>
    <m/>
    <m/>
    <m/>
    <m/>
    <m/>
    <n v="0"/>
    <n v="0"/>
    <n v="0"/>
    <n v="0"/>
    <m/>
    <m/>
    <n v="0"/>
    <n v="0"/>
  </r>
  <r>
    <x v="6"/>
    <s v="Southern University in Shreveport"/>
    <s v="Met the criteria for Two-Year 2 in 2011-12 and 2012-13."/>
    <n v="160649"/>
    <x v="8"/>
    <s v="sem"/>
    <s v="sem"/>
    <m/>
    <m/>
    <n v="29670"/>
    <n v="28165"/>
    <n v="7467"/>
    <n v="6743"/>
    <n v="32460"/>
    <n v="31899"/>
    <n v="69597"/>
    <n v="2319.9"/>
    <n v="66807"/>
    <n v="2226.9"/>
    <n v="2125"/>
    <n v="1452"/>
    <n v="69597"/>
    <n v="66807"/>
    <m/>
    <m/>
    <m/>
    <m/>
    <m/>
    <m/>
    <m/>
    <m/>
    <n v="0"/>
    <n v="0"/>
    <n v="0"/>
    <n v="0"/>
    <m/>
    <m/>
    <n v="0"/>
    <n v="0"/>
  </r>
  <r>
    <x v="6"/>
    <s v="Acadiana Technical College"/>
    <m/>
    <n v="159443"/>
    <x v="9"/>
    <s v="sem"/>
    <s v="sem"/>
    <m/>
    <m/>
    <n v="41514.5"/>
    <m/>
    <n v="14624"/>
    <m/>
    <n v="39129"/>
    <m/>
    <n v="95267.5"/>
    <n v="3175.5833333333335"/>
    <n v="0"/>
    <n v="0"/>
    <n v="7039"/>
    <m/>
    <n v="95267.5"/>
    <n v="0"/>
    <m/>
    <m/>
    <m/>
    <m/>
    <m/>
    <m/>
    <m/>
    <m/>
    <n v="0"/>
    <n v="0"/>
    <n v="0"/>
    <n v="0"/>
    <m/>
    <m/>
    <n v="0"/>
    <n v="0"/>
  </r>
  <r>
    <x v="6"/>
    <s v="Capital Area Technical College"/>
    <m/>
    <n v="158352"/>
    <x v="9"/>
    <s v="sem"/>
    <s v="sem"/>
    <m/>
    <m/>
    <n v="31009.5"/>
    <n v="28776"/>
    <n v="9633"/>
    <n v="10033"/>
    <n v="33874"/>
    <n v="51143.5"/>
    <n v="74516.5"/>
    <n v="2483.8833333333332"/>
    <n v="89952.5"/>
    <n v="2998.4166666666665"/>
    <n v="13208"/>
    <n v="14004"/>
    <n v="74516.5"/>
    <n v="89952.5"/>
    <m/>
    <m/>
    <m/>
    <m/>
    <m/>
    <m/>
    <m/>
    <m/>
    <n v="0"/>
    <n v="0"/>
    <n v="0"/>
    <n v="0"/>
    <m/>
    <m/>
    <n v="0"/>
    <n v="0"/>
  </r>
  <r>
    <x v="6"/>
    <s v="Central LA Technical College"/>
    <m/>
    <n v="158088"/>
    <x v="9"/>
    <s v="sem"/>
    <s v="sem"/>
    <m/>
    <m/>
    <n v="26500.5"/>
    <n v="24698.5"/>
    <n v="10503.5"/>
    <n v="8354"/>
    <n v="25255"/>
    <n v="22115"/>
    <n v="62259"/>
    <n v="2075.3000000000002"/>
    <n v="55167.5"/>
    <n v="1838.9166666666667"/>
    <n v="5387"/>
    <n v="4737"/>
    <n v="62259"/>
    <n v="55167.5"/>
    <m/>
    <m/>
    <m/>
    <m/>
    <m/>
    <m/>
    <m/>
    <m/>
    <n v="0"/>
    <n v="0"/>
    <n v="0"/>
    <n v="0"/>
    <m/>
    <m/>
    <n v="0"/>
    <n v="0"/>
  </r>
  <r>
    <x v="6"/>
    <s v="L.E. Fletcher Technical Community College"/>
    <m/>
    <n v="160481"/>
    <x v="9"/>
    <s v="sem"/>
    <s v="sem"/>
    <m/>
    <m/>
    <n v="18142"/>
    <n v="19525"/>
    <n v="3769"/>
    <n v="2905"/>
    <n v="22951"/>
    <n v="23481"/>
    <n v="44862"/>
    <n v="1495.4"/>
    <n v="45911"/>
    <n v="1530.3666666666666"/>
    <n v="1101"/>
    <n v="1428"/>
    <n v="44862"/>
    <n v="45911"/>
    <m/>
    <m/>
    <m/>
    <n v="23015"/>
    <m/>
    <n v="9897"/>
    <m/>
    <n v="17329"/>
    <n v="0"/>
    <n v="0"/>
    <n v="50241"/>
    <n v="55.823333333333331"/>
    <m/>
    <m/>
    <n v="0"/>
    <n v="0"/>
  </r>
  <r>
    <x v="6"/>
    <s v="Northeast Technical College"/>
    <m/>
    <n v="158769"/>
    <x v="9"/>
    <s v="sem"/>
    <s v="sem"/>
    <m/>
    <m/>
    <n v="15188"/>
    <m/>
    <n v="6115"/>
    <m/>
    <n v="15907"/>
    <m/>
    <n v="37210"/>
    <n v="1240.3333333333333"/>
    <n v="0"/>
    <n v="0"/>
    <n v="2807"/>
    <m/>
    <n v="37210"/>
    <n v="0"/>
    <m/>
    <m/>
    <m/>
    <m/>
    <m/>
    <m/>
    <m/>
    <m/>
    <n v="0"/>
    <n v="0"/>
    <n v="0"/>
    <n v="0"/>
    <m/>
    <m/>
    <n v="0"/>
    <n v="0"/>
  </r>
  <r>
    <x v="6"/>
    <s v="Northshore Technical College"/>
    <m/>
    <n v="160667"/>
    <x v="9"/>
    <s v="sem"/>
    <s v="sem"/>
    <m/>
    <m/>
    <n v="25958.5"/>
    <n v="26303.5"/>
    <n v="7698.5"/>
    <n v="5296"/>
    <n v="27292"/>
    <n v="23479"/>
    <n v="60949"/>
    <n v="2031.6333333333334"/>
    <n v="55078.5"/>
    <n v="1835.95"/>
    <n v="12471"/>
    <n v="9223"/>
    <n v="60949"/>
    <n v="55078.5"/>
    <m/>
    <m/>
    <m/>
    <m/>
    <m/>
    <m/>
    <m/>
    <m/>
    <n v="0"/>
    <n v="0"/>
    <n v="0"/>
    <n v="0"/>
    <m/>
    <m/>
    <n v="0"/>
    <n v="0"/>
  </r>
  <r>
    <x v="6"/>
    <s v="Northwest LA Technical College"/>
    <m/>
    <n v="160010"/>
    <x v="9"/>
    <s v="sem"/>
    <s v="sem"/>
    <m/>
    <m/>
    <n v="26921.5"/>
    <n v="25389"/>
    <n v="10637"/>
    <n v="8298"/>
    <n v="27743"/>
    <n v="18412"/>
    <n v="65301.5"/>
    <n v="2176.7166666666667"/>
    <n v="52099"/>
    <n v="1736.6333333333334"/>
    <n v="7735"/>
    <n v="7316"/>
    <n v="65301.5"/>
    <n v="52099"/>
    <m/>
    <m/>
    <m/>
    <m/>
    <m/>
    <m/>
    <m/>
    <m/>
    <n v="0"/>
    <n v="0"/>
    <n v="0"/>
    <n v="0"/>
    <m/>
    <m/>
    <n v="0"/>
    <n v="0"/>
  </r>
  <r>
    <x v="6"/>
    <s v="South Central LA Technical College"/>
    <m/>
    <n v="160913"/>
    <x v="9"/>
    <s v="sem"/>
    <s v="sem"/>
    <m/>
    <m/>
    <n v="22715"/>
    <n v="21196"/>
    <n v="4942"/>
    <n v="4624.5"/>
    <n v="23424"/>
    <n v="37237"/>
    <n v="51081"/>
    <n v="1702.7"/>
    <n v="63057.5"/>
    <n v="2101.9166666666665"/>
    <n v="17017"/>
    <n v="12077"/>
    <n v="51081"/>
    <n v="63057.5"/>
    <m/>
    <m/>
    <m/>
    <n v="31464"/>
    <m/>
    <n v="15976"/>
    <m/>
    <n v="11561"/>
    <n v="0"/>
    <n v="0"/>
    <n v="59001"/>
    <n v="65.556666666666672"/>
    <m/>
    <m/>
    <n v="0"/>
    <n v="0"/>
  </r>
  <r>
    <x v="6"/>
    <s v="Sowela Technical Community College"/>
    <m/>
    <n v="160579"/>
    <x v="9"/>
    <s v="sem"/>
    <s v="sem"/>
    <m/>
    <m/>
    <n v="29361"/>
    <n v="28256"/>
    <n v="7631"/>
    <n v="5669"/>
    <n v="31326"/>
    <n v="30015"/>
    <n v="68318"/>
    <n v="2277.2666666666669"/>
    <n v="63940"/>
    <n v="2131.3333333333335"/>
    <n v="4879"/>
    <n v="3138"/>
    <n v="68318"/>
    <n v="63940"/>
    <m/>
    <m/>
    <m/>
    <m/>
    <m/>
    <m/>
    <m/>
    <m/>
    <n v="0"/>
    <n v="0"/>
    <n v="0"/>
    <n v="0"/>
    <m/>
    <m/>
    <n v="0"/>
    <n v="0"/>
  </r>
  <r>
    <x v="7"/>
    <s v="University of Maryland College Park"/>
    <m/>
    <n v="163286"/>
    <x v="0"/>
    <s v="sem"/>
    <s v="sem"/>
    <n v="12603"/>
    <n v="12014"/>
    <n v="369475"/>
    <n v="366609"/>
    <n v="38207"/>
    <n v="36525"/>
    <n v="379654"/>
    <n v="375427"/>
    <n v="799939"/>
    <n v="26664.633333333335"/>
    <n v="790575"/>
    <n v="26352.5"/>
    <m/>
    <m/>
    <n v="0"/>
    <n v="0"/>
    <m/>
    <m/>
    <m/>
    <m/>
    <m/>
    <m/>
    <m/>
    <m/>
    <n v="0"/>
    <n v="0"/>
    <n v="0"/>
    <n v="0"/>
    <m/>
    <m/>
    <n v="0"/>
    <n v="0"/>
  </r>
  <r>
    <x v="7"/>
    <s v="Morgan State University"/>
    <m/>
    <n v="163453"/>
    <x v="1"/>
    <s v="sem"/>
    <s v="sem"/>
    <n v="1117"/>
    <n v="1605"/>
    <n v="91176"/>
    <n v="85647"/>
    <n v="7556"/>
    <n v="7402"/>
    <n v="91204"/>
    <n v="91104"/>
    <n v="191053"/>
    <n v="6368.4333333333334"/>
    <n v="185758"/>
    <n v="6191.9333333333334"/>
    <m/>
    <m/>
    <n v="0"/>
    <n v="0"/>
    <m/>
    <m/>
    <m/>
    <m/>
    <m/>
    <m/>
    <m/>
    <m/>
    <n v="0"/>
    <n v="0"/>
    <n v="0"/>
    <n v="0"/>
    <m/>
    <m/>
    <n v="0"/>
    <n v="0"/>
  </r>
  <r>
    <x v="7"/>
    <s v="University of Maryland, Baltimore County"/>
    <m/>
    <n v="163268"/>
    <x v="1"/>
    <s v="sem"/>
    <s v="sem"/>
    <n v="4810"/>
    <n v="5052.5"/>
    <n v="132978.5"/>
    <n v="137076.5"/>
    <n v="16631.5"/>
    <n v="18224.5"/>
    <n v="143350"/>
    <n v="147568.5"/>
    <n v="297770"/>
    <n v="9925.6666666666661"/>
    <n v="307922"/>
    <n v="10264.066666666668"/>
    <m/>
    <m/>
    <n v="0"/>
    <n v="0"/>
    <m/>
    <m/>
    <m/>
    <m/>
    <m/>
    <m/>
    <m/>
    <m/>
    <n v="0"/>
    <n v="0"/>
    <n v="0"/>
    <n v="0"/>
    <m/>
    <m/>
    <n v="0"/>
    <n v="0"/>
  </r>
  <r>
    <x v="7"/>
    <s v="Towson University "/>
    <m/>
    <n v="164076"/>
    <x v="2"/>
    <s v="sem"/>
    <s v="sem"/>
    <n v="7090"/>
    <n v="7039"/>
    <n v="230185.5"/>
    <n v="235082"/>
    <n v="25979"/>
    <n v="26279"/>
    <n v="243052"/>
    <n v="247841"/>
    <n v="506306.5"/>
    <n v="16876.883333333335"/>
    <n v="516241"/>
    <n v="17208.033333333333"/>
    <m/>
    <m/>
    <n v="0"/>
    <n v="0"/>
    <m/>
    <m/>
    <m/>
    <m/>
    <m/>
    <m/>
    <m/>
    <m/>
    <n v="0"/>
    <n v="0"/>
    <n v="0"/>
    <n v="0"/>
    <m/>
    <m/>
    <n v="0"/>
    <n v="0"/>
  </r>
  <r>
    <x v="7"/>
    <s v="Bowie State University "/>
    <m/>
    <n v="162007"/>
    <x v="3"/>
    <s v="sem"/>
    <s v="sem"/>
    <n v="1098"/>
    <n v="1311"/>
    <n v="55954"/>
    <n v="54894"/>
    <n v="6095"/>
    <n v="5391"/>
    <n v="59470"/>
    <n v="56623"/>
    <n v="122617"/>
    <n v="4087.2333333333331"/>
    <n v="118219"/>
    <n v="3940.6333333333332"/>
    <m/>
    <m/>
    <n v="0"/>
    <n v="0"/>
    <m/>
    <m/>
    <m/>
    <m/>
    <m/>
    <m/>
    <m/>
    <m/>
    <n v="0"/>
    <n v="0"/>
    <n v="0"/>
    <n v="0"/>
    <m/>
    <m/>
    <n v="0"/>
    <n v="0"/>
  </r>
  <r>
    <x v="7"/>
    <s v="Frostburg State University "/>
    <m/>
    <n v="162584"/>
    <x v="3"/>
    <s v="sem"/>
    <s v="sem"/>
    <n v="2341"/>
    <n v="2314"/>
    <n v="63707.5"/>
    <n v="61273"/>
    <n v="4869"/>
    <n v="5228"/>
    <n v="66062.5"/>
    <n v="64609.5"/>
    <n v="136980"/>
    <n v="4566"/>
    <n v="133424.5"/>
    <n v="4447.4833333333336"/>
    <m/>
    <m/>
    <n v="0"/>
    <n v="0"/>
    <m/>
    <m/>
    <m/>
    <m/>
    <m/>
    <m/>
    <m/>
    <m/>
    <n v="0"/>
    <n v="0"/>
    <n v="0"/>
    <n v="0"/>
    <m/>
    <m/>
    <n v="0"/>
    <n v="0"/>
  </r>
  <r>
    <x v="7"/>
    <s v="Salisbury University "/>
    <m/>
    <n v="163851"/>
    <x v="3"/>
    <s v="sem"/>
    <s v="sem"/>
    <n v="6016"/>
    <n v="6633"/>
    <n v="105704"/>
    <n v="109873"/>
    <n v="6776"/>
    <n v="6883"/>
    <n v="113357"/>
    <n v="114315"/>
    <n v="231853"/>
    <n v="7728.4333333333334"/>
    <n v="237704"/>
    <n v="7923.4666666666662"/>
    <m/>
    <m/>
    <n v="0"/>
    <n v="0"/>
    <m/>
    <m/>
    <m/>
    <m/>
    <m/>
    <m/>
    <m/>
    <m/>
    <n v="0"/>
    <n v="0"/>
    <n v="0"/>
    <n v="0"/>
    <m/>
    <m/>
    <n v="0"/>
    <n v="0"/>
  </r>
  <r>
    <x v="7"/>
    <s v="University of Baltimore"/>
    <s v="Met the criteria for Four-Year 3 in 2012-13."/>
    <n v="161873"/>
    <x v="3"/>
    <s v="sem"/>
    <s v="sem"/>
    <n v="45"/>
    <n v="51"/>
    <n v="32299"/>
    <n v="32983"/>
    <n v="4338"/>
    <n v="4313"/>
    <n v="34822"/>
    <n v="36346"/>
    <n v="71504"/>
    <n v="2383.4666666666667"/>
    <n v="73693"/>
    <n v="2456.4333333333334"/>
    <m/>
    <m/>
    <n v="0"/>
    <n v="0"/>
    <m/>
    <m/>
    <m/>
    <m/>
    <m/>
    <m/>
    <m/>
    <m/>
    <n v="0"/>
    <n v="0"/>
    <n v="0"/>
    <n v="0"/>
    <m/>
    <m/>
    <n v="0"/>
    <n v="0"/>
  </r>
  <r>
    <x v="7"/>
    <s v="University of Maryland Eastern Shore "/>
    <m/>
    <n v="163338"/>
    <x v="3"/>
    <s v="sem"/>
    <s v="sem"/>
    <n v="1412.5"/>
    <n v="1432.5"/>
    <n v="52785"/>
    <n v="50953"/>
    <n v="4186"/>
    <n v="4366"/>
    <n v="55688"/>
    <n v="53763"/>
    <n v="114071.5"/>
    <n v="3802.3833333333332"/>
    <n v="110514.5"/>
    <n v="3683.8166666666666"/>
    <m/>
    <m/>
    <n v="0"/>
    <n v="0"/>
    <m/>
    <m/>
    <m/>
    <m/>
    <m/>
    <m/>
    <m/>
    <m/>
    <n v="0"/>
    <n v="0"/>
    <n v="0"/>
    <n v="0"/>
    <m/>
    <m/>
    <n v="0"/>
    <n v="0"/>
  </r>
  <r>
    <x v="7"/>
    <s v="Coppin State University"/>
    <s v="Reclassified: met the criteria for Four-Year 5 in 2010-11, 2011-12, and 2012-13."/>
    <n v="162283"/>
    <x v="4"/>
    <s v="sem"/>
    <s v="sem"/>
    <n v="858"/>
    <n v="431"/>
    <n v="41129"/>
    <n v="38483"/>
    <n v="6593"/>
    <n v="5144"/>
    <n v="42997"/>
    <n v="41635"/>
    <n v="91577"/>
    <n v="3052.5666666666666"/>
    <n v="85693"/>
    <n v="2856.4333333333334"/>
    <m/>
    <m/>
    <n v="0"/>
    <n v="0"/>
    <m/>
    <m/>
    <m/>
    <m/>
    <m/>
    <m/>
    <m/>
    <m/>
    <n v="0"/>
    <n v="0"/>
    <n v="0"/>
    <n v="0"/>
    <m/>
    <m/>
    <n v="0"/>
    <n v="0"/>
  </r>
  <r>
    <x v="7"/>
    <s v="Saint Mary's College of Maryland"/>
    <m/>
    <n v="163912"/>
    <x v="5"/>
    <s v="sem"/>
    <s v="sem"/>
    <n v="0"/>
    <m/>
    <n v="30983.5"/>
    <n v="31178"/>
    <n v="1368"/>
    <n v="538"/>
    <n v="32801"/>
    <n v="31951"/>
    <n v="65152.5"/>
    <n v="2171.75"/>
    <n v="63667"/>
    <n v="2122.2333333333331"/>
    <m/>
    <m/>
    <n v="0"/>
    <n v="0"/>
    <m/>
    <m/>
    <m/>
    <m/>
    <m/>
    <m/>
    <m/>
    <m/>
    <n v="0"/>
    <n v="0"/>
    <n v="0"/>
    <n v="0"/>
    <m/>
    <m/>
    <n v="0"/>
    <n v="0"/>
  </r>
  <r>
    <x v="7"/>
    <s v="Anne Arundel Community College "/>
    <m/>
    <n v="161767"/>
    <x v="6"/>
    <s v="sem"/>
    <s v="sem"/>
    <n v="3846"/>
    <n v="4135"/>
    <n v="139707"/>
    <n v="137168.5"/>
    <n v="35448"/>
    <n v="34122.5"/>
    <n v="152723"/>
    <n v="148857"/>
    <n v="331724"/>
    <n v="11057.466666666667"/>
    <n v="324283"/>
    <n v="10809.433333333332"/>
    <m/>
    <m/>
    <n v="0"/>
    <n v="0"/>
    <m/>
    <m/>
    <m/>
    <m/>
    <m/>
    <m/>
    <m/>
    <m/>
    <n v="0"/>
    <n v="0"/>
    <n v="0"/>
    <n v="0"/>
    <m/>
    <m/>
    <n v="0"/>
    <n v="0"/>
  </r>
  <r>
    <x v="7"/>
    <s v="College of Southern Maryland"/>
    <m/>
    <n v="162122"/>
    <x v="6"/>
    <s v="sem"/>
    <s v="sem"/>
    <n v="0"/>
    <m/>
    <n v="72079"/>
    <n v="74859"/>
    <n v="16515"/>
    <n v="16741"/>
    <n v="81013"/>
    <n v="80518"/>
    <n v="169607"/>
    <n v="5653.5666666666666"/>
    <n v="172118"/>
    <n v="5737.2666666666664"/>
    <m/>
    <m/>
    <n v="0"/>
    <n v="0"/>
    <m/>
    <m/>
    <m/>
    <m/>
    <m/>
    <m/>
    <m/>
    <m/>
    <n v="0"/>
    <n v="0"/>
    <n v="0"/>
    <n v="0"/>
    <m/>
    <m/>
    <n v="0"/>
    <n v="0"/>
  </r>
  <r>
    <x v="7"/>
    <s v="Community College of Baltimore County (all campuses)"/>
    <m/>
    <n v="434672"/>
    <x v="6"/>
    <s v="sem"/>
    <s v="sem"/>
    <n v="9757"/>
    <n v="11107"/>
    <n v="200719.5"/>
    <n v="198161"/>
    <n v="44985.5"/>
    <n v="40957.5"/>
    <n v="227945.5"/>
    <n v="217863.5"/>
    <n v="483407.5"/>
    <n v="16113.583333333334"/>
    <n v="468089"/>
    <n v="15602.966666666667"/>
    <m/>
    <m/>
    <n v="0"/>
    <n v="0"/>
    <m/>
    <m/>
    <m/>
    <m/>
    <m/>
    <m/>
    <m/>
    <m/>
    <n v="0"/>
    <n v="0"/>
    <n v="0"/>
    <n v="0"/>
    <m/>
    <m/>
    <n v="0"/>
    <n v="0"/>
  </r>
  <r>
    <x v="7"/>
    <s v="Howard Community College "/>
    <m/>
    <n v="162779"/>
    <x v="6"/>
    <s v="sem"/>
    <s v="sem"/>
    <n v="6247"/>
    <n v="6540"/>
    <n v="77777"/>
    <n v="79799"/>
    <n v="18888"/>
    <n v="19276"/>
    <n v="88315"/>
    <n v="88831"/>
    <n v="191227"/>
    <n v="6374.2333333333336"/>
    <n v="194446"/>
    <n v="6481.5333333333338"/>
    <m/>
    <m/>
    <n v="0"/>
    <n v="0"/>
    <m/>
    <m/>
    <m/>
    <m/>
    <m/>
    <m/>
    <m/>
    <m/>
    <n v="0"/>
    <n v="0"/>
    <n v="0"/>
    <n v="0"/>
    <m/>
    <m/>
    <n v="0"/>
    <n v="0"/>
  </r>
  <r>
    <x v="7"/>
    <s v="Montgomery College (all campuses)"/>
    <m/>
    <n v="163426"/>
    <x v="6"/>
    <s v="sem"/>
    <s v="sem"/>
    <n v="4081"/>
    <n v="4482"/>
    <n v="224555"/>
    <n v="302180.2"/>
    <n v="63899"/>
    <n v="163984.6"/>
    <n v="246464"/>
    <n v="315400.7"/>
    <n v="538999"/>
    <n v="17966.633333333335"/>
    <n v="786047.5"/>
    <n v="26201.583333333332"/>
    <m/>
    <m/>
    <n v="0"/>
    <n v="0"/>
    <m/>
    <m/>
    <m/>
    <m/>
    <m/>
    <m/>
    <m/>
    <m/>
    <n v="0"/>
    <n v="0"/>
    <n v="0"/>
    <n v="0"/>
    <m/>
    <m/>
    <n v="0"/>
    <n v="0"/>
  </r>
  <r>
    <x v="7"/>
    <s v="Prince George's Community College "/>
    <m/>
    <n v="163657"/>
    <x v="6"/>
    <s v="sem"/>
    <s v="sem"/>
    <n v="0"/>
    <m/>
    <n v="164335"/>
    <n v="165584"/>
    <n v="59441"/>
    <n v="52135"/>
    <n v="167408"/>
    <n v="161132"/>
    <n v="391184"/>
    <n v="13039.466666666667"/>
    <n v="378851"/>
    <n v="12628.366666666667"/>
    <m/>
    <m/>
    <n v="0"/>
    <n v="0"/>
    <m/>
    <m/>
    <m/>
    <m/>
    <m/>
    <m/>
    <m/>
    <m/>
    <n v="0"/>
    <n v="0"/>
    <n v="0"/>
    <n v="0"/>
    <m/>
    <m/>
    <n v="0"/>
    <n v="0"/>
  </r>
  <r>
    <x v="7"/>
    <s v="Allegany College of Maryland"/>
    <m/>
    <n v="161688"/>
    <x v="7"/>
    <s v="sem"/>
    <s v="sem"/>
    <n v="0"/>
    <m/>
    <n v="36965"/>
    <n v="34173"/>
    <n v="5220"/>
    <n v="5196"/>
    <n v="37813"/>
    <n v="36258"/>
    <n v="79998"/>
    <n v="2666.6"/>
    <n v="75627"/>
    <n v="2520.9"/>
    <m/>
    <m/>
    <n v="0"/>
    <n v="0"/>
    <m/>
    <m/>
    <m/>
    <m/>
    <m/>
    <m/>
    <m/>
    <m/>
    <n v="0"/>
    <n v="0"/>
    <n v="0"/>
    <n v="0"/>
    <m/>
    <m/>
    <n v="0"/>
    <n v="0"/>
  </r>
  <r>
    <x v="7"/>
    <s v="Baltimore City Community College"/>
    <m/>
    <n v="161864"/>
    <x v="7"/>
    <s v="sem"/>
    <s v="sem"/>
    <n v="2197"/>
    <n v="1619"/>
    <n v="67223"/>
    <n v="44922"/>
    <n v="13362"/>
    <n v="8584"/>
    <n v="68377"/>
    <n v="50293"/>
    <n v="151159"/>
    <n v="5038.6333333333332"/>
    <n v="105418"/>
    <n v="3513.9333333333334"/>
    <m/>
    <m/>
    <n v="0"/>
    <n v="0"/>
    <m/>
    <m/>
    <m/>
    <m/>
    <m/>
    <m/>
    <m/>
    <m/>
    <n v="0"/>
    <n v="0"/>
    <n v="0"/>
    <n v="0"/>
    <m/>
    <m/>
    <n v="0"/>
    <n v="0"/>
  </r>
  <r>
    <x v="7"/>
    <s v="Carroll Community College"/>
    <m/>
    <n v="405872"/>
    <x v="7"/>
    <s v="sem"/>
    <s v="sem"/>
    <n v="1916.5"/>
    <n v="2066.5"/>
    <n v="35060"/>
    <n v="33666"/>
    <n v="6582"/>
    <n v="9631.5"/>
    <n v="38335"/>
    <n v="38552"/>
    <n v="81893.5"/>
    <n v="2729.7833333333333"/>
    <n v="83916"/>
    <n v="2797.2"/>
    <m/>
    <m/>
    <n v="0"/>
    <n v="0"/>
    <m/>
    <m/>
    <m/>
    <m/>
    <m/>
    <m/>
    <m/>
    <m/>
    <n v="0"/>
    <n v="0"/>
    <n v="0"/>
    <n v="0"/>
    <m/>
    <m/>
    <n v="0"/>
    <n v="0"/>
  </r>
  <r>
    <x v="7"/>
    <s v="Frederick Community College "/>
    <m/>
    <n v="162557"/>
    <x v="7"/>
    <s v="sem"/>
    <s v="sem"/>
    <n v="2549"/>
    <n v="1892"/>
    <n v="53146"/>
    <n v="52773"/>
    <n v="12954"/>
    <n v="11702"/>
    <n v="55561"/>
    <n v="54083"/>
    <n v="124210"/>
    <n v="4140.333333333333"/>
    <n v="120450"/>
    <n v="4015"/>
    <m/>
    <m/>
    <n v="0"/>
    <n v="0"/>
    <m/>
    <m/>
    <m/>
    <m/>
    <m/>
    <m/>
    <m/>
    <m/>
    <n v="0"/>
    <n v="0"/>
    <n v="0"/>
    <n v="0"/>
    <m/>
    <m/>
    <n v="0"/>
    <n v="0"/>
  </r>
  <r>
    <x v="7"/>
    <s v="Hagerstown Community College "/>
    <m/>
    <n v="162690"/>
    <x v="7"/>
    <s v="sem"/>
    <s v="sem"/>
    <n v="0"/>
    <m/>
    <n v="39049"/>
    <n v="40067"/>
    <n v="12662"/>
    <n v="12217"/>
    <n v="43297"/>
    <n v="43516"/>
    <n v="95008"/>
    <n v="3166.9333333333334"/>
    <n v="95800"/>
    <n v="3193.3333333333335"/>
    <m/>
    <m/>
    <n v="0"/>
    <n v="0"/>
    <m/>
    <m/>
    <m/>
    <m/>
    <m/>
    <m/>
    <m/>
    <m/>
    <n v="0"/>
    <n v="0"/>
    <n v="0"/>
    <n v="0"/>
    <m/>
    <m/>
    <n v="0"/>
    <n v="0"/>
  </r>
  <r>
    <x v="7"/>
    <s v="Harford Community College "/>
    <m/>
    <n v="162706"/>
    <x v="7"/>
    <s v="sem"/>
    <s v="sem"/>
    <n v="2192"/>
    <n v="2342"/>
    <n v="57089.5"/>
    <n v="56942"/>
    <n v="11772"/>
    <n v="12123"/>
    <n v="63740.5"/>
    <n v="64055.5"/>
    <n v="134794"/>
    <n v="4493.1333333333332"/>
    <n v="135462.5"/>
    <n v="4515.416666666667"/>
    <m/>
    <m/>
    <n v="0"/>
    <n v="0"/>
    <m/>
    <m/>
    <m/>
    <m/>
    <m/>
    <m/>
    <m/>
    <m/>
    <n v="0"/>
    <n v="0"/>
    <n v="0"/>
    <n v="0"/>
    <m/>
    <m/>
    <n v="0"/>
    <n v="0"/>
  </r>
  <r>
    <x v="7"/>
    <s v="Wor-Wic Community College "/>
    <m/>
    <n v="164313"/>
    <x v="7"/>
    <s v="sem"/>
    <s v="sem"/>
    <n v="0"/>
    <m/>
    <n v="32278"/>
    <n v="31440"/>
    <n v="8106"/>
    <n v="6593"/>
    <n v="36516"/>
    <n v="33457.5"/>
    <n v="76900"/>
    <n v="2563.3333333333335"/>
    <n v="71490.5"/>
    <n v="2383.0166666666669"/>
    <m/>
    <m/>
    <n v="0"/>
    <n v="0"/>
    <m/>
    <m/>
    <m/>
    <m/>
    <m/>
    <m/>
    <m/>
    <m/>
    <n v="0"/>
    <n v="0"/>
    <n v="0"/>
    <n v="0"/>
    <m/>
    <m/>
    <n v="0"/>
    <n v="0"/>
  </r>
  <r>
    <x v="7"/>
    <s v="Cecil Community College "/>
    <m/>
    <n v="162104"/>
    <x v="8"/>
    <s v="sem"/>
    <s v="sem"/>
    <n v="0"/>
    <m/>
    <n v="21166"/>
    <n v="21772"/>
    <n v="3584"/>
    <n v="3982"/>
    <n v="24301"/>
    <n v="25100"/>
    <n v="49051"/>
    <n v="1635.0333333333333"/>
    <n v="50854"/>
    <n v="1695.1333333333334"/>
    <m/>
    <m/>
    <n v="0"/>
    <n v="0"/>
    <m/>
    <m/>
    <m/>
    <m/>
    <m/>
    <m/>
    <m/>
    <m/>
    <n v="0"/>
    <n v="0"/>
    <n v="0"/>
    <n v="0"/>
    <m/>
    <m/>
    <n v="0"/>
    <n v="0"/>
  </r>
  <r>
    <x v="7"/>
    <s v="Chesapeake College "/>
    <m/>
    <n v="162168"/>
    <x v="8"/>
    <s v="sem"/>
    <s v="sem"/>
    <n v="0"/>
    <m/>
    <n v="24227"/>
    <n v="23661"/>
    <n v="2920"/>
    <n v="2911"/>
    <n v="25825"/>
    <n v="23263"/>
    <n v="52972"/>
    <n v="1765.7333333333333"/>
    <n v="49835"/>
    <n v="1661.1666666666667"/>
    <m/>
    <m/>
    <n v="0"/>
    <n v="0"/>
    <m/>
    <m/>
    <m/>
    <m/>
    <m/>
    <m/>
    <m/>
    <m/>
    <n v="0"/>
    <n v="0"/>
    <n v="0"/>
    <n v="0"/>
    <m/>
    <m/>
    <n v="0"/>
    <n v="0"/>
  </r>
  <r>
    <x v="7"/>
    <s v="Garrett College "/>
    <m/>
    <n v="162609"/>
    <x v="8"/>
    <s v="sem"/>
    <s v="sem"/>
    <n v="131"/>
    <n v="138"/>
    <n v="10179.25"/>
    <n v="10167"/>
    <n v="594"/>
    <n v="617"/>
    <n v="12941.5"/>
    <n v="10956"/>
    <n v="23845.75"/>
    <n v="794.85833333333335"/>
    <n v="21878"/>
    <n v="729.26666666666665"/>
    <m/>
    <m/>
    <n v="0"/>
    <n v="0"/>
    <m/>
    <m/>
    <m/>
    <m/>
    <m/>
    <m/>
    <m/>
    <m/>
    <n v="0"/>
    <n v="0"/>
    <n v="0"/>
    <n v="0"/>
    <m/>
    <m/>
    <n v="0"/>
    <n v="0"/>
  </r>
  <r>
    <x v="8"/>
    <s v="Mississippi State University"/>
    <m/>
    <n v="176080"/>
    <x v="0"/>
    <s v="sem"/>
    <s v="sem"/>
    <m/>
    <m/>
    <n v="189437"/>
    <n v="196347"/>
    <n v="38934"/>
    <n v="36323"/>
    <n v="213629"/>
    <n v="216576"/>
    <n v="442000"/>
    <n v="14733.333333333334"/>
    <n v="449246"/>
    <n v="14974.866666666667"/>
    <m/>
    <m/>
    <n v="0"/>
    <n v="0"/>
    <m/>
    <m/>
    <m/>
    <m/>
    <m/>
    <m/>
    <m/>
    <m/>
    <n v="0"/>
    <n v="0"/>
    <n v="0"/>
    <n v="0"/>
    <m/>
    <m/>
    <n v="0"/>
    <n v="0"/>
  </r>
  <r>
    <x v="8"/>
    <s v="University of Southern Mississippi"/>
    <s v="Met the criteria for Four-Year 2 in 2012-13."/>
    <n v="176372"/>
    <x v="0"/>
    <s v="sem"/>
    <s v="sem"/>
    <m/>
    <m/>
    <n v="147446"/>
    <n v="150178"/>
    <n v="33772"/>
    <n v="30038"/>
    <n v="167105"/>
    <n v="170608"/>
    <n v="348323"/>
    <n v="11610.766666666666"/>
    <n v="350824"/>
    <n v="11694.133333333333"/>
    <m/>
    <m/>
    <n v="0"/>
    <n v="0"/>
    <m/>
    <m/>
    <m/>
    <m/>
    <m/>
    <m/>
    <m/>
    <m/>
    <n v="0"/>
    <n v="0"/>
    <n v="0"/>
    <n v="0"/>
    <m/>
    <m/>
    <n v="0"/>
    <n v="0"/>
  </r>
  <r>
    <x v="8"/>
    <s v="Jackson State University "/>
    <m/>
    <n v="175856"/>
    <x v="1"/>
    <s v="sem"/>
    <s v="sem"/>
    <m/>
    <m/>
    <n v="72271.5"/>
    <n v="75959.5"/>
    <n v="20164"/>
    <n v="13757"/>
    <n v="78970"/>
    <n v="75741"/>
    <n v="171405.5"/>
    <n v="5713.5166666666664"/>
    <n v="165457.5"/>
    <n v="5515.25"/>
    <m/>
    <m/>
    <n v="0"/>
    <n v="0"/>
    <m/>
    <m/>
    <m/>
    <m/>
    <m/>
    <m/>
    <m/>
    <m/>
    <n v="0"/>
    <n v="0"/>
    <n v="0"/>
    <n v="0"/>
    <m/>
    <m/>
    <n v="0"/>
    <n v="0"/>
  </r>
  <r>
    <x v="8"/>
    <s v="University of Mississippi"/>
    <m/>
    <n v="176017"/>
    <x v="1"/>
    <s v="sem"/>
    <s v="sem"/>
    <m/>
    <m/>
    <n v="188344"/>
    <n v="202880"/>
    <n v="47586"/>
    <n v="43436"/>
    <n v="206970"/>
    <n v="216740"/>
    <n v="442900"/>
    <n v="14763.333333333334"/>
    <n v="463056"/>
    <n v="15435.2"/>
    <m/>
    <m/>
    <n v="0"/>
    <n v="0"/>
    <m/>
    <m/>
    <m/>
    <m/>
    <m/>
    <m/>
    <m/>
    <m/>
    <n v="0"/>
    <n v="0"/>
    <n v="0"/>
    <n v="0"/>
    <m/>
    <m/>
    <n v="0"/>
    <n v="0"/>
  </r>
  <r>
    <x v="8"/>
    <s v="Alcorn State University"/>
    <m/>
    <n v="175342"/>
    <x v="3"/>
    <s v="sem"/>
    <s v="sem"/>
    <m/>
    <m/>
    <n v="38675"/>
    <n v="39157"/>
    <n v="12594"/>
    <n v="8426"/>
    <n v="43097"/>
    <n v="42493"/>
    <n v="94366"/>
    <n v="3145.5333333333333"/>
    <n v="90076"/>
    <n v="3002.5333333333333"/>
    <m/>
    <m/>
    <n v="0"/>
    <n v="0"/>
    <m/>
    <m/>
    <m/>
    <m/>
    <m/>
    <m/>
    <m/>
    <m/>
    <n v="0"/>
    <n v="0"/>
    <n v="0"/>
    <n v="0"/>
    <m/>
    <m/>
    <n v="0"/>
    <n v="0"/>
  </r>
  <r>
    <x v="8"/>
    <s v="Delta State University"/>
    <m/>
    <n v="175616"/>
    <x v="3"/>
    <s v="sem"/>
    <s v="sem"/>
    <m/>
    <m/>
    <n v="33006"/>
    <n v="32117"/>
    <n v="6548"/>
    <n v="5632"/>
    <n v="35560"/>
    <n v="33378"/>
    <n v="75114"/>
    <n v="2503.8000000000002"/>
    <n v="71127"/>
    <n v="2370.9"/>
    <m/>
    <m/>
    <n v="0"/>
    <n v="0"/>
    <m/>
    <m/>
    <m/>
    <m/>
    <m/>
    <m/>
    <m/>
    <m/>
    <n v="0"/>
    <n v="0"/>
    <n v="0"/>
    <n v="0"/>
    <m/>
    <m/>
    <n v="0"/>
    <n v="0"/>
  </r>
  <r>
    <x v="8"/>
    <s v="Mississippi Valley State University"/>
    <m/>
    <n v="176044"/>
    <x v="3"/>
    <s v="sem"/>
    <s v="sem"/>
    <m/>
    <m/>
    <n v="26801"/>
    <n v="25107"/>
    <n v="8986"/>
    <n v="5353"/>
    <n v="26495"/>
    <n v="25041"/>
    <n v="62282"/>
    <n v="2076.0666666666666"/>
    <n v="55501"/>
    <n v="1850.0333333333333"/>
    <m/>
    <m/>
    <n v="0"/>
    <n v="0"/>
    <m/>
    <m/>
    <m/>
    <m/>
    <m/>
    <m/>
    <m/>
    <m/>
    <n v="0"/>
    <n v="0"/>
    <n v="0"/>
    <n v="0"/>
    <m/>
    <m/>
    <n v="0"/>
    <n v="0"/>
  </r>
  <r>
    <x v="8"/>
    <s v="Mississippi University for Women"/>
    <m/>
    <n v="176035"/>
    <x v="4"/>
    <s v="sem"/>
    <s v="sem"/>
    <m/>
    <m/>
    <n v="27625"/>
    <n v="28031"/>
    <n v="10363"/>
    <n v="9827"/>
    <n v="29636"/>
    <n v="30461"/>
    <n v="67624"/>
    <n v="2254.1333333333332"/>
    <n v="68319"/>
    <n v="2277.3000000000002"/>
    <m/>
    <m/>
    <n v="0"/>
    <n v="0"/>
    <m/>
    <m/>
    <m/>
    <m/>
    <m/>
    <m/>
    <m/>
    <m/>
    <n v="0"/>
    <n v="0"/>
    <n v="0"/>
    <n v="0"/>
    <m/>
    <m/>
    <n v="0"/>
    <n v="0"/>
  </r>
  <r>
    <x v="8"/>
    <s v="Hinds Community College "/>
    <m/>
    <n v="175786"/>
    <x v="6"/>
    <s v="sem"/>
    <s v="sem"/>
    <m/>
    <m/>
    <n v="141793"/>
    <n v="129154"/>
    <n v="43282"/>
    <n v="24981"/>
    <n v="153821"/>
    <n v="143145"/>
    <n v="338896"/>
    <n v="11296.533333333333"/>
    <n v="297280"/>
    <n v="9909.3333333333339"/>
    <n v="3123"/>
    <n v="6408"/>
    <n v="338896"/>
    <n v="297280"/>
    <m/>
    <m/>
    <m/>
    <m/>
    <m/>
    <m/>
    <m/>
    <m/>
    <n v="0"/>
    <n v="0"/>
    <n v="0"/>
    <n v="0"/>
    <m/>
    <m/>
    <n v="0"/>
    <n v="0"/>
  </r>
  <r>
    <x v="8"/>
    <s v="Itawamba Community College "/>
    <m/>
    <n v="175829"/>
    <x v="6"/>
    <s v="sem"/>
    <s v="sem"/>
    <m/>
    <m/>
    <n v="91528"/>
    <n v="77365"/>
    <n v="21793"/>
    <n v="10862"/>
    <n v="90765"/>
    <n v="78218"/>
    <n v="204086"/>
    <n v="6802.8666666666668"/>
    <n v="166445"/>
    <n v="5548.166666666667"/>
    <n v="1042"/>
    <n v="1187"/>
    <n v="204086"/>
    <n v="166445"/>
    <m/>
    <m/>
    <m/>
    <m/>
    <m/>
    <m/>
    <m/>
    <m/>
    <n v="0"/>
    <n v="0"/>
    <n v="0"/>
    <n v="0"/>
    <m/>
    <m/>
    <n v="0"/>
    <n v="0"/>
  </r>
  <r>
    <x v="8"/>
    <s v="Mississippi Gulf Coast Community College "/>
    <m/>
    <n v="176071"/>
    <x v="6"/>
    <s v="sem"/>
    <s v="sem"/>
    <n v="525"/>
    <n v="231"/>
    <n v="108752"/>
    <n v="109179"/>
    <n v="26834"/>
    <n v="24710"/>
    <n v="118350"/>
    <n v="118537"/>
    <n v="254461"/>
    <n v="8482.0333333333328"/>
    <n v="252657"/>
    <n v="8421.9"/>
    <n v="1594"/>
    <n v="2157"/>
    <n v="254461"/>
    <n v="252657"/>
    <m/>
    <m/>
    <m/>
    <m/>
    <m/>
    <m/>
    <m/>
    <m/>
    <n v="0"/>
    <n v="0"/>
    <n v="0"/>
    <n v="0"/>
    <m/>
    <m/>
    <n v="0"/>
    <n v="0"/>
  </r>
  <r>
    <x v="8"/>
    <s v="Northwest Mississippi Community College "/>
    <m/>
    <n v="176178"/>
    <x v="6"/>
    <s v="sem"/>
    <s v="sem"/>
    <m/>
    <m/>
    <n v="95084"/>
    <n v="92151"/>
    <n v="22602"/>
    <n v="16932"/>
    <n v="97598"/>
    <n v="96143"/>
    <n v="215284"/>
    <n v="7176.1333333333332"/>
    <n v="205226"/>
    <n v="6840.8666666666668"/>
    <n v="2002"/>
    <n v="1327"/>
    <n v="215284"/>
    <n v="205226"/>
    <m/>
    <m/>
    <m/>
    <m/>
    <m/>
    <m/>
    <m/>
    <m/>
    <n v="0"/>
    <n v="0"/>
    <n v="0"/>
    <n v="0"/>
    <m/>
    <m/>
    <n v="0"/>
    <n v="0"/>
  </r>
  <r>
    <x v="8"/>
    <s v="Copiah-Lincoln Community College "/>
    <m/>
    <n v="175573"/>
    <x v="7"/>
    <s v="sem"/>
    <s v="sem"/>
    <m/>
    <m/>
    <n v="42906"/>
    <n v="39502"/>
    <n v="10797"/>
    <n v="6859"/>
    <n v="45936"/>
    <n v="41919"/>
    <n v="99639"/>
    <n v="3321.3"/>
    <n v="88280"/>
    <n v="2942.6666666666665"/>
    <n v="1041"/>
    <n v="420"/>
    <n v="99639"/>
    <n v="88280"/>
    <m/>
    <m/>
    <m/>
    <m/>
    <m/>
    <m/>
    <m/>
    <m/>
    <n v="0"/>
    <n v="0"/>
    <n v="0"/>
    <n v="0"/>
    <m/>
    <m/>
    <n v="0"/>
    <n v="0"/>
  </r>
  <r>
    <x v="8"/>
    <s v="East Central Community College "/>
    <m/>
    <n v="175643"/>
    <x v="7"/>
    <s v="sem"/>
    <s v="sem"/>
    <m/>
    <m/>
    <n v="30047"/>
    <n v="29552"/>
    <n v="7605"/>
    <n v="6374"/>
    <n v="33007"/>
    <n v="32007"/>
    <n v="70659"/>
    <n v="2355.3000000000002"/>
    <n v="67933"/>
    <n v="2264.4333333333334"/>
    <n v="1053"/>
    <n v="1251"/>
    <n v="70659"/>
    <n v="67933"/>
    <m/>
    <m/>
    <m/>
    <m/>
    <m/>
    <m/>
    <m/>
    <m/>
    <n v="0"/>
    <n v="0"/>
    <n v="0"/>
    <n v="0"/>
    <m/>
    <m/>
    <n v="0"/>
    <n v="0"/>
  </r>
  <r>
    <x v="8"/>
    <s v="East Mississippi Community College "/>
    <m/>
    <n v="175652"/>
    <x v="7"/>
    <s v="sem"/>
    <s v="sem"/>
    <m/>
    <m/>
    <n v="54193"/>
    <n v="50856"/>
    <n v="18297"/>
    <n v="13061"/>
    <n v="57188"/>
    <n v="56450"/>
    <n v="129678"/>
    <n v="4322.6000000000004"/>
    <n v="120367"/>
    <n v="4012.2333333333331"/>
    <n v="412"/>
    <n v="1426"/>
    <n v="129678"/>
    <n v="120367"/>
    <m/>
    <m/>
    <m/>
    <m/>
    <m/>
    <m/>
    <m/>
    <m/>
    <n v="0"/>
    <n v="0"/>
    <n v="0"/>
    <n v="0"/>
    <m/>
    <m/>
    <n v="0"/>
    <n v="0"/>
  </r>
  <r>
    <x v="8"/>
    <s v="Holmes Community College "/>
    <s v="Met criteria for Two-Year 1 in 2012-13."/>
    <n v="175810"/>
    <x v="7"/>
    <s v="sem"/>
    <s v="sem"/>
    <m/>
    <m/>
    <n v="69544"/>
    <n v="65335"/>
    <n v="21647"/>
    <n v="16641"/>
    <n v="72931"/>
    <n v="74724"/>
    <n v="164122"/>
    <n v="5470.7333333333336"/>
    <n v="156700"/>
    <n v="5223.333333333333"/>
    <n v="1224"/>
    <n v="1619"/>
    <n v="164122"/>
    <n v="156700"/>
    <m/>
    <m/>
    <m/>
    <m/>
    <m/>
    <m/>
    <m/>
    <m/>
    <n v="0"/>
    <n v="0"/>
    <n v="0"/>
    <n v="0"/>
    <m/>
    <m/>
    <n v="0"/>
    <n v="0"/>
  </r>
  <r>
    <x v="8"/>
    <s v="Jones County Junior College "/>
    <m/>
    <n v="175883"/>
    <x v="7"/>
    <s v="sem"/>
    <s v="sem"/>
    <m/>
    <m/>
    <n v="60439"/>
    <n v="51242"/>
    <n v="16482"/>
    <n v="10469"/>
    <n v="62145"/>
    <n v="56224"/>
    <n v="139066"/>
    <n v="4635.5333333333338"/>
    <n v="117935"/>
    <n v="3931.1666666666665"/>
    <n v="1694"/>
    <n v="1729"/>
    <n v="139066"/>
    <n v="117935"/>
    <m/>
    <m/>
    <m/>
    <m/>
    <m/>
    <m/>
    <m/>
    <m/>
    <n v="0"/>
    <n v="0"/>
    <n v="0"/>
    <n v="0"/>
    <m/>
    <m/>
    <n v="0"/>
    <n v="0"/>
  </r>
  <r>
    <x v="8"/>
    <s v="Meridian Community College "/>
    <m/>
    <n v="175935"/>
    <x v="7"/>
    <s v="sem"/>
    <s v="sem"/>
    <m/>
    <m/>
    <n v="43146"/>
    <n v="43057.5"/>
    <n v="9237"/>
    <n v="7573"/>
    <n v="48738.5"/>
    <n v="45047.5"/>
    <n v="101121.5"/>
    <n v="3370.7166666666667"/>
    <n v="95678"/>
    <n v="3189.2666666666669"/>
    <n v="665"/>
    <n v="663"/>
    <n v="101121.5"/>
    <n v="95678"/>
    <m/>
    <m/>
    <m/>
    <m/>
    <m/>
    <m/>
    <m/>
    <m/>
    <n v="0"/>
    <n v="0"/>
    <n v="0"/>
    <n v="0"/>
    <m/>
    <m/>
    <n v="0"/>
    <n v="0"/>
  </r>
  <r>
    <x v="8"/>
    <s v="Mississippi Delta Community College "/>
    <m/>
    <n v="176008"/>
    <x v="7"/>
    <s v="sem"/>
    <s v="sem"/>
    <m/>
    <m/>
    <n v="38930"/>
    <n v="38237"/>
    <n v="10269"/>
    <n v="6047"/>
    <n v="39692"/>
    <n v="38367"/>
    <n v="88891"/>
    <n v="2963.0333333333333"/>
    <n v="82651"/>
    <n v="2755.0333333333333"/>
    <n v="617"/>
    <n v="1394"/>
    <n v="88891"/>
    <n v="82651"/>
    <m/>
    <m/>
    <m/>
    <m/>
    <m/>
    <m/>
    <m/>
    <m/>
    <n v="0"/>
    <n v="0"/>
    <n v="0"/>
    <n v="0"/>
    <m/>
    <m/>
    <n v="0"/>
    <n v="0"/>
  </r>
  <r>
    <x v="8"/>
    <s v="Northeast Mississippi Community College "/>
    <m/>
    <n v="176169"/>
    <x v="7"/>
    <s v="sem"/>
    <s v="sem"/>
    <m/>
    <m/>
    <n v="43934"/>
    <n v="42980"/>
    <n v="5621"/>
    <n v="4311"/>
    <n v="48678"/>
    <n v="44847"/>
    <n v="98233"/>
    <n v="3274.4333333333334"/>
    <n v="92138"/>
    <n v="3071.2666666666669"/>
    <n v="651"/>
    <n v="954"/>
    <n v="98233"/>
    <n v="92138"/>
    <m/>
    <m/>
    <m/>
    <m/>
    <m/>
    <m/>
    <m/>
    <m/>
    <n v="0"/>
    <n v="0"/>
    <n v="0"/>
    <n v="0"/>
    <m/>
    <m/>
    <n v="0"/>
    <n v="0"/>
  </r>
  <r>
    <x v="8"/>
    <s v="Pearl River Community College "/>
    <m/>
    <n v="176239"/>
    <x v="7"/>
    <s v="sem"/>
    <s v="sem"/>
    <m/>
    <m/>
    <n v="56125"/>
    <n v="53088"/>
    <n v="13237"/>
    <n v="9651"/>
    <n v="60546"/>
    <n v="55101"/>
    <n v="129908"/>
    <n v="4330.2666666666664"/>
    <n v="117840"/>
    <n v="3928"/>
    <n v="1182"/>
    <n v="1146"/>
    <n v="129908"/>
    <n v="117840"/>
    <m/>
    <m/>
    <m/>
    <m/>
    <m/>
    <m/>
    <m/>
    <m/>
    <n v="0"/>
    <n v="0"/>
    <n v="0"/>
    <n v="0"/>
    <m/>
    <m/>
    <n v="0"/>
    <n v="0"/>
  </r>
  <r>
    <x v="8"/>
    <s v="Coahoma Community College "/>
    <m/>
    <n v="175519"/>
    <x v="8"/>
    <s v="sem"/>
    <s v="sem"/>
    <m/>
    <m/>
    <n v="32587"/>
    <n v="27350"/>
    <n v="4761"/>
    <n v="2318"/>
    <n v="35023"/>
    <n v="27617"/>
    <n v="72371"/>
    <n v="2412.3666666666668"/>
    <n v="57285"/>
    <n v="1909.5"/>
    <n v="747"/>
    <n v="564"/>
    <n v="72371"/>
    <n v="57285"/>
    <m/>
    <m/>
    <m/>
    <m/>
    <m/>
    <m/>
    <m/>
    <m/>
    <n v="0"/>
    <n v="0"/>
    <n v="0"/>
    <n v="0"/>
    <m/>
    <m/>
    <n v="0"/>
    <n v="0"/>
  </r>
  <r>
    <x v="8"/>
    <s v="Southwest Mississippi Community College"/>
    <m/>
    <n v="176354"/>
    <x v="8"/>
    <s v="sem"/>
    <s v="sem"/>
    <m/>
    <m/>
    <n v="24771"/>
    <n v="26090"/>
    <n v="4306"/>
    <n v="3362"/>
    <n v="28034"/>
    <n v="27629"/>
    <n v="57111"/>
    <n v="1903.7"/>
    <n v="57081"/>
    <n v="1902.7"/>
    <n v="660"/>
    <n v="728"/>
    <n v="57111"/>
    <n v="57081"/>
    <m/>
    <m/>
    <m/>
    <m/>
    <m/>
    <m/>
    <m/>
    <m/>
    <n v="0"/>
    <n v="0"/>
    <n v="0"/>
    <n v="0"/>
    <m/>
    <m/>
    <n v="0"/>
    <n v="0"/>
  </r>
  <r>
    <x v="9"/>
    <s v="North Carolina State University "/>
    <m/>
    <n v="199193"/>
    <x v="0"/>
    <s v="sem"/>
    <m/>
    <m/>
    <m/>
    <n v="323770"/>
    <n v="323964"/>
    <n v="59666"/>
    <n v="57251"/>
    <n v="347252"/>
    <n v="345012"/>
    <n v="730688"/>
    <n v="24356.266666666666"/>
    <n v="726227"/>
    <n v="24207.566666666666"/>
    <n v="0"/>
    <n v="0"/>
    <n v="730688"/>
    <n v="726227"/>
    <m/>
    <m/>
    <m/>
    <m/>
    <m/>
    <m/>
    <m/>
    <m/>
    <n v="0"/>
    <n v="0"/>
    <n v="0"/>
    <n v="0"/>
    <m/>
    <m/>
    <n v="0"/>
    <n v="0"/>
  </r>
  <r>
    <x v="9"/>
    <s v="University of North Carolina at Chapel Hill "/>
    <m/>
    <n v="199120"/>
    <x v="0"/>
    <s v="sem"/>
    <m/>
    <m/>
    <m/>
    <n v="231358"/>
    <n v="231719"/>
    <n v="35510"/>
    <n v="33400"/>
    <n v="245180"/>
    <n v="246807"/>
    <n v="512048"/>
    <n v="17068.266666666666"/>
    <n v="511926"/>
    <n v="17064.2"/>
    <n v="8"/>
    <n v="9"/>
    <n v="512048"/>
    <n v="511926"/>
    <m/>
    <m/>
    <m/>
    <m/>
    <m/>
    <m/>
    <m/>
    <m/>
    <n v="0"/>
    <n v="0"/>
    <n v="0"/>
    <n v="0"/>
    <m/>
    <m/>
    <n v="0"/>
    <n v="0"/>
  </r>
  <r>
    <x v="9"/>
    <s v="University of North Carolina at Greensboro"/>
    <m/>
    <n v="199148"/>
    <x v="0"/>
    <s v="sem"/>
    <m/>
    <m/>
    <m/>
    <n v="191003"/>
    <n v="178744"/>
    <n v="34548"/>
    <n v="22682"/>
    <n v="195330"/>
    <n v="195598"/>
    <n v="420881"/>
    <n v="14029.366666666667"/>
    <n v="397024"/>
    <n v="13234.133333333333"/>
    <n v="286"/>
    <n v="0"/>
    <n v="420881"/>
    <n v="397024"/>
    <m/>
    <m/>
    <m/>
    <m/>
    <m/>
    <m/>
    <m/>
    <m/>
    <n v="0"/>
    <n v="0"/>
    <n v="0"/>
    <n v="0"/>
    <m/>
    <m/>
    <n v="0"/>
    <n v="0"/>
  </r>
  <r>
    <x v="9"/>
    <s v="East Carolina University "/>
    <s v="Reclassified: met the criteria for Four-Year 2 in 2010-11, 2011-12, and 2012-13."/>
    <n v="198464"/>
    <x v="1"/>
    <s v="sem"/>
    <m/>
    <m/>
    <m/>
    <n v="261544"/>
    <n v="259153"/>
    <n v="54008"/>
    <n v="33163"/>
    <n v="281788"/>
    <n v="277036"/>
    <n v="597340"/>
    <n v="19911.333333333332"/>
    <n v="569352"/>
    <n v="18978.400000000001"/>
    <n v="402"/>
    <n v="600"/>
    <n v="597340"/>
    <n v="569352"/>
    <m/>
    <m/>
    <m/>
    <m/>
    <m/>
    <m/>
    <m/>
    <m/>
    <n v="0"/>
    <n v="0"/>
    <n v="0"/>
    <n v="0"/>
    <m/>
    <m/>
    <n v="0"/>
    <n v="0"/>
  </r>
  <r>
    <x v="9"/>
    <s v="University of North Carolina at Charlotte"/>
    <s v="Met the criteria for Four-Year 1 in 2012-13."/>
    <n v="199139"/>
    <x v="1"/>
    <s v="sem"/>
    <m/>
    <m/>
    <m/>
    <n v="250878"/>
    <n v="256102"/>
    <n v="44400"/>
    <n v="42295"/>
    <n v="271170"/>
    <n v="284908"/>
    <n v="566448"/>
    <n v="18881.599999999999"/>
    <n v="583305"/>
    <n v="19443.5"/>
    <n v="0"/>
    <n v="0"/>
    <n v="566448"/>
    <n v="583305"/>
    <m/>
    <m/>
    <m/>
    <m/>
    <m/>
    <m/>
    <m/>
    <m/>
    <n v="0"/>
    <n v="0"/>
    <n v="0"/>
    <n v="0"/>
    <m/>
    <m/>
    <n v="0"/>
    <n v="0"/>
  </r>
  <r>
    <x v="9"/>
    <s v="Appalachian State University "/>
    <m/>
    <n v="197869"/>
    <x v="2"/>
    <s v="sem"/>
    <m/>
    <m/>
    <m/>
    <n v="208091"/>
    <n v="213142"/>
    <n v="32326"/>
    <n v="32298"/>
    <n v="225414"/>
    <n v="229156"/>
    <n v="465831"/>
    <n v="15527.7"/>
    <n v="474596"/>
    <n v="15819.866666666667"/>
    <n v="0"/>
    <n v="0"/>
    <n v="465831"/>
    <n v="474596"/>
    <m/>
    <m/>
    <m/>
    <m/>
    <m/>
    <m/>
    <m/>
    <m/>
    <n v="0"/>
    <n v="0"/>
    <n v="0"/>
    <n v="0"/>
    <m/>
    <m/>
    <n v="0"/>
    <n v="0"/>
  </r>
  <r>
    <x v="9"/>
    <s v="North Carolina A&amp;T State University"/>
    <m/>
    <n v="199102"/>
    <x v="2"/>
    <s v="sem"/>
    <m/>
    <m/>
    <m/>
    <n v="116034"/>
    <n v="116005"/>
    <n v="27844"/>
    <n v="18704"/>
    <n v="125696"/>
    <n v="122533"/>
    <n v="269574"/>
    <n v="8985.7999999999993"/>
    <n v="257242"/>
    <n v="8574.7333333333336"/>
    <n v="446"/>
    <n v="370"/>
    <n v="269574"/>
    <n v="257242"/>
    <m/>
    <m/>
    <m/>
    <m/>
    <m/>
    <m/>
    <m/>
    <m/>
    <n v="0"/>
    <n v="0"/>
    <n v="0"/>
    <n v="0"/>
    <m/>
    <m/>
    <n v="0"/>
    <n v="0"/>
  </r>
  <r>
    <x v="9"/>
    <s v="North Carolina Central University "/>
    <m/>
    <n v="199157"/>
    <x v="2"/>
    <s v="sem"/>
    <m/>
    <m/>
    <m/>
    <n v="79755"/>
    <n v="80446"/>
    <n v="27549"/>
    <n v="20406"/>
    <n v="83819"/>
    <n v="87385"/>
    <n v="191123"/>
    <n v="6370.7666666666664"/>
    <n v="188237"/>
    <n v="6274.5666666666666"/>
    <n v="4064"/>
    <n v="4031"/>
    <n v="191123"/>
    <n v="188237"/>
    <m/>
    <m/>
    <m/>
    <m/>
    <m/>
    <m/>
    <m/>
    <m/>
    <n v="0"/>
    <n v="0"/>
    <n v="0"/>
    <n v="0"/>
    <m/>
    <m/>
    <n v="0"/>
    <n v="0"/>
  </r>
  <r>
    <x v="9"/>
    <s v="University of North Carolina at Wilmington"/>
    <m/>
    <n v="199218"/>
    <x v="2"/>
    <s v="sem"/>
    <m/>
    <m/>
    <m/>
    <n v="152800"/>
    <n v="155231"/>
    <n v="29802"/>
    <n v="30569"/>
    <n v="167002"/>
    <n v="174508"/>
    <n v="349604"/>
    <n v="11653.466666666667"/>
    <n v="360308"/>
    <n v="12010.266666666666"/>
    <n v="1970"/>
    <n v="2102"/>
    <n v="349604"/>
    <n v="360308"/>
    <m/>
    <m/>
    <m/>
    <m/>
    <m/>
    <m/>
    <m/>
    <m/>
    <n v="0"/>
    <n v="0"/>
    <n v="0"/>
    <n v="0"/>
    <m/>
    <m/>
    <n v="0"/>
    <n v="0"/>
  </r>
  <r>
    <x v="9"/>
    <s v="Western Carolina University "/>
    <m/>
    <n v="200004"/>
    <x v="2"/>
    <s v="sem"/>
    <m/>
    <m/>
    <m/>
    <n v="96356"/>
    <n v="98306"/>
    <n v="15932"/>
    <n v="14850"/>
    <n v="103553"/>
    <n v="108766"/>
    <n v="215841"/>
    <n v="7194.7"/>
    <n v="221922"/>
    <n v="7397.4"/>
    <n v="0"/>
    <n v="0"/>
    <n v="215841"/>
    <n v="221922"/>
    <m/>
    <m/>
    <m/>
    <m/>
    <m/>
    <m/>
    <m/>
    <m/>
    <n v="0"/>
    <n v="0"/>
    <n v="0"/>
    <n v="0"/>
    <m/>
    <m/>
    <n v="0"/>
    <n v="0"/>
  </r>
  <r>
    <x v="9"/>
    <s v="Fayetteville State University "/>
    <m/>
    <n v="198543"/>
    <x v="3"/>
    <s v="sem"/>
    <m/>
    <m/>
    <m/>
    <n v="61292"/>
    <n v="60826"/>
    <n v="20723"/>
    <n v="19319"/>
    <n v="66367"/>
    <n v="68677"/>
    <n v="148382"/>
    <n v="4946.0666666666666"/>
    <n v="148822"/>
    <n v="4960.7333333333336"/>
    <n v="2856"/>
    <n v="2538"/>
    <n v="148382"/>
    <n v="148822"/>
    <m/>
    <m/>
    <m/>
    <m/>
    <m/>
    <m/>
    <m/>
    <m/>
    <n v="0"/>
    <n v="0"/>
    <n v="0"/>
    <n v="0"/>
    <m/>
    <m/>
    <n v="0"/>
    <n v="0"/>
  </r>
  <r>
    <x v="9"/>
    <s v="University of North Carolina at Pembroke"/>
    <m/>
    <n v="199281"/>
    <x v="4"/>
    <s v="sem"/>
    <m/>
    <m/>
    <m/>
    <n v="69387"/>
    <n v="64653"/>
    <n v="18862"/>
    <n v="16862"/>
    <n v="70204"/>
    <n v="70795"/>
    <n v="158453"/>
    <n v="5281.7666666666664"/>
    <n v="152310"/>
    <n v="5077"/>
    <n v="0"/>
    <n v="0"/>
    <n v="158453"/>
    <n v="152310"/>
    <m/>
    <m/>
    <m/>
    <m/>
    <m/>
    <m/>
    <m/>
    <m/>
    <n v="0"/>
    <n v="0"/>
    <n v="0"/>
    <n v="0"/>
    <m/>
    <m/>
    <n v="0"/>
    <n v="0"/>
  </r>
  <r>
    <x v="9"/>
    <s v="Winston-Salem State University "/>
    <m/>
    <n v="199999"/>
    <x v="4"/>
    <s v="sem"/>
    <m/>
    <m/>
    <m/>
    <n v="73940"/>
    <n v="70916"/>
    <n v="18550"/>
    <n v="13800"/>
    <n v="77974"/>
    <n v="70763"/>
    <n v="170464"/>
    <n v="5682.1333333333332"/>
    <n v="155479"/>
    <n v="5182.6333333333332"/>
    <n v="0"/>
    <n v="0"/>
    <n v="170464"/>
    <n v="155479"/>
    <m/>
    <m/>
    <m/>
    <m/>
    <m/>
    <m/>
    <m/>
    <m/>
    <n v="0"/>
    <n v="0"/>
    <n v="0"/>
    <n v="0"/>
    <m/>
    <m/>
    <n v="0"/>
    <n v="0"/>
  </r>
  <r>
    <x v="9"/>
    <s v="Elizabeth City State University "/>
    <m/>
    <n v="198507"/>
    <x v="5"/>
    <s v="sem"/>
    <m/>
    <m/>
    <m/>
    <n v="42025"/>
    <n v="37173"/>
    <n v="13220"/>
    <n v="8111"/>
    <n v="40030"/>
    <n v="39528"/>
    <n v="95275"/>
    <n v="3175.8333333333335"/>
    <n v="84812"/>
    <n v="2827.0666666666666"/>
    <n v="0"/>
    <n v="0"/>
    <n v="95275"/>
    <n v="84812"/>
    <m/>
    <m/>
    <m/>
    <m/>
    <m/>
    <m/>
    <m/>
    <m/>
    <n v="0"/>
    <n v="0"/>
    <n v="0"/>
    <n v="0"/>
    <m/>
    <m/>
    <n v="0"/>
    <n v="0"/>
  </r>
  <r>
    <x v="9"/>
    <s v="University of North Carolina at Asheville"/>
    <m/>
    <n v="199111"/>
    <x v="5"/>
    <s v="sem"/>
    <m/>
    <m/>
    <m/>
    <n v="46895"/>
    <n v="45490"/>
    <n v="5398"/>
    <n v="5120"/>
    <n v="49074"/>
    <n v="47102"/>
    <n v="101367"/>
    <n v="3378.9"/>
    <n v="97712"/>
    <n v="3257.0666666666666"/>
    <n v="0"/>
    <n v="0"/>
    <n v="101367"/>
    <n v="97712"/>
    <m/>
    <m/>
    <m/>
    <m/>
    <m/>
    <m/>
    <m/>
    <m/>
    <n v="0"/>
    <n v="0"/>
    <n v="0"/>
    <n v="0"/>
    <m/>
    <m/>
    <n v="0"/>
    <n v="0"/>
  </r>
  <r>
    <x v="9"/>
    <s v="Asheville-Buncombe Technical Community College"/>
    <m/>
    <n v="197887"/>
    <x v="6"/>
    <s v="sem"/>
    <m/>
    <m/>
    <m/>
    <n v="65541"/>
    <n v="69136"/>
    <n v="20751"/>
    <n v="17198"/>
    <n v="67486"/>
    <n v="70508"/>
    <n v="153778"/>
    <n v="5125.9333333333334"/>
    <n v="156842"/>
    <n v="5228.0666666666666"/>
    <n v="16701"/>
    <n v="12314"/>
    <n v="153778"/>
    <n v="156842"/>
    <m/>
    <m/>
    <n v="314853"/>
    <n v="297168"/>
    <n v="212365"/>
    <n v="216090"/>
    <n v="355627"/>
    <n v="317643"/>
    <n v="882845"/>
    <n v="980.93888888888887"/>
    <n v="830901"/>
    <n v="923.22333333333336"/>
    <m/>
    <m/>
    <n v="0"/>
    <n v="0"/>
  </r>
  <r>
    <x v="9"/>
    <s v="Cape Fear Community College"/>
    <m/>
    <n v="198154"/>
    <x v="6"/>
    <s v="sem"/>
    <m/>
    <m/>
    <m/>
    <n v="94135"/>
    <n v="91258"/>
    <n v="24750"/>
    <n v="22082"/>
    <n v="97407"/>
    <n v="96721"/>
    <n v="216292"/>
    <n v="7209.7333333333336"/>
    <n v="210061"/>
    <n v="7002.0333333333338"/>
    <n v="6420"/>
    <n v="6511"/>
    <n v="216292"/>
    <n v="210061"/>
    <m/>
    <m/>
    <n v="397401"/>
    <n v="382873"/>
    <n v="201929"/>
    <n v="205771"/>
    <n v="392389"/>
    <n v="427387"/>
    <n v="991719"/>
    <n v="1101.9100000000001"/>
    <n v="1016031"/>
    <n v="1128.9233333333334"/>
    <m/>
    <m/>
    <n v="0"/>
    <n v="0"/>
  </r>
  <r>
    <x v="9"/>
    <s v="Central Piedmont Community College "/>
    <m/>
    <n v="198260"/>
    <x v="6"/>
    <s v="sem"/>
    <m/>
    <m/>
    <m/>
    <n v="173001"/>
    <n v="173581"/>
    <n v="52146"/>
    <n v="47577"/>
    <n v="176809"/>
    <n v="176942"/>
    <n v="401956"/>
    <n v="13398.533333333333"/>
    <n v="398100"/>
    <n v="13270"/>
    <n v="4250"/>
    <n v="4922"/>
    <n v="401956"/>
    <n v="398100"/>
    <m/>
    <m/>
    <n v="459227"/>
    <n v="736360"/>
    <n v="557666"/>
    <n v="320976"/>
    <n v="697991"/>
    <n v="774775"/>
    <n v="1714884"/>
    <n v="1905.4266666666667"/>
    <n v="1832111"/>
    <n v="2035.6788888888889"/>
    <m/>
    <m/>
    <n v="0"/>
    <n v="0"/>
  </r>
  <r>
    <x v="9"/>
    <s v="Fayetteville Technical Community College"/>
    <m/>
    <n v="198534"/>
    <x v="6"/>
    <s v="sem"/>
    <m/>
    <m/>
    <m/>
    <n v="101911"/>
    <n v="112408"/>
    <n v="27038"/>
    <n v="29835"/>
    <n v="101671"/>
    <n v="108229"/>
    <n v="230620"/>
    <n v="7687.333333333333"/>
    <n v="250472"/>
    <n v="8349.0666666666675"/>
    <n v="5975"/>
    <n v="4736"/>
    <n v="230620"/>
    <n v="250472"/>
    <m/>
    <m/>
    <n v="752415"/>
    <n v="746911"/>
    <n v="565709"/>
    <n v="607552"/>
    <n v="838771"/>
    <n v="786134"/>
    <n v="2156895"/>
    <n v="2396.5500000000002"/>
    <n v="2140597"/>
    <n v="2378.4411111111112"/>
    <m/>
    <m/>
    <n v="0"/>
    <n v="0"/>
  </r>
  <r>
    <x v="9"/>
    <s v="Forsyth Technical Community College"/>
    <m/>
    <n v="198552"/>
    <x v="6"/>
    <s v="sem"/>
    <m/>
    <m/>
    <m/>
    <n v="96057"/>
    <n v="97225"/>
    <n v="27222"/>
    <n v="25496"/>
    <n v="96359"/>
    <n v="102925"/>
    <n v="219638"/>
    <n v="7321.2666666666664"/>
    <n v="225646"/>
    <n v="7521.5333333333338"/>
    <n v="7699"/>
    <n v="7310"/>
    <n v="219638"/>
    <n v="225646"/>
    <m/>
    <m/>
    <n v="412132"/>
    <n v="429484"/>
    <n v="363557"/>
    <n v="298463"/>
    <n v="495448"/>
    <n v="507932"/>
    <n v="1271137"/>
    <n v="1412.3744444444444"/>
    <n v="1235879"/>
    <n v="1373.1988888888889"/>
    <m/>
    <m/>
    <n v="0"/>
    <n v="0"/>
  </r>
  <r>
    <x v="9"/>
    <s v="Gaston College "/>
    <s v="Met the criteria for Two-Year 2 in 2011-12 and 2012-13."/>
    <n v="198570"/>
    <x v="6"/>
    <s v="sem"/>
    <m/>
    <m/>
    <m/>
    <n v="65684"/>
    <n v="58933"/>
    <n v="12321"/>
    <n v="11536"/>
    <n v="65548"/>
    <n v="62327"/>
    <n v="143553"/>
    <n v="4785.1000000000004"/>
    <n v="132796"/>
    <n v="4426.5333333333338"/>
    <n v="5530"/>
    <n v="3388"/>
    <n v="143553"/>
    <n v="132796"/>
    <m/>
    <m/>
    <n v="214284"/>
    <n v="204396"/>
    <n v="131295"/>
    <n v="117792"/>
    <n v="208381"/>
    <n v="189290"/>
    <n v="553960"/>
    <n v="615.51111111111106"/>
    <n v="511478"/>
    <n v="568.30888888888887"/>
    <m/>
    <m/>
    <n v="0"/>
    <n v="0"/>
  </r>
  <r>
    <x v="9"/>
    <s v="Guilford Technical Community College"/>
    <m/>
    <n v="198622"/>
    <x v="6"/>
    <s v="sem"/>
    <m/>
    <m/>
    <m/>
    <n v="156658"/>
    <n v="153384"/>
    <n v="41973"/>
    <n v="33401"/>
    <n v="158830"/>
    <n v="159423"/>
    <n v="357461"/>
    <n v="11915.366666666667"/>
    <n v="346208"/>
    <n v="11540.266666666666"/>
    <n v="3487"/>
    <n v="4737"/>
    <n v="357461"/>
    <n v="346208"/>
    <m/>
    <m/>
    <n v="508284"/>
    <n v="566303"/>
    <n v="314210"/>
    <n v="309291"/>
    <n v="575834"/>
    <n v="553629"/>
    <n v="1398328"/>
    <n v="1553.6977777777777"/>
    <n v="1429223"/>
    <n v="1588.0255555555555"/>
    <m/>
    <m/>
    <n v="0"/>
    <n v="0"/>
  </r>
  <r>
    <x v="9"/>
    <s v="Pitt Community College"/>
    <m/>
    <n v="199333"/>
    <x v="6"/>
    <s v="sem"/>
    <m/>
    <m/>
    <m/>
    <n v="85291"/>
    <n v="84596"/>
    <n v="29094"/>
    <n v="24011"/>
    <n v="85945"/>
    <n v="87378"/>
    <n v="200330"/>
    <n v="6677.666666666667"/>
    <n v="195985"/>
    <n v="6532.833333333333"/>
    <n v="3323"/>
    <n v="2404"/>
    <n v="200330"/>
    <n v="195985"/>
    <m/>
    <m/>
    <n v="254119"/>
    <n v="256942"/>
    <n v="232216"/>
    <n v="192545"/>
    <n v="289311"/>
    <n v="300179"/>
    <n v="775646"/>
    <n v="861.82888888888886"/>
    <n v="749666"/>
    <n v="832.96222222222218"/>
    <m/>
    <m/>
    <n v="0"/>
    <n v="0"/>
  </r>
  <r>
    <x v="9"/>
    <s v="Rowan-Cabarrus Community College"/>
    <m/>
    <n v="199494"/>
    <x v="6"/>
    <s v="sem"/>
    <m/>
    <m/>
    <m/>
    <n v="70203"/>
    <n v="62869"/>
    <n v="20932"/>
    <n v="16118"/>
    <n v="73982"/>
    <n v="67507"/>
    <n v="165117"/>
    <n v="5503.9"/>
    <n v="146494"/>
    <n v="4883.1333333333332"/>
    <n v="6064"/>
    <n v="7256"/>
    <n v="165117"/>
    <n v="146494"/>
    <m/>
    <m/>
    <n v="300674"/>
    <n v="277100"/>
    <n v="218777"/>
    <n v="201755"/>
    <n v="333040"/>
    <n v="305452"/>
    <n v="852491"/>
    <n v="947.21222222222218"/>
    <n v="784307"/>
    <n v="871.45222222222219"/>
    <m/>
    <m/>
    <n v="0"/>
    <n v="0"/>
  </r>
  <r>
    <x v="9"/>
    <s v="Wake Technical Community College"/>
    <m/>
    <n v="199856"/>
    <x v="6"/>
    <s v="sem"/>
    <m/>
    <m/>
    <m/>
    <n v="168348"/>
    <n v="174894"/>
    <n v="37914"/>
    <n v="40427"/>
    <n v="169272"/>
    <n v="179588"/>
    <n v="375534"/>
    <n v="12517.8"/>
    <n v="394909"/>
    <n v="13163.633333333333"/>
    <n v="4527"/>
    <n v="5011"/>
    <n v="375534"/>
    <n v="394909"/>
    <m/>
    <m/>
    <n v="872749"/>
    <n v="848662"/>
    <n v="565825"/>
    <n v="559989"/>
    <n v="875920"/>
    <n v="839804"/>
    <n v="2314494"/>
    <n v="2571.66"/>
    <n v="2248455"/>
    <n v="2498.2833333333333"/>
    <m/>
    <m/>
    <n v="0"/>
    <n v="0"/>
  </r>
  <r>
    <x v="9"/>
    <s v="Alamance Community College"/>
    <m/>
    <n v="199786"/>
    <x v="7"/>
    <s v="sem"/>
    <m/>
    <m/>
    <m/>
    <n v="49660"/>
    <n v="44880"/>
    <n v="12195"/>
    <n v="9029"/>
    <n v="51171"/>
    <n v="48022"/>
    <n v="113026"/>
    <n v="3767.5333333333333"/>
    <n v="101931"/>
    <n v="3397.7"/>
    <n v="4753"/>
    <n v="4687"/>
    <n v="113026"/>
    <n v="101931"/>
    <m/>
    <m/>
    <n v="175964"/>
    <n v="177274"/>
    <n v="151993"/>
    <n v="127954"/>
    <n v="206328"/>
    <n v="215302"/>
    <n v="534285"/>
    <n v="593.65"/>
    <n v="520530"/>
    <n v="578.36666666666667"/>
    <m/>
    <m/>
    <n v="0"/>
    <n v="0"/>
  </r>
  <r>
    <x v="9"/>
    <s v="Caldwell Community College &amp; Technical Institute"/>
    <m/>
    <n v="198118"/>
    <x v="7"/>
    <s v="sem"/>
    <m/>
    <m/>
    <m/>
    <n v="42854"/>
    <n v="41910"/>
    <n v="11807"/>
    <n v="10531"/>
    <n v="44939"/>
    <n v="44408"/>
    <n v="99600"/>
    <n v="3320"/>
    <n v="96849"/>
    <n v="3228.3"/>
    <n v="9146"/>
    <n v="8134"/>
    <n v="99600"/>
    <n v="96849"/>
    <m/>
    <m/>
    <n v="193592"/>
    <n v="193972"/>
    <n v="132855"/>
    <n v="147355"/>
    <n v="250684"/>
    <n v="259194"/>
    <n v="577131"/>
    <n v="641.25666666666666"/>
    <n v="600521"/>
    <n v="667.2455555555556"/>
    <m/>
    <m/>
    <n v="0"/>
    <n v="0"/>
  </r>
  <r>
    <x v="9"/>
    <s v="Catawba Valley Community College"/>
    <m/>
    <n v="198233"/>
    <x v="7"/>
    <s v="sem"/>
    <m/>
    <m/>
    <m/>
    <n v="49419"/>
    <n v="44845"/>
    <n v="15000"/>
    <n v="11758"/>
    <n v="51481"/>
    <n v="47396"/>
    <n v="115900"/>
    <n v="3863.3333333333335"/>
    <n v="103999"/>
    <n v="3466.6333333333332"/>
    <n v="8183"/>
    <n v="8491"/>
    <n v="115900"/>
    <n v="103999"/>
    <m/>
    <m/>
    <n v="220263"/>
    <n v="247588"/>
    <n v="149246"/>
    <n v="150779"/>
    <n v="261844"/>
    <n v="260008"/>
    <n v="631353"/>
    <n v="701.50333333333333"/>
    <n v="658375"/>
    <n v="731.52777777777783"/>
    <m/>
    <m/>
    <n v="0"/>
    <n v="0"/>
  </r>
  <r>
    <x v="9"/>
    <s v="Central Carolina Commuity College"/>
    <m/>
    <n v="198251"/>
    <x v="7"/>
    <s v="sem"/>
    <m/>
    <m/>
    <m/>
    <n v="42895"/>
    <n v="39235"/>
    <n v="8116"/>
    <n v="6982"/>
    <n v="46892"/>
    <n v="41427"/>
    <n v="97903"/>
    <n v="3263.4333333333334"/>
    <n v="87644"/>
    <n v="2921.4666666666667"/>
    <n v="9548"/>
    <n v="9327"/>
    <n v="97903"/>
    <n v="87644"/>
    <m/>
    <m/>
    <n v="419454"/>
    <n v="434372"/>
    <n v="282688"/>
    <n v="285076"/>
    <n v="467948"/>
    <n v="476844"/>
    <n v="1170090"/>
    <n v="1300.0999999999999"/>
    <n v="1196292"/>
    <n v="1329.2133333333334"/>
    <m/>
    <m/>
    <n v="0"/>
    <n v="0"/>
  </r>
  <r>
    <x v="9"/>
    <s v="Cleveland Community College"/>
    <m/>
    <n v="198321"/>
    <x v="7"/>
    <s v="sem"/>
    <m/>
    <m/>
    <m/>
    <n v="30432"/>
    <n v="28243"/>
    <n v="6131"/>
    <n v="3792"/>
    <n v="33897"/>
    <n v="31082"/>
    <n v="70460"/>
    <n v="2348.6666666666665"/>
    <n v="63117"/>
    <n v="2103.9"/>
    <n v="12104"/>
    <n v="7598"/>
    <n v="70460"/>
    <n v="63117"/>
    <m/>
    <m/>
    <n v="125702"/>
    <n v="150090"/>
    <n v="84683"/>
    <n v="91102"/>
    <n v="134184"/>
    <n v="151566"/>
    <n v="344569"/>
    <n v="382.85444444444443"/>
    <n v="392758"/>
    <n v="436.39777777777778"/>
    <m/>
    <m/>
    <n v="0"/>
    <n v="0"/>
  </r>
  <r>
    <x v="9"/>
    <s v="Coastal Carolina Community College "/>
    <m/>
    <n v="198330"/>
    <x v="7"/>
    <s v="sem"/>
    <m/>
    <m/>
    <m/>
    <n v="41404"/>
    <n v="46872"/>
    <n v="17280"/>
    <n v="19332"/>
    <n v="43705"/>
    <n v="47944"/>
    <n v="102389"/>
    <n v="3412.9666666666667"/>
    <n v="114148"/>
    <n v="3804.9333333333334"/>
    <n v="531"/>
    <n v="664"/>
    <n v="102389"/>
    <n v="114148"/>
    <m/>
    <m/>
    <n v="269869"/>
    <n v="258569"/>
    <n v="180975"/>
    <n v="194891"/>
    <n v="346241"/>
    <n v="314904"/>
    <n v="797085"/>
    <n v="885.65"/>
    <n v="768364"/>
    <n v="853.73777777777775"/>
    <m/>
    <m/>
    <n v="0"/>
    <n v="0"/>
  </r>
  <r>
    <x v="9"/>
    <s v="Craven Community College "/>
    <m/>
    <n v="198367"/>
    <x v="7"/>
    <s v="sem"/>
    <m/>
    <m/>
    <m/>
    <n v="33252"/>
    <n v="31385"/>
    <n v="11305"/>
    <n v="7294"/>
    <n v="32509"/>
    <n v="32837"/>
    <n v="77066"/>
    <n v="2568.8666666666668"/>
    <n v="71516"/>
    <n v="2383.8666666666668"/>
    <n v="3990"/>
    <n v="4375"/>
    <n v="77066"/>
    <n v="71516"/>
    <m/>
    <m/>
    <n v="169605"/>
    <n v="148437"/>
    <n v="100551"/>
    <n v="86014"/>
    <n v="159172"/>
    <n v="136842"/>
    <n v="429328"/>
    <n v="477.0311111111111"/>
    <n v="371293"/>
    <n v="412.54777777777775"/>
    <m/>
    <m/>
    <n v="0"/>
    <n v="0"/>
  </r>
  <r>
    <x v="9"/>
    <s v="Davidson County Community College "/>
    <m/>
    <n v="198376"/>
    <x v="7"/>
    <s v="sem"/>
    <m/>
    <m/>
    <m/>
    <n v="38859"/>
    <n v="38027"/>
    <n v="12432"/>
    <n v="8257"/>
    <n v="40448"/>
    <n v="40368"/>
    <n v="91739"/>
    <n v="3057.9666666666667"/>
    <n v="86652"/>
    <n v="2888.4"/>
    <n v="5647"/>
    <n v="5860"/>
    <n v="91739"/>
    <n v="86652"/>
    <m/>
    <m/>
    <n v="239705"/>
    <n v="231630"/>
    <n v="173592"/>
    <n v="162517"/>
    <n v="251781"/>
    <n v="264415"/>
    <n v="665078"/>
    <n v="738.9755555555555"/>
    <n v="658562"/>
    <n v="731.73555555555561"/>
    <m/>
    <m/>
    <n v="0"/>
    <n v="0"/>
  </r>
  <r>
    <x v="9"/>
    <s v="Durham Technical Community College"/>
    <m/>
    <n v="198455"/>
    <x v="7"/>
    <s v="sem"/>
    <m/>
    <m/>
    <m/>
    <n v="49523"/>
    <n v="45879"/>
    <n v="12108"/>
    <n v="11437"/>
    <n v="48794"/>
    <n v="43958"/>
    <n v="110425"/>
    <n v="3680.8333333333335"/>
    <n v="101274"/>
    <n v="3375.8"/>
    <n v="2689"/>
    <n v="2205"/>
    <n v="110425"/>
    <n v="101274"/>
    <m/>
    <m/>
    <n v="298651"/>
    <n v="313043"/>
    <n v="174433"/>
    <n v="160151"/>
    <n v="362737"/>
    <n v="340806"/>
    <n v="835821"/>
    <n v="928.69"/>
    <n v="814000"/>
    <n v="904.44444444444446"/>
    <m/>
    <m/>
    <n v="0"/>
    <n v="0"/>
  </r>
  <r>
    <x v="9"/>
    <s v="Edgecombe Community College"/>
    <m/>
    <n v="198491"/>
    <x v="7"/>
    <s v="sem"/>
    <m/>
    <m/>
    <m/>
    <n v="32817"/>
    <n v="29892"/>
    <n v="9608"/>
    <n v="7234"/>
    <n v="35399"/>
    <n v="32198"/>
    <n v="77824"/>
    <n v="2594.1333333333332"/>
    <n v="69324"/>
    <n v="2310.8000000000002"/>
    <n v="3218"/>
    <n v="2308"/>
    <n v="77824"/>
    <n v="69324"/>
    <m/>
    <m/>
    <n v="141347"/>
    <n v="119519"/>
    <n v="86502"/>
    <n v="89501"/>
    <n v="143443"/>
    <n v="150571"/>
    <n v="371292"/>
    <n v="412.54666666666668"/>
    <n v="359591"/>
    <n v="399.54555555555555"/>
    <m/>
    <m/>
    <n v="0"/>
    <n v="0"/>
  </r>
  <r>
    <x v="9"/>
    <s v="Haywood Community College"/>
    <s v="Met the criteria for Two-Year 3 in 2011-12 and 2012-13."/>
    <n v="198668"/>
    <x v="7"/>
    <s v="sem"/>
    <m/>
    <m/>
    <m/>
    <n v="19672"/>
    <n v="19532"/>
    <n v="6407"/>
    <n v="4231"/>
    <n v="20661"/>
    <n v="20642"/>
    <n v="46740"/>
    <n v="1558"/>
    <n v="44405"/>
    <n v="1480.1666666666667"/>
    <n v="6474"/>
    <n v="5749"/>
    <n v="46740"/>
    <n v="44405"/>
    <m/>
    <m/>
    <n v="91141"/>
    <n v="88369"/>
    <n v="42404"/>
    <n v="52725"/>
    <n v="101308"/>
    <n v="85233"/>
    <n v="234853"/>
    <n v="260.94777777777779"/>
    <n v="226327"/>
    <n v="251.47444444444446"/>
    <m/>
    <m/>
    <n v="0"/>
    <n v="0"/>
  </r>
  <r>
    <x v="9"/>
    <s v="Isothermal Community College "/>
    <s v="Met the criteria for Two-Year 3 in 2012-13."/>
    <n v="198710"/>
    <x v="7"/>
    <s v="sem"/>
    <m/>
    <m/>
    <m/>
    <n v="24259"/>
    <n v="21146"/>
    <n v="8988"/>
    <n v="6322"/>
    <n v="24953"/>
    <n v="21459"/>
    <n v="58200"/>
    <n v="1940"/>
    <n v="48927"/>
    <n v="1630.9"/>
    <n v="8350"/>
    <n v="6839"/>
    <n v="58200"/>
    <n v="48927"/>
    <m/>
    <m/>
    <n v="107719"/>
    <n v="127170"/>
    <n v="72339"/>
    <n v="66493"/>
    <n v="128370"/>
    <n v="114935"/>
    <n v="308428"/>
    <n v="342.69777777777779"/>
    <n v="308598"/>
    <n v="342.88666666666666"/>
    <m/>
    <m/>
    <n v="0"/>
    <n v="0"/>
  </r>
  <r>
    <x v="9"/>
    <s v="Johnston Community College"/>
    <m/>
    <n v="198774"/>
    <x v="7"/>
    <s v="sem"/>
    <m/>
    <m/>
    <m/>
    <n v="41573"/>
    <n v="40985"/>
    <n v="1494"/>
    <n v="1370"/>
    <n v="44424"/>
    <n v="44735"/>
    <n v="87491"/>
    <n v="2916.3666666666668"/>
    <n v="87090"/>
    <n v="2903"/>
    <n v="6548"/>
    <n v="5612"/>
    <n v="87491"/>
    <n v="87090"/>
    <m/>
    <m/>
    <n v="240874"/>
    <n v="217187"/>
    <n v="141746"/>
    <n v="161699"/>
    <n v="244168"/>
    <n v="218120"/>
    <n v="626788"/>
    <n v="696.43111111111114"/>
    <n v="597006"/>
    <n v="663.34"/>
    <m/>
    <m/>
    <n v="0"/>
    <n v="0"/>
  </r>
  <r>
    <x v="9"/>
    <s v="Lenoir Community College "/>
    <m/>
    <n v="198817"/>
    <x v="7"/>
    <s v="sem"/>
    <m/>
    <m/>
    <m/>
    <n v="29576"/>
    <n v="25590"/>
    <n v="11150"/>
    <n v="8167"/>
    <n v="31599"/>
    <n v="28644"/>
    <n v="72325"/>
    <n v="2410.8333333333335"/>
    <n v="62401"/>
    <n v="2080.0333333333333"/>
    <n v="8845"/>
    <n v="8958"/>
    <n v="72325"/>
    <n v="62401"/>
    <m/>
    <m/>
    <n v="484995"/>
    <n v="505253"/>
    <n v="283510"/>
    <n v="392470"/>
    <n v="414928"/>
    <n v="506646"/>
    <n v="1183433"/>
    <n v="1314.9255555555555"/>
    <n v="1404369"/>
    <n v="1560.41"/>
    <m/>
    <m/>
    <n v="0"/>
    <n v="0"/>
  </r>
  <r>
    <x v="9"/>
    <s v="Mitchell Community College "/>
    <m/>
    <n v="198987"/>
    <x v="7"/>
    <s v="sem"/>
    <m/>
    <m/>
    <m/>
    <n v="31668"/>
    <n v="30610"/>
    <n v="8166"/>
    <n v="6549"/>
    <n v="32277"/>
    <n v="32407"/>
    <n v="72111"/>
    <n v="2403.6999999999998"/>
    <n v="69566"/>
    <n v="2318.8666666666668"/>
    <n v="6829"/>
    <n v="7841"/>
    <n v="72111"/>
    <n v="69566"/>
    <m/>
    <m/>
    <n v="139801"/>
    <n v="131564"/>
    <n v="73965"/>
    <n v="98867"/>
    <n v="171595"/>
    <n v="140325"/>
    <n v="385361"/>
    <n v="428.17888888888888"/>
    <n v="370756"/>
    <n v="411.95111111111112"/>
    <m/>
    <m/>
    <n v="0"/>
    <n v="0"/>
  </r>
  <r>
    <x v="9"/>
    <s v="Nash Community College"/>
    <m/>
    <n v="199087"/>
    <x v="7"/>
    <s v="sem"/>
    <m/>
    <m/>
    <m/>
    <n v="27056"/>
    <n v="29552"/>
    <n v="4984"/>
    <n v="4699"/>
    <n v="26861"/>
    <n v="29577"/>
    <n v="58901"/>
    <n v="1963.3666666666666"/>
    <n v="63828"/>
    <n v="2127.6"/>
    <n v="5701"/>
    <n v="5774"/>
    <n v="58901"/>
    <n v="63828"/>
    <m/>
    <m/>
    <n v="145659"/>
    <n v="158437"/>
    <n v="93298"/>
    <n v="93385"/>
    <n v="166298"/>
    <n v="154894"/>
    <n v="405255"/>
    <n v="450.28333333333336"/>
    <n v="406716"/>
    <n v="451.90666666666669"/>
    <m/>
    <m/>
    <n v="0"/>
    <n v="0"/>
  </r>
  <r>
    <x v="9"/>
    <s v="Randolph Community College"/>
    <m/>
    <n v="199421"/>
    <x v="7"/>
    <s v="sem"/>
    <m/>
    <m/>
    <m/>
    <n v="26657"/>
    <n v="25747"/>
    <n v="6253"/>
    <n v="4510"/>
    <n v="27350"/>
    <n v="27540"/>
    <n v="60260"/>
    <n v="2008.6666666666667"/>
    <n v="57797"/>
    <n v="1926.5666666666666"/>
    <n v="5908"/>
    <n v="4981"/>
    <n v="60260"/>
    <n v="57797"/>
    <m/>
    <m/>
    <n v="173369"/>
    <n v="189578"/>
    <n v="102383"/>
    <n v="92936"/>
    <n v="138148"/>
    <n v="166359"/>
    <n v="413900"/>
    <n v="459.88888888888891"/>
    <n v="448873"/>
    <n v="498.7477777777778"/>
    <m/>
    <m/>
    <n v="0"/>
    <n v="0"/>
  </r>
  <r>
    <x v="9"/>
    <s v="Robeson Community College"/>
    <m/>
    <n v="199476"/>
    <x v="7"/>
    <s v="sem"/>
    <m/>
    <m/>
    <m/>
    <n v="26206"/>
    <n v="24532"/>
    <n v="6692"/>
    <n v="4537"/>
    <n v="27098"/>
    <n v="28227"/>
    <n v="59996"/>
    <n v="1999.8666666666666"/>
    <n v="57296"/>
    <n v="1909.8666666666666"/>
    <n v="1967"/>
    <n v="2217"/>
    <n v="59996"/>
    <n v="57296"/>
    <m/>
    <m/>
    <n v="399982"/>
    <n v="387360"/>
    <n v="257022"/>
    <n v="181675"/>
    <n v="424762"/>
    <n v="404657"/>
    <n v="1081766"/>
    <n v="1201.9622222222222"/>
    <n v="973692"/>
    <n v="1081.8800000000001"/>
    <m/>
    <m/>
    <n v="0"/>
    <n v="0"/>
  </r>
  <r>
    <x v="9"/>
    <s v="Sandhills Community College "/>
    <m/>
    <n v="199634"/>
    <x v="7"/>
    <s v="sem"/>
    <m/>
    <m/>
    <m/>
    <n v="39214"/>
    <n v="36985"/>
    <n v="12499"/>
    <n v="10644"/>
    <n v="40790"/>
    <n v="39601"/>
    <n v="92503"/>
    <n v="3083.4333333333334"/>
    <n v="87230"/>
    <n v="2907.6666666666665"/>
    <n v="6310"/>
    <n v="4505"/>
    <n v="92503"/>
    <n v="87230"/>
    <m/>
    <m/>
    <n v="182730"/>
    <n v="192210"/>
    <n v="101914"/>
    <n v="101747"/>
    <n v="186960"/>
    <n v="198274"/>
    <n v="471604"/>
    <n v="524.0044444444444"/>
    <n v="492231"/>
    <n v="546.92333333333329"/>
    <m/>
    <m/>
    <n v="0"/>
    <n v="0"/>
  </r>
  <r>
    <x v="9"/>
    <s v="Stanly Community College"/>
    <m/>
    <n v="199740"/>
    <x v="7"/>
    <s v="sem"/>
    <m/>
    <m/>
    <m/>
    <n v="28589"/>
    <n v="26836"/>
    <n v="8120"/>
    <n v="6140"/>
    <n v="29919"/>
    <n v="29688"/>
    <n v="66628"/>
    <n v="2220.9333333333334"/>
    <n v="62664"/>
    <n v="2088.8000000000002"/>
    <n v="3454"/>
    <n v="2788"/>
    <n v="66628"/>
    <n v="62664"/>
    <m/>
    <m/>
    <n v="201212"/>
    <n v="218877"/>
    <n v="115870"/>
    <n v="103485"/>
    <n v="194112"/>
    <n v="212632"/>
    <n v="511194"/>
    <n v="567.99333333333334"/>
    <n v="534994"/>
    <n v="594.4377777777778"/>
    <m/>
    <m/>
    <n v="0"/>
    <n v="0"/>
  </r>
  <r>
    <x v="9"/>
    <s v="Surry Community College "/>
    <m/>
    <n v="199768"/>
    <x v="7"/>
    <s v="sem"/>
    <m/>
    <m/>
    <m/>
    <n v="24817"/>
    <n v="22310"/>
    <n v="5453"/>
    <n v="3786"/>
    <n v="25633"/>
    <n v="24425"/>
    <n v="55903"/>
    <n v="1863.4333333333334"/>
    <n v="50521"/>
    <n v="1684.0333333333333"/>
    <n v="6302"/>
    <n v="6194"/>
    <n v="55903"/>
    <n v="50521"/>
    <m/>
    <m/>
    <n v="156780"/>
    <n v="151490"/>
    <n v="140992"/>
    <n v="147580"/>
    <n v="224693"/>
    <n v="206788"/>
    <n v="522465"/>
    <n v="580.51666666666665"/>
    <n v="505858"/>
    <n v="562.06444444444446"/>
    <m/>
    <m/>
    <n v="0"/>
    <n v="0"/>
  </r>
  <r>
    <x v="9"/>
    <s v="Vance-Granville Community College "/>
    <m/>
    <n v="199838"/>
    <x v="7"/>
    <s v="sem"/>
    <m/>
    <m/>
    <m/>
    <n v="34653"/>
    <n v="32390"/>
    <n v="6727"/>
    <n v="6548"/>
    <n v="36513"/>
    <n v="36047"/>
    <n v="77893"/>
    <n v="2596.4333333333334"/>
    <n v="74985"/>
    <n v="2499.5"/>
    <n v="7814"/>
    <n v="8210"/>
    <n v="77893"/>
    <n v="74985"/>
    <m/>
    <m/>
    <n v="257687"/>
    <n v="285456"/>
    <n v="178550"/>
    <n v="164413"/>
    <n v="272894"/>
    <n v="309488"/>
    <n v="709131"/>
    <n v="787.92333333333329"/>
    <n v="759357"/>
    <n v="843.73"/>
    <m/>
    <m/>
    <n v="0"/>
    <n v="0"/>
  </r>
  <r>
    <x v="9"/>
    <s v="Wayne Community College"/>
    <m/>
    <n v="199892"/>
    <x v="7"/>
    <s v="sem"/>
    <m/>
    <m/>
    <m/>
    <n v="36186"/>
    <n v="34964"/>
    <n v="7723"/>
    <n v="6438"/>
    <n v="37824"/>
    <n v="36131"/>
    <n v="81733"/>
    <n v="2724.4333333333334"/>
    <n v="77533"/>
    <n v="2584.4333333333334"/>
    <n v="6234"/>
    <n v="5990"/>
    <n v="81733"/>
    <n v="77533"/>
    <m/>
    <m/>
    <n v="234252"/>
    <n v="224501"/>
    <n v="169748"/>
    <n v="122371"/>
    <n v="227560"/>
    <n v="220392"/>
    <n v="631560"/>
    <n v="701.73333333333335"/>
    <n v="567264"/>
    <n v="630.29333333333329"/>
    <m/>
    <m/>
    <n v="0"/>
    <n v="0"/>
  </r>
  <r>
    <x v="9"/>
    <s v="Western Piedmont Community College "/>
    <m/>
    <n v="199908"/>
    <x v="7"/>
    <s v="sem"/>
    <m/>
    <m/>
    <m/>
    <n v="31151"/>
    <n v="26851"/>
    <n v="9661"/>
    <n v="5764"/>
    <n v="33508"/>
    <n v="30842"/>
    <n v="74320"/>
    <n v="2477.3333333333335"/>
    <n v="63457"/>
    <n v="2115.2333333333331"/>
    <n v="4398"/>
    <n v="4056"/>
    <n v="74320"/>
    <n v="63457"/>
    <m/>
    <m/>
    <n v="220525"/>
    <n v="212405"/>
    <n v="142139"/>
    <n v="135555"/>
    <n v="221320"/>
    <n v="219557"/>
    <n v="583984"/>
    <n v="648.87111111111108"/>
    <n v="567517"/>
    <n v="630.57444444444445"/>
    <m/>
    <m/>
    <n v="0"/>
    <n v="0"/>
  </r>
  <r>
    <x v="9"/>
    <s v="Wilkes Community College "/>
    <m/>
    <n v="199926"/>
    <x v="7"/>
    <s v="sem"/>
    <m/>
    <m/>
    <m/>
    <n v="28537"/>
    <n v="25522"/>
    <n v="5850"/>
    <n v="4216"/>
    <n v="29977"/>
    <n v="27165"/>
    <n v="64364"/>
    <n v="2145.4666666666667"/>
    <n v="56903"/>
    <n v="1896.7666666666667"/>
    <n v="2345"/>
    <n v="3238"/>
    <n v="64364"/>
    <n v="56903"/>
    <m/>
    <m/>
    <n v="194948"/>
    <n v="179547"/>
    <n v="139234"/>
    <n v="144074"/>
    <n v="203380"/>
    <n v="192181"/>
    <n v="537562"/>
    <n v="597.29111111111115"/>
    <n v="515802"/>
    <n v="573.11333333333334"/>
    <m/>
    <m/>
    <n v="0"/>
    <n v="0"/>
  </r>
  <r>
    <x v="9"/>
    <s v="Beaufort County Community College "/>
    <m/>
    <n v="197966"/>
    <x v="8"/>
    <s v="sem"/>
    <m/>
    <m/>
    <m/>
    <n v="17114"/>
    <n v="17203"/>
    <n v="3561"/>
    <n v="2066"/>
    <n v="18497"/>
    <n v="18021"/>
    <n v="39172"/>
    <n v="1305.7333333333333"/>
    <n v="37290"/>
    <n v="1243"/>
    <n v="1971"/>
    <n v="2787"/>
    <n v="39172"/>
    <n v="37290"/>
    <m/>
    <m/>
    <n v="95561"/>
    <n v="104478"/>
    <n v="63789"/>
    <n v="75950"/>
    <n v="92605"/>
    <n v="93261"/>
    <n v="251955"/>
    <n v="279.95"/>
    <n v="273689"/>
    <n v="304.09888888888889"/>
    <m/>
    <m/>
    <n v="0"/>
    <n v="0"/>
  </r>
  <r>
    <x v="9"/>
    <s v="Bladen Community College"/>
    <m/>
    <n v="198011"/>
    <x v="8"/>
    <s v="sem"/>
    <m/>
    <m/>
    <m/>
    <n v="18711"/>
    <n v="16492"/>
    <n v="2440"/>
    <n v="2899"/>
    <n v="20464"/>
    <n v="17733"/>
    <n v="41615"/>
    <n v="1387.1666666666667"/>
    <n v="37124"/>
    <n v="1237.4666666666667"/>
    <n v="563"/>
    <n v="296"/>
    <n v="41615"/>
    <n v="37124"/>
    <m/>
    <m/>
    <n v="84866"/>
    <n v="91483"/>
    <n v="34652"/>
    <n v="50617"/>
    <n v="72724"/>
    <n v="81999"/>
    <n v="192242"/>
    <n v="213.60222222222222"/>
    <n v="224099"/>
    <n v="248.9988888888889"/>
    <m/>
    <m/>
    <n v="0"/>
    <n v="0"/>
  </r>
  <r>
    <x v="9"/>
    <s v="Blue Ridge Community College"/>
    <m/>
    <n v="198039"/>
    <x v="8"/>
    <s v="sem"/>
    <m/>
    <m/>
    <m/>
    <n v="17680"/>
    <n v="18070"/>
    <n v="4898"/>
    <n v="4135"/>
    <n v="18824"/>
    <n v="17684"/>
    <n v="41402"/>
    <n v="1380.0666666666666"/>
    <n v="39889"/>
    <n v="1329.6333333333334"/>
    <n v="3217"/>
    <n v="4042"/>
    <n v="41402"/>
    <n v="39889"/>
    <m/>
    <m/>
    <n v="160287"/>
    <n v="193732"/>
    <n v="100833"/>
    <n v="99423"/>
    <n v="211175"/>
    <n v="190331"/>
    <n v="472295"/>
    <n v="524.77222222222224"/>
    <n v="483486"/>
    <n v="537.20666666666671"/>
    <m/>
    <m/>
    <n v="0"/>
    <n v="0"/>
  </r>
  <r>
    <x v="9"/>
    <s v="Brunswick Community College"/>
    <m/>
    <n v="198084"/>
    <x v="8"/>
    <s v="sem"/>
    <m/>
    <m/>
    <m/>
    <n v="13268"/>
    <n v="13284"/>
    <n v="2631"/>
    <n v="2187"/>
    <n v="13853"/>
    <n v="14782"/>
    <n v="29752"/>
    <n v="991.73333333333335"/>
    <n v="30253"/>
    <n v="1008.4333333333333"/>
    <n v="3649"/>
    <n v="3939"/>
    <n v="29752"/>
    <n v="30253"/>
    <m/>
    <m/>
    <n v="146758"/>
    <n v="135862"/>
    <n v="96361"/>
    <n v="90871"/>
    <n v="142623"/>
    <n v="153167"/>
    <n v="385742"/>
    <n v="428.60222222222222"/>
    <n v="379900"/>
    <n v="422.11111111111109"/>
    <m/>
    <m/>
    <n v="0"/>
    <n v="0"/>
  </r>
  <r>
    <x v="9"/>
    <s v="Carteret Community College"/>
    <m/>
    <n v="198206"/>
    <x v="8"/>
    <s v="sem"/>
    <m/>
    <m/>
    <m/>
    <n v="17369"/>
    <n v="16372"/>
    <n v="4233"/>
    <n v="3268"/>
    <n v="17368"/>
    <n v="16783"/>
    <n v="38970"/>
    <n v="1299"/>
    <n v="36423"/>
    <n v="1214.0999999999999"/>
    <n v="655"/>
    <n v="690"/>
    <n v="38970"/>
    <n v="36423"/>
    <m/>
    <m/>
    <n v="125029"/>
    <n v="131202"/>
    <n v="74729"/>
    <n v="83691"/>
    <n v="139039"/>
    <n v="124710"/>
    <n v="338797"/>
    <n v="376.44111111111113"/>
    <n v="339603"/>
    <n v="377.33666666666664"/>
    <m/>
    <m/>
    <n v="0"/>
    <n v="0"/>
  </r>
  <r>
    <x v="9"/>
    <s v="College of the Albemarle"/>
    <s v="Met the criteria for Two-Year 2 in 2012-13."/>
    <n v="197814"/>
    <x v="8"/>
    <s v="sem"/>
    <m/>
    <m/>
    <m/>
    <n v="25102"/>
    <n v="23574"/>
    <n v="3884"/>
    <n v="3858"/>
    <n v="26393"/>
    <n v="26541"/>
    <n v="55379"/>
    <n v="1845.9666666666667"/>
    <n v="53973"/>
    <n v="1799.1"/>
    <n v="4249"/>
    <n v="4820"/>
    <n v="55379"/>
    <n v="53973"/>
    <m/>
    <m/>
    <n v="152924"/>
    <n v="141875"/>
    <n v="66963"/>
    <n v="81230"/>
    <n v="169973"/>
    <n v="125580"/>
    <n v="389860"/>
    <n v="433.17777777777781"/>
    <n v="348685"/>
    <n v="387.42777777777781"/>
    <m/>
    <m/>
    <n v="0"/>
    <n v="0"/>
  </r>
  <r>
    <x v="9"/>
    <s v="Halifax Community College "/>
    <m/>
    <n v="198640"/>
    <x v="8"/>
    <s v="sem"/>
    <m/>
    <m/>
    <m/>
    <n v="17508"/>
    <n v="16344"/>
    <n v="2773"/>
    <n v="1586"/>
    <n v="18665"/>
    <n v="17138"/>
    <n v="38946"/>
    <n v="1298.2"/>
    <n v="35068"/>
    <n v="1168.9333333333334"/>
    <n v="883"/>
    <n v="1028"/>
    <n v="38946"/>
    <n v="35068"/>
    <m/>
    <m/>
    <n v="107803"/>
    <n v="134468"/>
    <n v="40421"/>
    <n v="72182"/>
    <n v="101370"/>
    <n v="122318"/>
    <n v="249594"/>
    <n v="277.32666666666665"/>
    <n v="328968"/>
    <n v="365.52"/>
    <m/>
    <m/>
    <n v="0"/>
    <n v="0"/>
  </r>
  <r>
    <x v="9"/>
    <s v="James Sprunt Community College"/>
    <m/>
    <n v="198729"/>
    <x v="8"/>
    <s v="sem"/>
    <m/>
    <m/>
    <m/>
    <n v="14166"/>
    <n v="13964"/>
    <n v="1250"/>
    <n v="1648"/>
    <n v="13773"/>
    <n v="13575"/>
    <n v="29189"/>
    <n v="972.9666666666667"/>
    <n v="29187"/>
    <n v="972.9"/>
    <n v="3546"/>
    <n v="3270"/>
    <n v="29189"/>
    <n v="29187"/>
    <m/>
    <m/>
    <n v="117773"/>
    <n v="109336"/>
    <n v="62686"/>
    <n v="102367"/>
    <n v="127666"/>
    <n v="97915"/>
    <n v="308125"/>
    <n v="342.36111111111109"/>
    <n v="309618"/>
    <n v="344.02"/>
    <m/>
    <m/>
    <n v="0"/>
    <n v="0"/>
  </r>
  <r>
    <x v="9"/>
    <s v="Martin Community College "/>
    <m/>
    <n v="198905"/>
    <x v="8"/>
    <s v="sem"/>
    <m/>
    <m/>
    <m/>
    <n v="8261"/>
    <n v="7602"/>
    <n v="502"/>
    <n v="395"/>
    <n v="8385"/>
    <n v="8054"/>
    <n v="17148"/>
    <n v="571.6"/>
    <n v="16051"/>
    <n v="535.0333333333333"/>
    <n v="450"/>
    <n v="1102"/>
    <n v="17148"/>
    <n v="16051"/>
    <m/>
    <m/>
    <n v="84561"/>
    <n v="91402"/>
    <n v="47365"/>
    <n v="55043"/>
    <n v="103248"/>
    <n v="87818"/>
    <n v="235174"/>
    <n v="261.30444444444447"/>
    <n v="234263"/>
    <n v="260.29222222222222"/>
    <m/>
    <m/>
    <n v="0"/>
    <n v="0"/>
  </r>
  <r>
    <x v="9"/>
    <s v="Mayland Community College"/>
    <m/>
    <n v="198914"/>
    <x v="8"/>
    <s v="sem"/>
    <m/>
    <m/>
    <m/>
    <n v="8630"/>
    <n v="10171"/>
    <n v="1021"/>
    <n v="774"/>
    <n v="9845"/>
    <n v="8736"/>
    <n v="19496"/>
    <n v="649.86666666666667"/>
    <n v="19681"/>
    <n v="656.0333333333333"/>
    <n v="5745"/>
    <n v="3140"/>
    <n v="19496"/>
    <n v="19681"/>
    <m/>
    <m/>
    <n v="135721"/>
    <n v="207942"/>
    <n v="123968"/>
    <n v="150919"/>
    <n v="128741"/>
    <n v="192831"/>
    <n v="388430"/>
    <n v="431.5888888888889"/>
    <n v="551692"/>
    <n v="612.99111111111108"/>
    <m/>
    <m/>
    <n v="0"/>
    <n v="0"/>
  </r>
  <r>
    <x v="9"/>
    <s v="McDowell Technical Community College"/>
    <m/>
    <n v="198923"/>
    <x v="8"/>
    <s v="sem"/>
    <m/>
    <m/>
    <m/>
    <n v="12163"/>
    <n v="11194"/>
    <n v="5014"/>
    <n v="3416"/>
    <n v="13808"/>
    <n v="11437"/>
    <n v="30985"/>
    <n v="1032.8333333333333"/>
    <n v="26047"/>
    <n v="868.23333333333335"/>
    <n v="2992"/>
    <n v="2662"/>
    <n v="30985"/>
    <n v="26047"/>
    <m/>
    <m/>
    <n v="112853"/>
    <n v="118266"/>
    <n v="54493"/>
    <n v="72034"/>
    <n v="85912"/>
    <n v="102041"/>
    <n v="253258"/>
    <n v="281.39777777777778"/>
    <n v="292341"/>
    <n v="324.82333333333332"/>
    <m/>
    <m/>
    <n v="0"/>
    <n v="0"/>
  </r>
  <r>
    <x v="9"/>
    <s v="Montgomery Community College"/>
    <m/>
    <n v="199023"/>
    <x v="8"/>
    <s v="sem"/>
    <m/>
    <m/>
    <m/>
    <n v="7548"/>
    <n v="7548"/>
    <n v="2480"/>
    <n v="1731"/>
    <n v="7898"/>
    <n v="7589"/>
    <n v="17926"/>
    <n v="597.5333333333333"/>
    <n v="16868"/>
    <n v="562.26666666666665"/>
    <n v="928"/>
    <n v="473"/>
    <n v="17926"/>
    <n v="16868"/>
    <m/>
    <m/>
    <n v="80586"/>
    <n v="97923"/>
    <n v="49314"/>
    <n v="54352"/>
    <n v="87212"/>
    <n v="99652"/>
    <n v="217112"/>
    <n v="241.23555555555555"/>
    <n v="251927"/>
    <n v="279.91888888888889"/>
    <m/>
    <m/>
    <n v="0"/>
    <n v="0"/>
  </r>
  <r>
    <x v="9"/>
    <s v="Pamlico Community College"/>
    <m/>
    <n v="199263"/>
    <x v="8"/>
    <s v="sem"/>
    <m/>
    <m/>
    <m/>
    <n v="4817"/>
    <n v="2909"/>
    <n v="760"/>
    <n v="275"/>
    <n v="4947"/>
    <n v="3516"/>
    <n v="10524"/>
    <n v="350.8"/>
    <n v="6700"/>
    <n v="223.33333333333334"/>
    <n v="2375"/>
    <n v="2239"/>
    <n v="10524"/>
    <n v="6700"/>
    <m/>
    <m/>
    <n v="42796"/>
    <n v="86416"/>
    <n v="49292"/>
    <n v="45399"/>
    <n v="43149"/>
    <n v="52000"/>
    <n v="135237"/>
    <n v="150.26333333333332"/>
    <n v="183815"/>
    <n v="204.23888888888888"/>
    <m/>
    <m/>
    <n v="0"/>
    <n v="0"/>
  </r>
  <r>
    <x v="9"/>
    <s v="Piedmont Community College"/>
    <m/>
    <n v="199324"/>
    <x v="8"/>
    <s v="sem"/>
    <m/>
    <m/>
    <m/>
    <n v="21429"/>
    <n v="17467"/>
    <n v="2342"/>
    <n v="2340"/>
    <n v="22761"/>
    <n v="18852"/>
    <n v="46532"/>
    <n v="1551.0666666666666"/>
    <n v="38659"/>
    <n v="1288.6333333333334"/>
    <n v="8272"/>
    <n v="4912"/>
    <n v="46532"/>
    <n v="38659"/>
    <m/>
    <m/>
    <n v="153527"/>
    <n v="209670"/>
    <n v="79157"/>
    <n v="112376"/>
    <n v="171347"/>
    <n v="203081"/>
    <n v="404031"/>
    <n v="448.92333333333335"/>
    <n v="525127"/>
    <n v="583.47444444444443"/>
    <m/>
    <m/>
    <n v="0"/>
    <n v="0"/>
  </r>
  <r>
    <x v="9"/>
    <s v="Richmond Community College"/>
    <s v="Met the criteria for Two-Year 2 in 2012-13."/>
    <n v="199449"/>
    <x v="8"/>
    <s v="sem"/>
    <m/>
    <m/>
    <m/>
    <n v="19596"/>
    <n v="21833"/>
    <n v="5350"/>
    <n v="4236"/>
    <n v="19527"/>
    <n v="23413"/>
    <n v="44473"/>
    <n v="1482.4333333333334"/>
    <n v="49482"/>
    <n v="1649.4"/>
    <n v="4057"/>
    <n v="5980"/>
    <n v="44473"/>
    <n v="49482"/>
    <m/>
    <m/>
    <n v="176480"/>
    <n v="194240"/>
    <n v="145615"/>
    <n v="142381"/>
    <n v="201698"/>
    <n v="208897"/>
    <n v="523793"/>
    <n v="581.99222222222227"/>
    <n v="545518"/>
    <n v="606.13111111111107"/>
    <m/>
    <m/>
    <n v="0"/>
    <n v="0"/>
  </r>
  <r>
    <x v="9"/>
    <s v="Roanoke-Chowan Community College"/>
    <m/>
    <n v="199467"/>
    <x v="8"/>
    <s v="sem"/>
    <m/>
    <m/>
    <m/>
    <n v="8412"/>
    <n v="7716"/>
    <n v="1"/>
    <n v="0"/>
    <n v="8427"/>
    <n v="8566"/>
    <n v="16840"/>
    <n v="561.33333333333337"/>
    <n v="16282"/>
    <n v="542.73333333333335"/>
    <n v="2033"/>
    <n v="2172"/>
    <n v="16840"/>
    <n v="16282"/>
    <m/>
    <m/>
    <n v="60093"/>
    <n v="74253"/>
    <n v="40508"/>
    <n v="46554"/>
    <n v="69663"/>
    <n v="63832"/>
    <n v="170264"/>
    <n v="189.18222222222221"/>
    <n v="184639"/>
    <n v="205.15444444444444"/>
    <m/>
    <m/>
    <n v="0"/>
    <n v="0"/>
  </r>
  <r>
    <x v="9"/>
    <s v="Rockingham Community College "/>
    <m/>
    <n v="199485"/>
    <x v="8"/>
    <s v="sem"/>
    <m/>
    <m/>
    <m/>
    <n v="22309"/>
    <n v="19300"/>
    <n v="5213"/>
    <n v="3816"/>
    <n v="24293"/>
    <n v="21803"/>
    <n v="51815"/>
    <n v="1727.1666666666667"/>
    <n v="44919"/>
    <n v="1497.3"/>
    <n v="1621"/>
    <n v="2597"/>
    <n v="51815"/>
    <n v="44919"/>
    <m/>
    <m/>
    <n v="92181"/>
    <n v="111454"/>
    <n v="65626"/>
    <n v="65301"/>
    <n v="117267"/>
    <n v="113318"/>
    <n v="275074"/>
    <n v="305.63777777777779"/>
    <n v="290073"/>
    <n v="322.30333333333334"/>
    <m/>
    <m/>
    <n v="0"/>
    <n v="0"/>
  </r>
  <r>
    <x v="9"/>
    <s v="Sampson Community College"/>
    <m/>
    <n v="199625"/>
    <x v="8"/>
    <s v="sem"/>
    <m/>
    <m/>
    <m/>
    <n v="13486"/>
    <n v="13272"/>
    <n v="809"/>
    <n v="863"/>
    <n v="14399"/>
    <n v="13836"/>
    <n v="28694"/>
    <n v="956.4666666666667"/>
    <n v="27971"/>
    <n v="932.36666666666667"/>
    <n v="3649"/>
    <n v="3462"/>
    <n v="28694"/>
    <n v="27971"/>
    <m/>
    <m/>
    <n v="143871"/>
    <n v="143346"/>
    <n v="132606"/>
    <n v="113581"/>
    <n v="205930"/>
    <n v="205855"/>
    <n v="482407"/>
    <n v="536.00777777777773"/>
    <n v="462782"/>
    <n v="514.20222222222219"/>
    <m/>
    <m/>
    <n v="0"/>
    <n v="0"/>
  </r>
  <r>
    <x v="9"/>
    <s v="South Piedmont Community College"/>
    <s v="Met the criteria for Two-Year 2 in 2012-13."/>
    <n v="197850"/>
    <x v="8"/>
    <s v="sem"/>
    <m/>
    <m/>
    <m/>
    <n v="19979"/>
    <n v="17968"/>
    <n v="3697"/>
    <n v="3430"/>
    <n v="22431"/>
    <n v="20086"/>
    <n v="46107"/>
    <n v="1536.9"/>
    <n v="41484"/>
    <n v="1382.8"/>
    <n v="6356"/>
    <n v="6889"/>
    <n v="46107"/>
    <n v="41484"/>
    <m/>
    <m/>
    <n v="231117"/>
    <n v="249826"/>
    <n v="157789"/>
    <n v="171283"/>
    <n v="271992"/>
    <n v="271279"/>
    <n v="660898"/>
    <n v="734.33111111111111"/>
    <n v="692388"/>
    <n v="769.32"/>
    <m/>
    <m/>
    <n v="0"/>
    <n v="0"/>
  </r>
  <r>
    <x v="9"/>
    <s v="Southeastern Community College "/>
    <s v="Met the criteria for Two-Year 2 in 2012-13."/>
    <n v="199722"/>
    <x v="8"/>
    <s v="sem"/>
    <m/>
    <m/>
    <m/>
    <n v="19478"/>
    <n v="16228"/>
    <n v="6672"/>
    <n v="4842"/>
    <n v="21083"/>
    <n v="19135"/>
    <n v="47233"/>
    <n v="1574.4333333333334"/>
    <n v="40205"/>
    <n v="1340.1666666666667"/>
    <n v="3605"/>
    <n v="3032"/>
    <n v="47233"/>
    <n v="40205"/>
    <m/>
    <m/>
    <n v="255090"/>
    <n v="265023"/>
    <n v="159526"/>
    <n v="167311"/>
    <n v="256512"/>
    <n v="307655"/>
    <n v="671128"/>
    <n v="745.69777777777779"/>
    <n v="739989"/>
    <n v="822.21"/>
    <m/>
    <m/>
    <n v="0"/>
    <n v="0"/>
  </r>
  <r>
    <x v="9"/>
    <s v="Southwestern Community College "/>
    <s v="Met the criteria for Two-Year 2 in 2012-13."/>
    <n v="199731"/>
    <x v="8"/>
    <s v="sem"/>
    <m/>
    <m/>
    <m/>
    <n v="21253"/>
    <n v="21882"/>
    <n v="6275"/>
    <n v="5625"/>
    <n v="22664"/>
    <n v="21977"/>
    <n v="50192"/>
    <n v="1673.0666666666666"/>
    <n v="49484"/>
    <n v="1649.4666666666667"/>
    <n v="6592"/>
    <n v="6882"/>
    <n v="50192"/>
    <n v="49484"/>
    <m/>
    <m/>
    <n v="190333"/>
    <n v="166775"/>
    <n v="99890"/>
    <n v="71369"/>
    <n v="199345"/>
    <n v="164413"/>
    <n v="489568"/>
    <n v="543.96444444444444"/>
    <n v="402557"/>
    <n v="447.28555555555556"/>
    <m/>
    <m/>
    <n v="0"/>
    <n v="0"/>
  </r>
  <r>
    <x v="9"/>
    <s v="Tri-County Community College "/>
    <m/>
    <n v="199795"/>
    <x v="8"/>
    <s v="sem"/>
    <m/>
    <m/>
    <m/>
    <n v="11498"/>
    <n v="11742"/>
    <n v="2450"/>
    <n v="1808"/>
    <n v="11545"/>
    <n v="12576"/>
    <n v="25493"/>
    <n v="849.76666666666665"/>
    <n v="26126"/>
    <n v="870.86666666666667"/>
    <n v="4834"/>
    <n v="4048"/>
    <n v="25493"/>
    <n v="26126"/>
    <m/>
    <m/>
    <n v="62294"/>
    <n v="49211"/>
    <n v="36042"/>
    <n v="34904"/>
    <n v="78550"/>
    <n v="78978"/>
    <n v="176886"/>
    <n v="196.54"/>
    <n v="163093"/>
    <n v="181.21444444444444"/>
    <m/>
    <m/>
    <n v="0"/>
    <n v="0"/>
  </r>
  <r>
    <x v="9"/>
    <s v="Wilson Community College"/>
    <m/>
    <n v="199953"/>
    <x v="8"/>
    <s v="sem"/>
    <m/>
    <m/>
    <m/>
    <n v="19804"/>
    <n v="17037"/>
    <n v="9162"/>
    <n v="6508"/>
    <n v="20492"/>
    <n v="17755"/>
    <n v="49458"/>
    <n v="1648.6"/>
    <n v="41300"/>
    <n v="1376.6666666666667"/>
    <n v="1425"/>
    <n v="2185"/>
    <n v="49458"/>
    <n v="41300"/>
    <m/>
    <m/>
    <n v="144901"/>
    <n v="142061"/>
    <n v="81745"/>
    <n v="86191"/>
    <n v="140580"/>
    <n v="138636"/>
    <n v="367226"/>
    <n v="408.0288888888889"/>
    <n v="366888"/>
    <n v="407.65333333333331"/>
    <m/>
    <m/>
    <n v="0"/>
    <n v="0"/>
  </r>
  <r>
    <x v="10"/>
    <s v="Oklahoma State University Main Campus"/>
    <m/>
    <n v="207388"/>
    <x v="0"/>
    <s v="sem"/>
    <s v="sem"/>
    <m/>
    <m/>
    <n v="243811"/>
    <n v="238876"/>
    <n v="32147"/>
    <n v="29304"/>
    <n v="268237"/>
    <n v="271847"/>
    <n v="544195"/>
    <n v="18139.833333333332"/>
    <n v="540027"/>
    <n v="18000.900000000001"/>
    <n v="1384"/>
    <n v="928"/>
    <n v="544195"/>
    <n v="540027"/>
    <m/>
    <m/>
    <m/>
    <m/>
    <m/>
    <m/>
    <m/>
    <m/>
    <n v="0"/>
    <n v="0"/>
    <n v="0"/>
    <n v="0"/>
    <m/>
    <m/>
    <n v="0"/>
    <n v="0"/>
  </r>
  <r>
    <x v="10"/>
    <s v="University of Oklahoma Norman Campus"/>
    <m/>
    <n v="207500"/>
    <x v="0"/>
    <s v="sem"/>
    <s v="sem"/>
    <m/>
    <m/>
    <n v="242922"/>
    <n v="252252"/>
    <n v="34284"/>
    <n v="35800"/>
    <n v="269398"/>
    <n v="274415"/>
    <n v="546604"/>
    <n v="18220.133333333335"/>
    <n v="562467"/>
    <n v="18748.900000000001"/>
    <n v="578"/>
    <n v="615"/>
    <n v="546604"/>
    <n v="562467"/>
    <m/>
    <m/>
    <m/>
    <m/>
    <m/>
    <m/>
    <m/>
    <m/>
    <n v="0"/>
    <n v="0"/>
    <n v="0"/>
    <n v="0"/>
    <m/>
    <m/>
    <n v="0"/>
    <n v="0"/>
  </r>
  <r>
    <x v="10"/>
    <s v="Northeastern State University"/>
    <m/>
    <n v="207263"/>
    <x v="2"/>
    <s v="sem"/>
    <s v="sem"/>
    <m/>
    <m/>
    <n v="94451"/>
    <n v="85290"/>
    <n v="19543"/>
    <n v="14964"/>
    <n v="97194"/>
    <n v="89074"/>
    <n v="211188"/>
    <n v="7039.6"/>
    <n v="189328"/>
    <n v="6310.9333333333334"/>
    <n v="1257"/>
    <n v="1291"/>
    <n v="211188"/>
    <n v="189328"/>
    <m/>
    <m/>
    <m/>
    <m/>
    <m/>
    <m/>
    <m/>
    <m/>
    <n v="0"/>
    <n v="0"/>
    <n v="0"/>
    <n v="0"/>
    <m/>
    <m/>
    <n v="0"/>
    <n v="0"/>
  </r>
  <r>
    <x v="10"/>
    <s v="University of Central Oklahoma"/>
    <m/>
    <n v="206941"/>
    <x v="2"/>
    <s v="sem"/>
    <s v="sem"/>
    <m/>
    <m/>
    <n v="163355"/>
    <n v="162812"/>
    <n v="28818"/>
    <n v="28321"/>
    <n v="181141"/>
    <n v="179556"/>
    <n v="373314"/>
    <n v="12443.8"/>
    <n v="370689"/>
    <n v="12356.3"/>
    <n v="1280"/>
    <n v="1221"/>
    <n v="373314"/>
    <n v="370689"/>
    <m/>
    <m/>
    <m/>
    <m/>
    <m/>
    <m/>
    <m/>
    <m/>
    <n v="0"/>
    <n v="0"/>
    <n v="0"/>
    <n v="0"/>
    <m/>
    <m/>
    <n v="0"/>
    <n v="0"/>
  </r>
  <r>
    <x v="10"/>
    <s v="Southeastern Oklahoma State University "/>
    <s v="Reclassified: met the criteria for Four-Year 4 in 2010-11, 2011-12, and 2012-13."/>
    <n v="207847"/>
    <x v="3"/>
    <s v="sem"/>
    <s v="sem"/>
    <m/>
    <m/>
    <n v="41875"/>
    <n v="41668"/>
    <n v="9763"/>
    <n v="7910"/>
    <n v="46242"/>
    <n v="45303"/>
    <n v="97880"/>
    <n v="3262.6666666666665"/>
    <n v="94881"/>
    <n v="3162.7"/>
    <n v="1492"/>
    <n v="1420"/>
    <n v="97880"/>
    <n v="94881"/>
    <m/>
    <m/>
    <m/>
    <m/>
    <m/>
    <m/>
    <m/>
    <m/>
    <n v="0"/>
    <n v="0"/>
    <n v="0"/>
    <n v="0"/>
    <m/>
    <m/>
    <n v="0"/>
    <n v="0"/>
  </r>
  <r>
    <x v="10"/>
    <s v="Cameron University "/>
    <m/>
    <n v="206914"/>
    <x v="4"/>
    <s v="sem"/>
    <s v="sem"/>
    <m/>
    <m/>
    <n v="60437"/>
    <n v="60373"/>
    <n v="13235"/>
    <n v="11666"/>
    <n v="65372"/>
    <n v="61514"/>
    <n v="139044"/>
    <n v="4634.8"/>
    <n v="133553"/>
    <n v="4451.7666666666664"/>
    <n v="2388"/>
    <n v="2422"/>
    <n v="139044"/>
    <n v="133553"/>
    <m/>
    <m/>
    <m/>
    <m/>
    <m/>
    <m/>
    <m/>
    <m/>
    <n v="0"/>
    <n v="0"/>
    <n v="0"/>
    <n v="0"/>
    <m/>
    <m/>
    <n v="0"/>
    <n v="0"/>
  </r>
  <r>
    <x v="10"/>
    <s v="East Central University "/>
    <m/>
    <n v="207041"/>
    <x v="4"/>
    <s v="sem"/>
    <s v="sem"/>
    <m/>
    <m/>
    <n v="47494"/>
    <n v="46437"/>
    <n v="9511"/>
    <n v="7929"/>
    <n v="49659"/>
    <n v="48375"/>
    <n v="106664"/>
    <n v="3555.4666666666667"/>
    <n v="102741"/>
    <n v="3424.7"/>
    <n v="924"/>
    <n v="1013"/>
    <n v="106664"/>
    <n v="102741"/>
    <m/>
    <m/>
    <m/>
    <m/>
    <m/>
    <m/>
    <m/>
    <m/>
    <n v="0"/>
    <n v="0"/>
    <n v="0"/>
    <n v="0"/>
    <m/>
    <m/>
    <n v="0"/>
    <n v="0"/>
  </r>
  <r>
    <x v="10"/>
    <s v="Langston University"/>
    <m/>
    <n v="207209"/>
    <x v="4"/>
    <s v="sem"/>
    <s v="sem"/>
    <m/>
    <m/>
    <n v="27007"/>
    <n v="27049"/>
    <n v="4709"/>
    <n v="3147"/>
    <n v="30254"/>
    <n v="26360"/>
    <n v="61970"/>
    <n v="2065.6666666666665"/>
    <n v="56556"/>
    <n v="1885.2"/>
    <n v="23"/>
    <m/>
    <n v="61970"/>
    <n v="0"/>
    <m/>
    <m/>
    <m/>
    <m/>
    <m/>
    <m/>
    <m/>
    <m/>
    <n v="0"/>
    <n v="0"/>
    <n v="0"/>
    <n v="0"/>
    <m/>
    <m/>
    <n v="0"/>
    <n v="0"/>
  </r>
  <r>
    <x v="10"/>
    <s v="Northwestern Oklahoma State University "/>
    <m/>
    <n v="207306"/>
    <x v="4"/>
    <s v="sem"/>
    <s v="sem"/>
    <m/>
    <m/>
    <n v="25289"/>
    <n v="22172"/>
    <n v="3916"/>
    <n v="3215"/>
    <n v="27352"/>
    <n v="24835"/>
    <n v="56557"/>
    <n v="1885.2333333333333"/>
    <n v="50222"/>
    <n v="1674.0666666666666"/>
    <n v="300"/>
    <n v="498"/>
    <n v="56557"/>
    <n v="50222"/>
    <m/>
    <m/>
    <m/>
    <m/>
    <m/>
    <m/>
    <m/>
    <m/>
    <n v="0"/>
    <n v="0"/>
    <n v="0"/>
    <n v="0"/>
    <m/>
    <m/>
    <n v="0"/>
    <n v="0"/>
  </r>
  <r>
    <x v="10"/>
    <s v="Southwestern Oklahoma State University"/>
    <m/>
    <n v="207865"/>
    <x v="4"/>
    <s v="sem"/>
    <s v="sem"/>
    <m/>
    <m/>
    <n v="54953"/>
    <n v="50372"/>
    <n v="9752"/>
    <n v="8626"/>
    <n v="60072"/>
    <n v="55001"/>
    <n v="124777"/>
    <n v="4159.2333333333336"/>
    <n v="113999"/>
    <n v="3799.9666666666667"/>
    <n v="1578"/>
    <n v="1434"/>
    <n v="124777"/>
    <n v="113999"/>
    <m/>
    <m/>
    <m/>
    <m/>
    <m/>
    <m/>
    <m/>
    <m/>
    <n v="0"/>
    <n v="0"/>
    <n v="0"/>
    <n v="0"/>
    <m/>
    <m/>
    <n v="0"/>
    <n v="0"/>
  </r>
  <r>
    <x v="10"/>
    <s v="Oklahoma Panhandle State University "/>
    <m/>
    <n v="207351"/>
    <x v="5"/>
    <s v="sem"/>
    <s v="sem"/>
    <m/>
    <m/>
    <n v="16985"/>
    <n v="19721"/>
    <n v="0"/>
    <n v="1777"/>
    <n v="19682"/>
    <n v="20787"/>
    <n v="36667"/>
    <n v="1222.2333333333333"/>
    <n v="42285"/>
    <n v="1409.5"/>
    <n v="531"/>
    <n v="27"/>
    <n v="36667"/>
    <n v="42285"/>
    <m/>
    <m/>
    <m/>
    <m/>
    <m/>
    <m/>
    <m/>
    <m/>
    <n v="0"/>
    <n v="0"/>
    <n v="0"/>
    <n v="0"/>
    <m/>
    <m/>
    <n v="0"/>
    <n v="0"/>
  </r>
  <r>
    <x v="10"/>
    <s v="Rogers State University"/>
    <m/>
    <n v="207661"/>
    <x v="5"/>
    <s v="sem"/>
    <s v="sem"/>
    <m/>
    <m/>
    <n v="45542"/>
    <n v="47320"/>
    <n v="7889"/>
    <n v="7856"/>
    <n v="51415"/>
    <n v="69164"/>
    <n v="104846"/>
    <n v="3494.8666666666668"/>
    <n v="124340"/>
    <n v="4144.666666666667"/>
    <n v="4439"/>
    <n v="4343"/>
    <n v="104846"/>
    <n v="124340"/>
    <m/>
    <m/>
    <m/>
    <m/>
    <m/>
    <m/>
    <m/>
    <m/>
    <n v="0"/>
    <n v="0"/>
    <n v="0"/>
    <n v="0"/>
    <m/>
    <m/>
    <n v="0"/>
    <n v="0"/>
  </r>
  <r>
    <x v="10"/>
    <s v="University of Science and Arts of Oklahoma"/>
    <m/>
    <n v="207722"/>
    <x v="5"/>
    <s v="sem"/>
    <s v="sem"/>
    <m/>
    <m/>
    <n v="12170"/>
    <n v="11408"/>
    <n v="5124"/>
    <n v="4533"/>
    <n v="13516"/>
    <n v="12452"/>
    <n v="30810"/>
    <n v="1027"/>
    <n v="28393"/>
    <n v="946.43333333333328"/>
    <n v="107"/>
    <n v="81"/>
    <n v="30810"/>
    <n v="28393"/>
    <m/>
    <m/>
    <m/>
    <m/>
    <m/>
    <m/>
    <m/>
    <m/>
    <n v="0"/>
    <n v="0"/>
    <n v="0"/>
    <n v="0"/>
    <m/>
    <m/>
    <n v="0"/>
    <n v="0"/>
  </r>
  <r>
    <x v="10"/>
    <s v="Oklahoma State University Technical Branch-Okmulgee "/>
    <s v="Met the criteria for Two-Year 2 institution in 2012-13."/>
    <n v="207564"/>
    <x v="11"/>
    <s v="sem"/>
    <s v="sem"/>
    <m/>
    <m/>
    <n v="33722"/>
    <n v="35913"/>
    <n v="23376"/>
    <n v="23086"/>
    <n v="38717"/>
    <n v="63107"/>
    <n v="95815"/>
    <n v="3193.8333333333335"/>
    <n v="122106"/>
    <n v="4070.2"/>
    <n v="6242"/>
    <n v="6935"/>
    <n v="95815"/>
    <n v="122106"/>
    <m/>
    <m/>
    <m/>
    <m/>
    <m/>
    <m/>
    <m/>
    <m/>
    <n v="0"/>
    <n v="0"/>
    <n v="0"/>
    <n v="0"/>
    <m/>
    <m/>
    <n v="0"/>
    <n v="0"/>
  </r>
  <r>
    <x v="10"/>
    <s v="Oklahoma State University-Oklahoma City "/>
    <s v="Met the criteria for Two-Year 1 institution in 2012-13."/>
    <n v="207397"/>
    <x v="11"/>
    <s v="sem"/>
    <s v="sem"/>
    <m/>
    <m/>
    <n v="72667"/>
    <n v="71170"/>
    <n v="20321"/>
    <n v="20908"/>
    <n v="76269"/>
    <n v="70785"/>
    <n v="169257"/>
    <n v="5641.9"/>
    <n v="162863"/>
    <n v="5428.7666666666664"/>
    <n v="1691"/>
    <n v="3298"/>
    <n v="169257"/>
    <n v="162863"/>
    <m/>
    <m/>
    <m/>
    <m/>
    <m/>
    <m/>
    <m/>
    <m/>
    <n v="0"/>
    <n v="0"/>
    <n v="0"/>
    <n v="0"/>
    <m/>
    <m/>
    <n v="0"/>
    <n v="0"/>
  </r>
  <r>
    <x v="10"/>
    <s v="Oklahoma City Community College "/>
    <m/>
    <n v="207449"/>
    <x v="6"/>
    <s v="sem"/>
    <s v="sem"/>
    <m/>
    <m/>
    <n v="125945"/>
    <n v="120354"/>
    <n v="34792"/>
    <n v="32182"/>
    <n v="133275"/>
    <n v="122469"/>
    <n v="294012"/>
    <n v="9800.4"/>
    <n v="275005"/>
    <n v="9166.8333333333339"/>
    <n v="19475"/>
    <n v="11026"/>
    <n v="294012"/>
    <n v="275005"/>
    <m/>
    <m/>
    <m/>
    <m/>
    <m/>
    <m/>
    <m/>
    <m/>
    <n v="0"/>
    <n v="0"/>
    <n v="0"/>
    <n v="0"/>
    <m/>
    <m/>
    <n v="0"/>
    <n v="0"/>
  </r>
  <r>
    <x v="10"/>
    <s v="Rose State College "/>
    <m/>
    <n v="207670"/>
    <x v="6"/>
    <s v="sem"/>
    <s v="sem"/>
    <m/>
    <m/>
    <n v="71497"/>
    <n v="67236"/>
    <n v="18714"/>
    <n v="15835"/>
    <n v="71795"/>
    <n v="69916"/>
    <n v="162006"/>
    <n v="5400.2"/>
    <n v="152987"/>
    <n v="5099.5666666666666"/>
    <n v="3652"/>
    <n v="4372"/>
    <n v="162006"/>
    <n v="152987"/>
    <m/>
    <m/>
    <m/>
    <m/>
    <m/>
    <m/>
    <m/>
    <m/>
    <n v="0"/>
    <n v="0"/>
    <n v="0"/>
    <n v="0"/>
    <m/>
    <m/>
    <n v="0"/>
    <n v="0"/>
  </r>
  <r>
    <x v="10"/>
    <s v="Tulsa Community College "/>
    <m/>
    <n v="207935"/>
    <x v="6"/>
    <s v="sem"/>
    <s v="sem"/>
    <m/>
    <m/>
    <n v="168178"/>
    <n v="165422"/>
    <n v="49710"/>
    <n v="47844"/>
    <n v="179122"/>
    <n v="169640"/>
    <n v="397010"/>
    <n v="13233.666666666666"/>
    <n v="382906"/>
    <n v="12763.533333333333"/>
    <n v="13897"/>
    <n v="14477"/>
    <n v="397010"/>
    <n v="382906"/>
    <m/>
    <m/>
    <m/>
    <m/>
    <m/>
    <m/>
    <m/>
    <m/>
    <n v="0"/>
    <n v="0"/>
    <n v="0"/>
    <n v="0"/>
    <m/>
    <m/>
    <n v="0"/>
    <n v="0"/>
  </r>
  <r>
    <x v="10"/>
    <s v="Carl Albert State College"/>
    <s v="Reclassified: met the criteria for Two-Year 2 institution in 2010-11, 2011-12, and 2012-13."/>
    <n v="206923"/>
    <x v="7"/>
    <s v="sem"/>
    <s v="sem"/>
    <m/>
    <m/>
    <n v="28041"/>
    <n v="28774"/>
    <n v="5656"/>
    <n v="4168"/>
    <n v="29644"/>
    <n v="29971"/>
    <n v="63341"/>
    <n v="2111.3666666666668"/>
    <n v="62913"/>
    <n v="2097.1"/>
    <n v="2257"/>
    <n v="2406"/>
    <n v="63341"/>
    <n v="62913"/>
    <m/>
    <m/>
    <m/>
    <m/>
    <m/>
    <m/>
    <m/>
    <m/>
    <n v="0"/>
    <n v="0"/>
    <n v="0"/>
    <n v="0"/>
    <m/>
    <m/>
    <n v="0"/>
    <n v="0"/>
  </r>
  <r>
    <x v="10"/>
    <s v="Northern Oklahoma College "/>
    <m/>
    <n v="207281"/>
    <x v="7"/>
    <s v="sem"/>
    <s v="sem"/>
    <m/>
    <m/>
    <n v="51117"/>
    <n v="49789"/>
    <n v="15509"/>
    <n v="6950"/>
    <n v="53704"/>
    <n v="31427"/>
    <n v="120330"/>
    <n v="4011"/>
    <n v="88166"/>
    <n v="2938.8666666666668"/>
    <n v="6788"/>
    <n v="6566"/>
    <n v="120330"/>
    <n v="88166"/>
    <m/>
    <m/>
    <m/>
    <m/>
    <m/>
    <m/>
    <m/>
    <m/>
    <n v="0"/>
    <n v="0"/>
    <n v="0"/>
    <n v="0"/>
    <m/>
    <m/>
    <n v="0"/>
    <n v="0"/>
  </r>
  <r>
    <x v="10"/>
    <s v="Connors State College "/>
    <s v="Met the criteria for Two-Year 2 institution in 2012-13."/>
    <n v="206996"/>
    <x v="8"/>
    <s v="sem"/>
    <s v="sem"/>
    <m/>
    <m/>
    <n v="25793"/>
    <n v="29393"/>
    <n v="5076"/>
    <m/>
    <n v="26261"/>
    <n v="32097"/>
    <n v="57130"/>
    <n v="1904.3333333333333"/>
    <n v="61490"/>
    <n v="2049.6666666666665"/>
    <n v="1770"/>
    <n v="1409"/>
    <n v="57130"/>
    <n v="61490"/>
    <m/>
    <m/>
    <m/>
    <m/>
    <m/>
    <m/>
    <m/>
    <m/>
    <n v="0"/>
    <n v="0"/>
    <n v="0"/>
    <n v="0"/>
    <m/>
    <m/>
    <n v="0"/>
    <n v="0"/>
  </r>
  <r>
    <x v="10"/>
    <s v="Eastern Oklahoma State College "/>
    <m/>
    <n v="207050"/>
    <x v="8"/>
    <s v="sem"/>
    <s v="sem"/>
    <m/>
    <m/>
    <n v="20733"/>
    <n v="19429"/>
    <n v="4060"/>
    <n v="3195"/>
    <n v="20564"/>
    <n v="25914"/>
    <n v="45357"/>
    <n v="1511.9"/>
    <n v="48538"/>
    <n v="1617.9333333333334"/>
    <n v="2828"/>
    <n v="3338"/>
    <n v="45357"/>
    <n v="48538"/>
    <m/>
    <m/>
    <m/>
    <m/>
    <m/>
    <m/>
    <m/>
    <m/>
    <n v="0"/>
    <n v="0"/>
    <n v="0"/>
    <n v="0"/>
    <m/>
    <m/>
    <n v="0"/>
    <n v="0"/>
  </r>
  <r>
    <x v="10"/>
    <s v="Murray State College "/>
    <m/>
    <n v="207236"/>
    <x v="8"/>
    <s v="sem"/>
    <s v="sem"/>
    <m/>
    <m/>
    <n v="27511"/>
    <n v="25180"/>
    <n v="5120"/>
    <n v="4778"/>
    <n v="26573"/>
    <n v="20574"/>
    <n v="59204"/>
    <n v="1973.4666666666667"/>
    <n v="50532"/>
    <n v="1684.4"/>
    <n v="4433"/>
    <n v="4680"/>
    <n v="59204"/>
    <n v="50532"/>
    <m/>
    <m/>
    <m/>
    <m/>
    <m/>
    <m/>
    <m/>
    <m/>
    <n v="0"/>
    <n v="0"/>
    <n v="0"/>
    <n v="0"/>
    <m/>
    <m/>
    <n v="0"/>
    <n v="0"/>
  </r>
  <r>
    <x v="10"/>
    <s v="Northeastern Oklahoma A &amp; M College "/>
    <m/>
    <n v="207290"/>
    <x v="8"/>
    <s v="sem"/>
    <s v="sem"/>
    <m/>
    <m/>
    <n v="26454"/>
    <n v="27681"/>
    <n v="5227"/>
    <n v="3957"/>
    <n v="31953"/>
    <n v="26273"/>
    <n v="63634"/>
    <n v="2121.1333333333332"/>
    <n v="57911"/>
    <n v="1930.3666666666666"/>
    <n v="2297"/>
    <n v="1902"/>
    <n v="63634"/>
    <n v="57911"/>
    <m/>
    <m/>
    <m/>
    <m/>
    <m/>
    <m/>
    <m/>
    <m/>
    <n v="0"/>
    <n v="0"/>
    <n v="0"/>
    <n v="0"/>
    <m/>
    <m/>
    <n v="0"/>
    <n v="0"/>
  </r>
  <r>
    <x v="10"/>
    <s v="Redlands Community College"/>
    <m/>
    <n v="207069"/>
    <x v="8"/>
    <s v="sem"/>
    <s v="sem"/>
    <m/>
    <m/>
    <n v="22228"/>
    <n v="20375"/>
    <n v="4325"/>
    <n v="3843"/>
    <n v="22478"/>
    <n v="21220"/>
    <n v="49031"/>
    <n v="1634.3666666666666"/>
    <n v="45438"/>
    <n v="1514.6"/>
    <n v="7023"/>
    <n v="6994"/>
    <n v="49031"/>
    <n v="45438"/>
    <m/>
    <m/>
    <m/>
    <m/>
    <m/>
    <m/>
    <m/>
    <m/>
    <n v="0"/>
    <n v="0"/>
    <n v="0"/>
    <n v="0"/>
    <m/>
    <m/>
    <n v="0"/>
    <n v="0"/>
  </r>
  <r>
    <x v="10"/>
    <s v="Seminole State College "/>
    <m/>
    <n v="207740"/>
    <x v="8"/>
    <s v="sem"/>
    <s v="sem"/>
    <m/>
    <m/>
    <n v="22183"/>
    <n v="19994"/>
    <n v="3947"/>
    <n v="2802"/>
    <n v="23763"/>
    <n v="21107"/>
    <n v="49893"/>
    <n v="1663.1"/>
    <n v="43903"/>
    <n v="1463.4333333333334"/>
    <n v="2934"/>
    <n v="3646"/>
    <n v="49893"/>
    <n v="43903"/>
    <m/>
    <m/>
    <m/>
    <m/>
    <m/>
    <m/>
    <m/>
    <m/>
    <n v="0"/>
    <n v="0"/>
    <n v="0"/>
    <n v="0"/>
    <m/>
    <m/>
    <n v="0"/>
    <n v="0"/>
  </r>
  <r>
    <x v="10"/>
    <s v="Western Oklahoma State College "/>
    <s v="Met the criteria for Two-Year 2 institution in 2011-12 and 2012-13."/>
    <n v="208035"/>
    <x v="8"/>
    <s v="sem"/>
    <s v="sem"/>
    <m/>
    <m/>
    <n v="21802"/>
    <n v="20607"/>
    <n v="10560"/>
    <n v="12930"/>
    <n v="30686"/>
    <n v="31032"/>
    <n v="63048"/>
    <n v="2101.6"/>
    <n v="64569"/>
    <n v="2152.3000000000002"/>
    <n v="4374"/>
    <n v="3685"/>
    <n v="63048"/>
    <n v="64569"/>
    <m/>
    <m/>
    <m/>
    <m/>
    <m/>
    <m/>
    <m/>
    <m/>
    <n v="0"/>
    <n v="0"/>
    <n v="0"/>
    <n v="0"/>
    <m/>
    <m/>
    <n v="0"/>
    <n v="0"/>
  </r>
  <r>
    <x v="10"/>
    <s v="Canadian Valley Technology Center                 "/>
    <m/>
    <n v="365374"/>
    <x v="9"/>
    <m/>
    <m/>
    <m/>
    <m/>
    <m/>
    <m/>
    <m/>
    <m/>
    <m/>
    <m/>
    <n v="0"/>
    <n v="0"/>
    <n v="0"/>
    <n v="0"/>
    <m/>
    <m/>
    <n v="0"/>
    <n v="0"/>
    <m/>
    <m/>
    <m/>
    <m/>
    <m/>
    <m/>
    <n v="1157859.46"/>
    <n v="1005412"/>
    <n v="1157859.46"/>
    <n v="1286.5105111111111"/>
    <n v="1005412"/>
    <n v="1117.1244444444444"/>
    <m/>
    <m/>
    <n v="0"/>
    <n v="0"/>
  </r>
  <r>
    <x v="10"/>
    <s v="Francis Tuttle Technology Center                  "/>
    <m/>
    <n v="245999"/>
    <x v="9"/>
    <m/>
    <m/>
    <m/>
    <m/>
    <m/>
    <m/>
    <m/>
    <m/>
    <m/>
    <m/>
    <n v="0"/>
    <n v="0"/>
    <n v="0"/>
    <n v="0"/>
    <m/>
    <m/>
    <n v="0"/>
    <n v="0"/>
    <m/>
    <m/>
    <m/>
    <m/>
    <m/>
    <m/>
    <n v="1509993.25"/>
    <n v="1452946"/>
    <n v="1509993.25"/>
    <n v="1677.7702777777777"/>
    <n v="1452946"/>
    <n v="1614.3844444444444"/>
    <m/>
    <m/>
    <n v="0"/>
    <n v="0"/>
  </r>
  <r>
    <x v="10"/>
    <s v="Metro Technology Centers                          "/>
    <m/>
    <n v="363165"/>
    <x v="9"/>
    <m/>
    <m/>
    <m/>
    <m/>
    <m/>
    <m/>
    <m/>
    <m/>
    <m/>
    <m/>
    <n v="0"/>
    <n v="0"/>
    <n v="0"/>
    <n v="0"/>
    <m/>
    <m/>
    <n v="0"/>
    <n v="0"/>
    <m/>
    <m/>
    <m/>
    <m/>
    <m/>
    <m/>
    <n v="1206431.8999999999"/>
    <n v="1183530"/>
    <n v="1206431.8999999999"/>
    <n v="1340.4798888888888"/>
    <n v="1183530"/>
    <n v="1315.0333333333333"/>
    <m/>
    <m/>
    <n v="0"/>
    <n v="0"/>
  </r>
  <r>
    <x v="10"/>
    <s v="Autry Technology Center                           "/>
    <m/>
    <n v="365213"/>
    <x v="10"/>
    <m/>
    <m/>
    <m/>
    <m/>
    <m/>
    <m/>
    <m/>
    <m/>
    <m/>
    <m/>
    <n v="0"/>
    <n v="0"/>
    <n v="0"/>
    <n v="0"/>
    <m/>
    <m/>
    <n v="0"/>
    <n v="0"/>
    <m/>
    <m/>
    <m/>
    <m/>
    <m/>
    <m/>
    <n v="499956.15"/>
    <n v="487914"/>
    <n v="499956.15"/>
    <n v="555.50683333333336"/>
    <n v="487914"/>
    <n v="542.12666666666667"/>
    <m/>
    <m/>
    <n v="0"/>
    <n v="0"/>
  </r>
  <r>
    <x v="10"/>
    <s v="Caddo Kiowa Technology Center                     "/>
    <m/>
    <n v="364946"/>
    <x v="10"/>
    <m/>
    <m/>
    <m/>
    <m/>
    <m/>
    <m/>
    <m/>
    <m/>
    <m/>
    <m/>
    <n v="0"/>
    <n v="0"/>
    <n v="0"/>
    <n v="0"/>
    <m/>
    <m/>
    <n v="0"/>
    <n v="0"/>
    <m/>
    <m/>
    <m/>
    <m/>
    <m/>
    <m/>
    <n v="357117"/>
    <n v="324735"/>
    <n v="357117"/>
    <n v="396.79666666666668"/>
    <n v="324735"/>
    <n v="360.81666666666666"/>
    <m/>
    <m/>
    <n v="0"/>
    <n v="0"/>
  </r>
  <r>
    <x v="10"/>
    <s v="Central Technology Center                         "/>
    <m/>
    <n v="246017"/>
    <x v="10"/>
    <m/>
    <m/>
    <m/>
    <m/>
    <m/>
    <m/>
    <m/>
    <m/>
    <m/>
    <m/>
    <n v="0"/>
    <n v="0"/>
    <n v="0"/>
    <n v="0"/>
    <m/>
    <m/>
    <n v="0"/>
    <n v="0"/>
    <m/>
    <m/>
    <m/>
    <m/>
    <m/>
    <m/>
    <n v="778883.75"/>
    <n v="786172"/>
    <n v="778883.75"/>
    <n v="865.42638888888894"/>
    <n v="786172"/>
    <n v="873.5244444444445"/>
    <m/>
    <m/>
    <n v="0"/>
    <n v="0"/>
  </r>
  <r>
    <x v="10"/>
    <s v="Chisholm Trail Technology Center                  "/>
    <m/>
    <n v="375656"/>
    <x v="10"/>
    <m/>
    <m/>
    <m/>
    <m/>
    <m/>
    <m/>
    <m/>
    <m/>
    <m/>
    <m/>
    <n v="0"/>
    <n v="0"/>
    <n v="0"/>
    <n v="0"/>
    <m/>
    <m/>
    <n v="0"/>
    <n v="0"/>
    <m/>
    <m/>
    <m/>
    <m/>
    <m/>
    <m/>
    <n v="111580"/>
    <n v="92664"/>
    <n v="111580"/>
    <n v="123.97777777777777"/>
    <n v="92664"/>
    <n v="102.96"/>
    <m/>
    <m/>
    <n v="0"/>
    <n v="0"/>
  </r>
  <r>
    <x v="10"/>
    <s v="Eastern Oklahoma County Technology Center         "/>
    <m/>
    <n v="418348"/>
    <x v="10"/>
    <m/>
    <m/>
    <m/>
    <m/>
    <m/>
    <m/>
    <m/>
    <m/>
    <m/>
    <m/>
    <n v="0"/>
    <n v="0"/>
    <n v="0"/>
    <n v="0"/>
    <m/>
    <m/>
    <n v="0"/>
    <n v="0"/>
    <m/>
    <m/>
    <m/>
    <m/>
    <m/>
    <m/>
    <n v="331567"/>
    <n v="326980"/>
    <n v="331567"/>
    <n v="368.40777777777777"/>
    <n v="326980"/>
    <n v="363.31111111111113"/>
    <m/>
    <m/>
    <n v="0"/>
    <n v="0"/>
  </r>
  <r>
    <x v="10"/>
    <s v="Gordon Cooper Technology Center                   "/>
    <m/>
    <n v="375683"/>
    <x v="10"/>
    <m/>
    <m/>
    <m/>
    <m/>
    <m/>
    <m/>
    <m/>
    <m/>
    <m/>
    <m/>
    <n v="0"/>
    <n v="0"/>
    <n v="0"/>
    <n v="0"/>
    <m/>
    <m/>
    <n v="0"/>
    <n v="0"/>
    <m/>
    <m/>
    <m/>
    <m/>
    <m/>
    <m/>
    <n v="670476.5"/>
    <n v="680194"/>
    <n v="670476.5"/>
    <n v="744.97388888888884"/>
    <n v="680194"/>
    <n v="755.77111111111117"/>
    <m/>
    <m/>
    <n v="0"/>
    <n v="0"/>
  </r>
  <r>
    <x v="10"/>
    <s v="Great Plains Technology Center                    "/>
    <m/>
    <n v="364548"/>
    <x v="10"/>
    <m/>
    <m/>
    <m/>
    <m/>
    <m/>
    <m/>
    <m/>
    <m/>
    <m/>
    <m/>
    <n v="0"/>
    <n v="0"/>
    <n v="0"/>
    <n v="0"/>
    <m/>
    <m/>
    <n v="0"/>
    <n v="0"/>
    <m/>
    <m/>
    <m/>
    <m/>
    <m/>
    <m/>
    <n v="876995.5"/>
    <n v="827147"/>
    <n v="876995.5"/>
    <n v="974.43944444444446"/>
    <n v="827147"/>
    <n v="919.05222222222221"/>
    <m/>
    <m/>
    <n v="0"/>
    <n v="0"/>
  </r>
  <r>
    <x v="10"/>
    <s v="Green Country Technology Center                   "/>
    <m/>
    <n v="428019"/>
    <x v="10"/>
    <m/>
    <m/>
    <m/>
    <m/>
    <m/>
    <m/>
    <m/>
    <m/>
    <m/>
    <m/>
    <n v="0"/>
    <n v="0"/>
    <n v="0"/>
    <n v="0"/>
    <m/>
    <m/>
    <n v="0"/>
    <n v="0"/>
    <m/>
    <m/>
    <m/>
    <m/>
    <m/>
    <m/>
    <n v="248913"/>
    <n v="207618"/>
    <n v="248913"/>
    <n v="276.57"/>
    <n v="207618"/>
    <n v="230.68666666666667"/>
    <m/>
    <m/>
    <n v="0"/>
    <n v="0"/>
  </r>
  <r>
    <x v="10"/>
    <s v="High Plains Technology Center                     "/>
    <m/>
    <n v="208053"/>
    <x v="10"/>
    <m/>
    <m/>
    <m/>
    <m/>
    <m/>
    <m/>
    <m/>
    <m/>
    <m/>
    <m/>
    <n v="0"/>
    <n v="0"/>
    <n v="0"/>
    <n v="0"/>
    <m/>
    <m/>
    <n v="0"/>
    <n v="0"/>
    <m/>
    <m/>
    <m/>
    <m/>
    <m/>
    <m/>
    <n v="215438.75"/>
    <n v="189990"/>
    <n v="215438.75"/>
    <n v="239.3763888888889"/>
    <n v="189990"/>
    <n v="211.1"/>
    <m/>
    <m/>
    <n v="0"/>
    <n v="0"/>
  </r>
  <r>
    <x v="10"/>
    <s v="Indian Capital Technology Center-Muskogee         "/>
    <m/>
    <n v="418296"/>
    <x v="10"/>
    <m/>
    <m/>
    <m/>
    <m/>
    <m/>
    <m/>
    <m/>
    <m/>
    <m/>
    <m/>
    <n v="0"/>
    <n v="0"/>
    <n v="0"/>
    <n v="0"/>
    <m/>
    <m/>
    <n v="0"/>
    <n v="0"/>
    <m/>
    <m/>
    <m/>
    <m/>
    <m/>
    <m/>
    <n v="490481.07"/>
    <n v="488612"/>
    <n v="490481.07"/>
    <n v="544.97896666666668"/>
    <n v="488612"/>
    <n v="542.90222222222224"/>
    <m/>
    <m/>
    <n v="0"/>
    <n v="0"/>
  </r>
  <r>
    <x v="10"/>
    <s v="Indian Capital Technology Center-Sallisaw         "/>
    <m/>
    <n v="421540"/>
    <x v="10"/>
    <m/>
    <m/>
    <m/>
    <m/>
    <m/>
    <m/>
    <m/>
    <m/>
    <m/>
    <m/>
    <n v="0"/>
    <n v="0"/>
    <n v="0"/>
    <n v="0"/>
    <m/>
    <m/>
    <n v="0"/>
    <n v="0"/>
    <m/>
    <m/>
    <m/>
    <m/>
    <m/>
    <m/>
    <n v="172153"/>
    <n v="158466"/>
    <n v="172153"/>
    <n v="191.2811111111111"/>
    <n v="158466"/>
    <n v="176.07333333333332"/>
    <m/>
    <m/>
    <n v="0"/>
    <n v="0"/>
  </r>
  <r>
    <x v="10"/>
    <s v="Indian Capital Technology Center-Stilwell         "/>
    <m/>
    <n v="421559"/>
    <x v="10"/>
    <m/>
    <m/>
    <m/>
    <m/>
    <m/>
    <m/>
    <m/>
    <m/>
    <m/>
    <m/>
    <n v="0"/>
    <n v="0"/>
    <n v="0"/>
    <n v="0"/>
    <m/>
    <m/>
    <n v="0"/>
    <n v="0"/>
    <m/>
    <m/>
    <m/>
    <m/>
    <m/>
    <m/>
    <n v="103565"/>
    <n v="117530"/>
    <n v="103565"/>
    <n v="115.07222222222222"/>
    <n v="117530"/>
    <n v="130.5888888888889"/>
    <m/>
    <m/>
    <n v="0"/>
    <n v="0"/>
  </r>
  <r>
    <x v="10"/>
    <s v="Indian Capital Technology Center-Tahlequah        "/>
    <m/>
    <n v="208026"/>
    <x v="10"/>
    <m/>
    <m/>
    <m/>
    <m/>
    <m/>
    <m/>
    <m/>
    <m/>
    <m/>
    <m/>
    <n v="0"/>
    <n v="0"/>
    <n v="0"/>
    <n v="0"/>
    <m/>
    <m/>
    <n v="0"/>
    <n v="0"/>
    <m/>
    <m/>
    <m/>
    <m/>
    <m/>
    <m/>
    <n v="209746"/>
    <n v="195943"/>
    <n v="209746"/>
    <n v="233.05111111111111"/>
    <n v="195943"/>
    <n v="217.71444444444444"/>
    <m/>
    <m/>
    <n v="0"/>
    <n v="0"/>
  </r>
  <r>
    <x v="10"/>
    <s v="Kiamichi Technology Center-Atoka                  "/>
    <m/>
    <n v="375692"/>
    <x v="10"/>
    <m/>
    <m/>
    <m/>
    <m/>
    <m/>
    <m/>
    <m/>
    <m/>
    <m/>
    <m/>
    <n v="0"/>
    <n v="0"/>
    <n v="0"/>
    <n v="0"/>
    <m/>
    <m/>
    <n v="0"/>
    <n v="0"/>
    <m/>
    <m/>
    <m/>
    <m/>
    <m/>
    <m/>
    <n v="109267.5"/>
    <n v="106717"/>
    <n v="109267.5"/>
    <n v="121.40833333333333"/>
    <n v="106717"/>
    <n v="118.57444444444444"/>
    <m/>
    <m/>
    <n v="0"/>
    <n v="0"/>
  </r>
  <r>
    <x v="10"/>
    <s v="Kiamichi Technology Center-Durant                 "/>
    <m/>
    <n v="375708"/>
    <x v="10"/>
    <m/>
    <m/>
    <m/>
    <m/>
    <m/>
    <m/>
    <m/>
    <m/>
    <m/>
    <m/>
    <n v="0"/>
    <n v="0"/>
    <n v="0"/>
    <n v="0"/>
    <m/>
    <m/>
    <n v="0"/>
    <n v="0"/>
    <m/>
    <m/>
    <m/>
    <m/>
    <m/>
    <m/>
    <n v="203568"/>
    <n v="169385"/>
    <n v="203568"/>
    <n v="226.18666666666667"/>
    <n v="169385"/>
    <n v="188.20555555555555"/>
    <m/>
    <m/>
    <n v="0"/>
    <n v="0"/>
  </r>
  <r>
    <x v="10"/>
    <s v="Kiamichi Technology Center-Hugo                   "/>
    <m/>
    <n v="375717"/>
    <x v="10"/>
    <m/>
    <m/>
    <m/>
    <m/>
    <m/>
    <m/>
    <m/>
    <m/>
    <m/>
    <m/>
    <n v="0"/>
    <n v="0"/>
    <n v="0"/>
    <n v="0"/>
    <m/>
    <m/>
    <n v="0"/>
    <n v="0"/>
    <m/>
    <m/>
    <m/>
    <m/>
    <m/>
    <m/>
    <n v="147098"/>
    <n v="139724"/>
    <n v="147098"/>
    <n v="163.44222222222223"/>
    <n v="139724"/>
    <n v="155.2488888888889"/>
    <m/>
    <m/>
    <n v="0"/>
    <n v="0"/>
  </r>
  <r>
    <x v="10"/>
    <s v="Kiamichi Technology Center-Idabel                 "/>
    <m/>
    <n v="375735"/>
    <x v="10"/>
    <m/>
    <m/>
    <m/>
    <m/>
    <m/>
    <m/>
    <m/>
    <m/>
    <m/>
    <m/>
    <n v="0"/>
    <n v="0"/>
    <n v="0"/>
    <n v="0"/>
    <m/>
    <m/>
    <n v="0"/>
    <n v="0"/>
    <m/>
    <m/>
    <m/>
    <m/>
    <m/>
    <m/>
    <n v="180915"/>
    <n v="188055"/>
    <n v="180915"/>
    <n v="201.01666666666668"/>
    <n v="188055"/>
    <n v="208.95"/>
    <m/>
    <m/>
    <n v="0"/>
    <n v="0"/>
  </r>
  <r>
    <x v="10"/>
    <s v="Kiamichi Technology Center-McAlester              "/>
    <m/>
    <n v="375726"/>
    <x v="10"/>
    <m/>
    <m/>
    <m/>
    <m/>
    <m/>
    <m/>
    <m/>
    <m/>
    <m/>
    <m/>
    <n v="0"/>
    <n v="0"/>
    <n v="0"/>
    <n v="0"/>
    <m/>
    <m/>
    <n v="0"/>
    <n v="0"/>
    <m/>
    <m/>
    <m/>
    <m/>
    <m/>
    <m/>
    <n v="321603.5"/>
    <n v="335342"/>
    <n v="321603.5"/>
    <n v="357.33722222222224"/>
    <n v="335342"/>
    <n v="372.60222222222222"/>
    <m/>
    <m/>
    <n v="0"/>
    <n v="0"/>
  </r>
  <r>
    <x v="10"/>
    <s v="Kiamichi Technology Center-Poteau                 "/>
    <m/>
    <n v="375744"/>
    <x v="10"/>
    <m/>
    <m/>
    <m/>
    <m/>
    <m/>
    <m/>
    <m/>
    <m/>
    <m/>
    <m/>
    <n v="0"/>
    <n v="0"/>
    <n v="0"/>
    <n v="0"/>
    <m/>
    <m/>
    <n v="0"/>
    <n v="0"/>
    <m/>
    <m/>
    <m/>
    <m/>
    <m/>
    <m/>
    <n v="266179.5"/>
    <n v="346977"/>
    <n v="266179.5"/>
    <n v="295.755"/>
    <n v="346977"/>
    <n v="385.53"/>
    <m/>
    <m/>
    <n v="0"/>
    <n v="0"/>
  </r>
  <r>
    <x v="10"/>
    <s v="Kiamichi Technology Center-Spiro                  "/>
    <m/>
    <n v="375753"/>
    <x v="10"/>
    <m/>
    <m/>
    <m/>
    <m/>
    <m/>
    <m/>
    <m/>
    <m/>
    <m/>
    <m/>
    <n v="0"/>
    <n v="0"/>
    <n v="0"/>
    <n v="0"/>
    <m/>
    <m/>
    <n v="0"/>
    <n v="0"/>
    <m/>
    <m/>
    <m/>
    <m/>
    <m/>
    <m/>
    <n v="24676"/>
    <n v="30277"/>
    <n v="24676"/>
    <n v="27.417777777777779"/>
    <n v="30277"/>
    <n v="33.641111111111108"/>
    <m/>
    <m/>
    <n v="0"/>
    <n v="0"/>
  </r>
  <r>
    <x v="10"/>
    <s v="Kiamichi Technology Center-Stigler                "/>
    <m/>
    <n v="405748"/>
    <x v="10"/>
    <m/>
    <m/>
    <m/>
    <m/>
    <m/>
    <m/>
    <m/>
    <m/>
    <m/>
    <m/>
    <n v="0"/>
    <n v="0"/>
    <n v="0"/>
    <n v="0"/>
    <m/>
    <m/>
    <n v="0"/>
    <n v="0"/>
    <m/>
    <m/>
    <m/>
    <m/>
    <m/>
    <m/>
    <n v="86214"/>
    <n v="87753"/>
    <n v="86214"/>
    <n v="95.793333333333337"/>
    <n v="87753"/>
    <n v="97.50333333333333"/>
    <m/>
    <m/>
    <n v="0"/>
    <n v="0"/>
  </r>
  <r>
    <x v="10"/>
    <s v="Kiamichi Technology Center-Talihina               "/>
    <m/>
    <n v="375762"/>
    <x v="10"/>
    <m/>
    <m/>
    <m/>
    <m/>
    <m/>
    <m/>
    <m/>
    <m/>
    <m/>
    <m/>
    <n v="0"/>
    <n v="0"/>
    <n v="0"/>
    <n v="0"/>
    <m/>
    <m/>
    <n v="0"/>
    <n v="0"/>
    <m/>
    <m/>
    <m/>
    <m/>
    <m/>
    <m/>
    <n v="70761"/>
    <n v="94476"/>
    <n v="70761"/>
    <n v="78.623333333333335"/>
    <n v="94476"/>
    <n v="104.97333333333333"/>
    <m/>
    <m/>
    <n v="0"/>
    <n v="0"/>
  </r>
  <r>
    <x v="10"/>
    <s v="Meridian Technology Center                        "/>
    <m/>
    <n v="365480"/>
    <x v="10"/>
    <m/>
    <m/>
    <m/>
    <m/>
    <m/>
    <m/>
    <m/>
    <m/>
    <m/>
    <m/>
    <n v="0"/>
    <n v="0"/>
    <n v="0"/>
    <n v="0"/>
    <m/>
    <m/>
    <n v="0"/>
    <n v="0"/>
    <m/>
    <m/>
    <m/>
    <m/>
    <m/>
    <m/>
    <n v="450981"/>
    <n v="508491"/>
    <n v="450981"/>
    <n v="501.09"/>
    <n v="508491"/>
    <n v="564.99"/>
    <m/>
    <m/>
    <n v="0"/>
    <n v="0"/>
  </r>
  <r>
    <x v="10"/>
    <s v="Mid-America Technology Center                     "/>
    <m/>
    <n v="418320"/>
    <x v="10"/>
    <m/>
    <m/>
    <m/>
    <m/>
    <m/>
    <m/>
    <m/>
    <m/>
    <m/>
    <m/>
    <n v="0"/>
    <n v="0"/>
    <n v="0"/>
    <n v="0"/>
    <m/>
    <m/>
    <n v="0"/>
    <n v="0"/>
    <m/>
    <m/>
    <m/>
    <m/>
    <m/>
    <m/>
    <n v="549738.5"/>
    <n v="534435"/>
    <n v="549738.5"/>
    <n v="610.82055555555553"/>
    <n v="534435"/>
    <n v="593.81666666666672"/>
    <m/>
    <m/>
    <n v="0"/>
    <n v="0"/>
  </r>
  <r>
    <x v="10"/>
    <s v="Mid-Del Technology Center                         "/>
    <m/>
    <n v="431017"/>
    <x v="10"/>
    <m/>
    <m/>
    <m/>
    <m/>
    <m/>
    <m/>
    <m/>
    <m/>
    <m/>
    <m/>
    <n v="0"/>
    <n v="0"/>
    <n v="0"/>
    <n v="0"/>
    <m/>
    <m/>
    <n v="0"/>
    <n v="0"/>
    <m/>
    <m/>
    <m/>
    <m/>
    <m/>
    <m/>
    <n v="484171"/>
    <n v="414983"/>
    <n v="484171"/>
    <n v="537.96777777777777"/>
    <n v="414983"/>
    <n v="461.09222222222223"/>
    <m/>
    <m/>
    <n v="0"/>
    <n v="0"/>
  </r>
  <r>
    <x v="10"/>
    <s v="Moore Norman Technology Center                    "/>
    <m/>
    <n v="248606"/>
    <x v="10"/>
    <m/>
    <m/>
    <m/>
    <m/>
    <m/>
    <m/>
    <m/>
    <m/>
    <m/>
    <m/>
    <n v="0"/>
    <n v="0"/>
    <n v="0"/>
    <n v="0"/>
    <m/>
    <m/>
    <n v="0"/>
    <n v="0"/>
    <m/>
    <m/>
    <m/>
    <m/>
    <m/>
    <m/>
    <n v="950240.01"/>
    <n v="806348"/>
    <n v="950240.01"/>
    <n v="1055.8222333333333"/>
    <n v="806348"/>
    <n v="895.9422222222222"/>
    <m/>
    <m/>
    <n v="0"/>
    <n v="0"/>
  </r>
  <r>
    <x v="10"/>
    <s v="Northeast Technology Center-Afton                 "/>
    <m/>
    <n v="420459"/>
    <x v="10"/>
    <m/>
    <m/>
    <m/>
    <m/>
    <m/>
    <m/>
    <m/>
    <m/>
    <m/>
    <m/>
    <n v="0"/>
    <n v="0"/>
    <n v="0"/>
    <n v="0"/>
    <m/>
    <m/>
    <n v="0"/>
    <n v="0"/>
    <m/>
    <m/>
    <m/>
    <m/>
    <m/>
    <m/>
    <n v="295356.5"/>
    <n v="290355"/>
    <n v="295356.5"/>
    <n v="328.17388888888888"/>
    <n v="290355"/>
    <n v="322.61666666666667"/>
    <m/>
    <m/>
    <n v="0"/>
    <n v="0"/>
  </r>
  <r>
    <x v="10"/>
    <s v="Northeast Technology Center-Claremore"/>
    <s v="New institution no longer in start up phase. "/>
    <s v="456560"/>
    <x v="10"/>
    <m/>
    <m/>
    <m/>
    <m/>
    <m/>
    <m/>
    <m/>
    <m/>
    <m/>
    <m/>
    <n v="0"/>
    <n v="0"/>
    <n v="0"/>
    <n v="0"/>
    <m/>
    <m/>
    <n v="0"/>
    <n v="0"/>
    <m/>
    <m/>
    <m/>
    <m/>
    <m/>
    <m/>
    <n v="97753"/>
    <n v="105286"/>
    <n v="97753"/>
    <n v="108.61444444444444"/>
    <n v="105286"/>
    <n v="116.98444444444445"/>
    <m/>
    <m/>
    <n v="0"/>
    <n v="0"/>
  </r>
  <r>
    <x v="10"/>
    <s v="Northeast Technology Center-Kansas                "/>
    <m/>
    <n v="432074"/>
    <x v="10"/>
    <m/>
    <m/>
    <m/>
    <m/>
    <m/>
    <m/>
    <m/>
    <m/>
    <m/>
    <m/>
    <n v="0"/>
    <n v="0"/>
    <n v="0"/>
    <n v="0"/>
    <m/>
    <m/>
    <n v="0"/>
    <n v="0"/>
    <m/>
    <m/>
    <m/>
    <m/>
    <m/>
    <m/>
    <n v="161927"/>
    <n v="163349"/>
    <n v="161927"/>
    <n v="179.91888888888889"/>
    <n v="163349"/>
    <n v="181.4988888888889"/>
    <m/>
    <m/>
    <n v="0"/>
    <n v="0"/>
  </r>
  <r>
    <x v="10"/>
    <s v="Northeast Technology Center-Pryor                 "/>
    <m/>
    <n v="418339"/>
    <x v="10"/>
    <m/>
    <m/>
    <m/>
    <m/>
    <m/>
    <m/>
    <m/>
    <m/>
    <m/>
    <m/>
    <n v="0"/>
    <n v="0"/>
    <n v="0"/>
    <n v="0"/>
    <m/>
    <m/>
    <n v="0"/>
    <n v="0"/>
    <m/>
    <m/>
    <m/>
    <m/>
    <m/>
    <m/>
    <n v="277570"/>
    <n v="265031"/>
    <n v="277570"/>
    <n v="308.4111111111111"/>
    <n v="265031"/>
    <n v="294.47888888888889"/>
    <m/>
    <m/>
    <n v="0"/>
    <n v="0"/>
  </r>
  <r>
    <x v="10"/>
    <s v="Northwest Technology Center-Alva                  "/>
    <m/>
    <n v="366623"/>
    <x v="10"/>
    <m/>
    <m/>
    <m/>
    <m/>
    <m/>
    <m/>
    <m/>
    <m/>
    <m/>
    <m/>
    <n v="0"/>
    <n v="0"/>
    <n v="0"/>
    <n v="0"/>
    <m/>
    <m/>
    <n v="0"/>
    <n v="0"/>
    <m/>
    <m/>
    <m/>
    <m/>
    <m/>
    <m/>
    <n v="92776.62"/>
    <n v="99218"/>
    <n v="92776.62"/>
    <n v="103.08513333333333"/>
    <n v="99218"/>
    <n v="110.24222222222222"/>
    <m/>
    <m/>
    <n v="0"/>
    <n v="0"/>
  </r>
  <r>
    <x v="10"/>
    <s v="Northwest Technology Center-Fairview              "/>
    <m/>
    <n v="407601"/>
    <x v="10"/>
    <m/>
    <m/>
    <m/>
    <m/>
    <m/>
    <m/>
    <m/>
    <m/>
    <m/>
    <m/>
    <n v="0"/>
    <n v="0"/>
    <n v="0"/>
    <n v="0"/>
    <m/>
    <m/>
    <n v="0"/>
    <n v="0"/>
    <m/>
    <m/>
    <m/>
    <m/>
    <m/>
    <m/>
    <n v="85314.25"/>
    <n v="76702"/>
    <n v="85314.25"/>
    <n v="94.793611111111105"/>
    <n v="76702"/>
    <n v="85.224444444444444"/>
    <m/>
    <m/>
    <n v="0"/>
    <n v="0"/>
  </r>
  <r>
    <x v="10"/>
    <s v="Pioneer Technology Center                         "/>
    <m/>
    <n v="364627"/>
    <x v="10"/>
    <m/>
    <m/>
    <m/>
    <m/>
    <m/>
    <m/>
    <m/>
    <m/>
    <m/>
    <m/>
    <n v="0"/>
    <n v="0"/>
    <n v="0"/>
    <n v="0"/>
    <m/>
    <m/>
    <n v="0"/>
    <n v="0"/>
    <m/>
    <m/>
    <m/>
    <m/>
    <m/>
    <m/>
    <n v="299488.75"/>
    <n v="323062"/>
    <n v="299488.75"/>
    <n v="332.76527777777778"/>
    <n v="323062"/>
    <n v="358.95777777777778"/>
    <m/>
    <m/>
    <n v="0"/>
    <n v="0"/>
  </r>
  <r>
    <x v="10"/>
    <s v="Pontotoc Technology Center                        "/>
    <m/>
    <n v="206905"/>
    <x v="10"/>
    <m/>
    <m/>
    <m/>
    <m/>
    <m/>
    <m/>
    <m/>
    <m/>
    <m/>
    <m/>
    <n v="0"/>
    <n v="0"/>
    <n v="0"/>
    <n v="0"/>
    <m/>
    <m/>
    <n v="0"/>
    <n v="0"/>
    <m/>
    <m/>
    <m/>
    <m/>
    <m/>
    <m/>
    <n v="201922"/>
    <n v="252360"/>
    <n v="201922"/>
    <n v="224.35777777777778"/>
    <n v="252360"/>
    <n v="280.39999999999998"/>
    <m/>
    <m/>
    <n v="0"/>
    <n v="0"/>
  </r>
  <r>
    <x v="10"/>
    <s v="Red River Technology Center                       "/>
    <m/>
    <n v="250993"/>
    <x v="10"/>
    <m/>
    <m/>
    <m/>
    <m/>
    <m/>
    <m/>
    <m/>
    <m/>
    <m/>
    <m/>
    <n v="0"/>
    <n v="0"/>
    <n v="0"/>
    <n v="0"/>
    <m/>
    <m/>
    <n v="0"/>
    <n v="0"/>
    <m/>
    <m/>
    <m/>
    <m/>
    <m/>
    <m/>
    <n v="312411.40999999997"/>
    <n v="300008"/>
    <n v="312411.40999999997"/>
    <n v="347.12378888888884"/>
    <n v="300008"/>
    <n v="333.34222222222223"/>
    <m/>
    <m/>
    <n v="0"/>
    <n v="0"/>
  </r>
  <r>
    <x v="10"/>
    <s v="Southern Oklahoma Technology Center               "/>
    <m/>
    <n v="365198"/>
    <x v="10"/>
    <m/>
    <m/>
    <m/>
    <m/>
    <m/>
    <m/>
    <m/>
    <m/>
    <m/>
    <m/>
    <n v="0"/>
    <n v="0"/>
    <n v="0"/>
    <n v="0"/>
    <m/>
    <m/>
    <n v="0"/>
    <n v="0"/>
    <m/>
    <m/>
    <m/>
    <m/>
    <m/>
    <m/>
    <n v="366536"/>
    <n v="365802"/>
    <n v="366536"/>
    <n v="407.26222222222225"/>
    <n v="365802"/>
    <n v="406.44666666666666"/>
    <m/>
    <m/>
    <n v="0"/>
    <n v="0"/>
  </r>
  <r>
    <x v="10"/>
    <s v="Southwest Technology Center                       "/>
    <m/>
    <n v="368364"/>
    <x v="10"/>
    <m/>
    <m/>
    <m/>
    <m/>
    <m/>
    <m/>
    <m/>
    <m/>
    <m/>
    <m/>
    <n v="0"/>
    <n v="0"/>
    <n v="0"/>
    <n v="0"/>
    <m/>
    <m/>
    <n v="0"/>
    <n v="0"/>
    <m/>
    <m/>
    <m/>
    <m/>
    <m/>
    <m/>
    <n v="233505"/>
    <n v="216488"/>
    <n v="233505"/>
    <n v="259.45"/>
    <n v="216488"/>
    <n v="240.54222222222222"/>
    <m/>
    <m/>
    <n v="0"/>
    <n v="0"/>
  </r>
  <r>
    <x v="10"/>
    <s v="Tri County Technology Center                      "/>
    <m/>
    <n v="418287"/>
    <x v="10"/>
    <m/>
    <m/>
    <m/>
    <m/>
    <m/>
    <m/>
    <m/>
    <m/>
    <m/>
    <m/>
    <n v="0"/>
    <n v="0"/>
    <n v="0"/>
    <n v="0"/>
    <m/>
    <m/>
    <n v="0"/>
    <n v="0"/>
    <m/>
    <m/>
    <m/>
    <m/>
    <m/>
    <m/>
    <n v="409084.75"/>
    <n v="400941"/>
    <n v="409084.75"/>
    <n v="454.53861111111109"/>
    <n v="400941"/>
    <n v="445.49"/>
    <m/>
    <m/>
    <n v="0"/>
    <n v="0"/>
  </r>
  <r>
    <x v="10"/>
    <s v="Tulsa County Area Voc Tech School Dist 18-Peoria  "/>
    <m/>
    <n v="207607"/>
    <x v="10"/>
    <m/>
    <m/>
    <m/>
    <m/>
    <m/>
    <m/>
    <m/>
    <m/>
    <m/>
    <m/>
    <n v="0"/>
    <n v="0"/>
    <n v="0"/>
    <n v="0"/>
    <m/>
    <m/>
    <n v="0"/>
    <n v="0"/>
    <m/>
    <m/>
    <m/>
    <m/>
    <m/>
    <m/>
    <n v="343403.42"/>
    <n v="338177"/>
    <n v="343403.42"/>
    <n v="381.55935555555556"/>
    <n v="338177"/>
    <n v="375.7522222222222"/>
    <m/>
    <m/>
    <n v="0"/>
    <n v="0"/>
  </r>
  <r>
    <x v="10"/>
    <s v="Tulsa Technology Center-Broken Arrow Campus       "/>
    <m/>
    <n v="261393"/>
    <x v="10"/>
    <m/>
    <m/>
    <m/>
    <m/>
    <m/>
    <m/>
    <m/>
    <m/>
    <m/>
    <m/>
    <n v="0"/>
    <n v="0"/>
    <n v="0"/>
    <n v="0"/>
    <m/>
    <m/>
    <n v="0"/>
    <n v="0"/>
    <m/>
    <m/>
    <m/>
    <m/>
    <m/>
    <m/>
    <n v="619510.21"/>
    <n v="765586"/>
    <n v="619510.21"/>
    <n v="688.34467777777775"/>
    <n v="765586"/>
    <n v="850.65111111111116"/>
    <m/>
    <m/>
    <n v="0"/>
    <n v="0"/>
  </r>
  <r>
    <x v="10"/>
    <s v="Tulsa Technology Center-Lemley Campus             "/>
    <m/>
    <n v="261375"/>
    <x v="10"/>
    <m/>
    <m/>
    <m/>
    <m/>
    <m/>
    <m/>
    <m/>
    <m/>
    <m/>
    <m/>
    <n v="0"/>
    <n v="0"/>
    <n v="0"/>
    <n v="0"/>
    <m/>
    <m/>
    <n v="0"/>
    <n v="0"/>
    <m/>
    <m/>
    <m/>
    <m/>
    <m/>
    <m/>
    <n v="847545.18"/>
    <n v="747476"/>
    <n v="847545.18"/>
    <n v="941.71686666666676"/>
    <n v="747476"/>
    <n v="830.5288888888889"/>
    <m/>
    <m/>
    <n v="0"/>
    <n v="0"/>
  </r>
  <r>
    <x v="10"/>
    <s v="Tulsa Technology Center-Riverside Campus          "/>
    <m/>
    <n v="261384"/>
    <x v="10"/>
    <m/>
    <m/>
    <m/>
    <m/>
    <m/>
    <m/>
    <m/>
    <m/>
    <m/>
    <m/>
    <n v="0"/>
    <n v="0"/>
    <n v="0"/>
    <n v="0"/>
    <m/>
    <m/>
    <n v="0"/>
    <n v="0"/>
    <m/>
    <m/>
    <m/>
    <m/>
    <m/>
    <m/>
    <n v="435187.5"/>
    <n v="409746"/>
    <n v="435187.5"/>
    <n v="483.54166666666669"/>
    <n v="409746"/>
    <n v="455.27333333333331"/>
    <m/>
    <m/>
    <n v="0"/>
    <n v="0"/>
  </r>
  <r>
    <x v="10"/>
    <s v="Wes Watkins Technology Center                     "/>
    <m/>
    <n v="418357"/>
    <x v="10"/>
    <m/>
    <m/>
    <m/>
    <m/>
    <m/>
    <m/>
    <m/>
    <m/>
    <m/>
    <m/>
    <n v="0"/>
    <n v="0"/>
    <n v="0"/>
    <n v="0"/>
    <m/>
    <m/>
    <n v="0"/>
    <n v="0"/>
    <m/>
    <m/>
    <m/>
    <m/>
    <m/>
    <m/>
    <n v="203069"/>
    <n v="189543"/>
    <n v="203069"/>
    <n v="225.63222222222223"/>
    <n v="189543"/>
    <n v="210.60333333333332"/>
    <m/>
    <m/>
    <n v="0"/>
    <n v="0"/>
  </r>
  <r>
    <x v="10"/>
    <s v="Western Technology Center                         "/>
    <m/>
    <n v="418302"/>
    <x v="10"/>
    <m/>
    <m/>
    <m/>
    <m/>
    <m/>
    <m/>
    <m/>
    <m/>
    <m/>
    <m/>
    <n v="0"/>
    <n v="0"/>
    <n v="0"/>
    <n v="0"/>
    <m/>
    <m/>
    <n v="0"/>
    <n v="0"/>
    <m/>
    <m/>
    <m/>
    <m/>
    <m/>
    <m/>
    <n v="434095.55"/>
    <n v="381800"/>
    <n v="434095.55"/>
    <n v="482.32838888888887"/>
    <n v="381800"/>
    <n v="424.22222222222223"/>
    <m/>
    <m/>
    <n v="0"/>
    <n v="0"/>
  </r>
  <r>
    <x v="11"/>
    <s v="Clemson University"/>
    <m/>
    <n v="217882"/>
    <x v="0"/>
    <s v="sem"/>
    <m/>
    <m/>
    <m/>
    <n v="215291"/>
    <n v="218776"/>
    <n v="24389"/>
    <n v="26274"/>
    <n v="236236"/>
    <n v="247981"/>
    <n v="475916"/>
    <n v="15863.866666666667"/>
    <n v="493031"/>
    <n v="16434.366666666665"/>
    <m/>
    <m/>
    <n v="0"/>
    <n v="0"/>
    <m/>
    <m/>
    <m/>
    <m/>
    <m/>
    <m/>
    <m/>
    <m/>
    <n v="0"/>
    <n v="0"/>
    <n v="0"/>
    <n v="0"/>
    <m/>
    <m/>
    <n v="0"/>
    <n v="0"/>
  </r>
  <r>
    <x v="11"/>
    <s v="University of South Carolina-Columbia"/>
    <m/>
    <n v="218663"/>
    <x v="0"/>
    <s v="sem"/>
    <m/>
    <m/>
    <m/>
    <n v="297287"/>
    <n v="313618"/>
    <n v="32445"/>
    <n v="32571"/>
    <n v="332511"/>
    <n v="343359"/>
    <n v="662243"/>
    <n v="22074.766666666666"/>
    <n v="689548"/>
    <n v="22984.933333333334"/>
    <n v="143"/>
    <n v="135"/>
    <n v="662243"/>
    <n v="689548"/>
    <m/>
    <m/>
    <m/>
    <m/>
    <m/>
    <m/>
    <m/>
    <m/>
    <n v="0"/>
    <n v="0"/>
    <n v="0"/>
    <n v="0"/>
    <m/>
    <m/>
    <n v="0"/>
    <n v="0"/>
  </r>
  <r>
    <x v="11"/>
    <s v="College of Charleston"/>
    <m/>
    <n v="217819"/>
    <x v="2"/>
    <s v="sem"/>
    <m/>
    <m/>
    <m/>
    <n v="136212"/>
    <n v="141679"/>
    <n v="14126"/>
    <n v="14705"/>
    <n v="150084"/>
    <n v="150561"/>
    <n v="300422"/>
    <n v="10014.066666666668"/>
    <n v="306945"/>
    <n v="10231.5"/>
    <n v="224"/>
    <n v="293"/>
    <n v="300422"/>
    <n v="306945"/>
    <m/>
    <m/>
    <m/>
    <m/>
    <m/>
    <m/>
    <m/>
    <m/>
    <n v="0"/>
    <n v="0"/>
    <n v="0"/>
    <n v="0"/>
    <m/>
    <m/>
    <n v="0"/>
    <n v="0"/>
  </r>
  <r>
    <x v="11"/>
    <s v="Winthrop University "/>
    <m/>
    <n v="218964"/>
    <x v="2"/>
    <s v="sem"/>
    <m/>
    <m/>
    <m/>
    <n v="65103"/>
    <n v="65305.5"/>
    <n v="8200"/>
    <n v="7630"/>
    <n v="69093"/>
    <n v="70915"/>
    <n v="142396"/>
    <n v="4746.5333333333338"/>
    <n v="143850.5"/>
    <n v="4795.0166666666664"/>
    <n v="1059"/>
    <n v="1002"/>
    <n v="142396"/>
    <n v="143850.5"/>
    <m/>
    <m/>
    <m/>
    <m/>
    <m/>
    <m/>
    <m/>
    <m/>
    <n v="0"/>
    <n v="0"/>
    <n v="0"/>
    <n v="0"/>
    <m/>
    <m/>
    <n v="0"/>
    <n v="0"/>
  </r>
  <r>
    <x v="11"/>
    <s v="The Citadel, the Military College of South Carolina "/>
    <s v="Met the criteria for Four-Year 3 in 2011-12 and 2012-13."/>
    <n v="217864"/>
    <x v="3"/>
    <s v="sem"/>
    <m/>
    <m/>
    <m/>
    <n v="39629"/>
    <n v="39901"/>
    <n v="5467"/>
    <n v="6026"/>
    <n v="42142"/>
    <n v="44793"/>
    <n v="87238"/>
    <n v="2907.9333333333334"/>
    <n v="90720"/>
    <n v="3024"/>
    <n v="227"/>
    <n v="213"/>
    <n v="87238"/>
    <n v="90720"/>
    <m/>
    <m/>
    <m/>
    <m/>
    <m/>
    <m/>
    <m/>
    <m/>
    <n v="0"/>
    <n v="0"/>
    <n v="0"/>
    <n v="0"/>
    <m/>
    <m/>
    <n v="0"/>
    <n v="0"/>
  </r>
  <r>
    <x v="11"/>
    <s v="Coastal Carolina University"/>
    <m/>
    <n v="218724"/>
    <x v="4"/>
    <s v="sem"/>
    <m/>
    <m/>
    <m/>
    <n v="109295"/>
    <n v="114906"/>
    <n v="11181"/>
    <n v="10682"/>
    <n v="126828"/>
    <n v="128522"/>
    <n v="247304"/>
    <n v="8243.4666666666672"/>
    <n v="254110"/>
    <n v="8470.3333333333339"/>
    <n v="93"/>
    <m/>
    <n v="247304"/>
    <n v="0"/>
    <m/>
    <m/>
    <m/>
    <m/>
    <m/>
    <m/>
    <m/>
    <m/>
    <n v="0"/>
    <n v="0"/>
    <n v="0"/>
    <n v="0"/>
    <m/>
    <m/>
    <n v="0"/>
    <n v="0"/>
  </r>
  <r>
    <x v="11"/>
    <s v="Francis Marion University "/>
    <m/>
    <n v="218061"/>
    <x v="4"/>
    <s v="sem"/>
    <m/>
    <m/>
    <m/>
    <n v="47620"/>
    <n v="46930"/>
    <n v="5279"/>
    <n v="3724"/>
    <n v="52100"/>
    <n v="51424"/>
    <n v="104999"/>
    <n v="3499.9666666666667"/>
    <n v="102078"/>
    <n v="3402.6"/>
    <n v="1603"/>
    <n v="695"/>
    <n v="104999"/>
    <n v="102078"/>
    <m/>
    <m/>
    <m/>
    <m/>
    <m/>
    <m/>
    <m/>
    <m/>
    <n v="0"/>
    <n v="0"/>
    <n v="0"/>
    <n v="0"/>
    <m/>
    <m/>
    <n v="0"/>
    <n v="0"/>
  </r>
  <r>
    <x v="11"/>
    <s v="South Carolina State University "/>
    <m/>
    <n v="218733"/>
    <x v="4"/>
    <s v="sem"/>
    <m/>
    <m/>
    <m/>
    <n v="50332"/>
    <n v="48329"/>
    <n v="7507"/>
    <n v="6259"/>
    <n v="54604"/>
    <n v="46979"/>
    <n v="112443"/>
    <n v="3748.1"/>
    <n v="101567"/>
    <n v="3385.5666666666666"/>
    <m/>
    <m/>
    <n v="0"/>
    <n v="0"/>
    <m/>
    <m/>
    <m/>
    <m/>
    <m/>
    <m/>
    <m/>
    <m/>
    <n v="0"/>
    <n v="0"/>
    <n v="0"/>
    <n v="0"/>
    <m/>
    <m/>
    <n v="0"/>
    <n v="0"/>
  </r>
  <r>
    <x v="11"/>
    <s v="Lander University"/>
    <m/>
    <n v="218229"/>
    <x v="5"/>
    <s v="sem"/>
    <m/>
    <m/>
    <m/>
    <n v="38776"/>
    <n v="39529.01"/>
    <n v="4083"/>
    <n v="4321"/>
    <n v="42546"/>
    <n v="41793"/>
    <n v="85405"/>
    <n v="2846.8333333333335"/>
    <n v="85643.010000000009"/>
    <n v="2854.7670000000003"/>
    <n v="179"/>
    <n v="163"/>
    <n v="85405"/>
    <n v="85643.010000000009"/>
    <m/>
    <m/>
    <m/>
    <m/>
    <m/>
    <m/>
    <m/>
    <m/>
    <n v="0"/>
    <n v="0"/>
    <n v="0"/>
    <n v="0"/>
    <m/>
    <m/>
    <n v="0"/>
    <n v="0"/>
  </r>
  <r>
    <x v="11"/>
    <s v="University of South Carolina-Aiken"/>
    <m/>
    <n v="218645"/>
    <x v="5"/>
    <s v="sem"/>
    <m/>
    <m/>
    <m/>
    <n v="37961"/>
    <n v="37614"/>
    <n v="5294"/>
    <n v="4938"/>
    <n v="41204"/>
    <n v="40607"/>
    <n v="84459"/>
    <n v="2815.3"/>
    <n v="83159"/>
    <n v="2771.9666666666667"/>
    <n v="641"/>
    <n v="742"/>
    <n v="84459"/>
    <n v="83159"/>
    <m/>
    <m/>
    <m/>
    <m/>
    <m/>
    <m/>
    <m/>
    <m/>
    <n v="0"/>
    <n v="0"/>
    <n v="0"/>
    <n v="0"/>
    <m/>
    <m/>
    <n v="0"/>
    <n v="0"/>
  </r>
  <r>
    <x v="11"/>
    <s v="University of South Carolina-Beaufort"/>
    <m/>
    <n v="218654"/>
    <x v="5"/>
    <s v="sem"/>
    <m/>
    <m/>
    <m/>
    <n v="21353"/>
    <n v="21874"/>
    <n v="2922"/>
    <n v="2224"/>
    <n v="23892"/>
    <n v="23210"/>
    <n v="48167"/>
    <n v="1605.5666666666666"/>
    <n v="47308"/>
    <n v="1576.9333333333334"/>
    <n v="70"/>
    <n v="87"/>
    <n v="48167"/>
    <n v="47308"/>
    <m/>
    <m/>
    <m/>
    <m/>
    <m/>
    <m/>
    <m/>
    <m/>
    <n v="0"/>
    <n v="0"/>
    <n v="0"/>
    <n v="0"/>
    <m/>
    <m/>
    <n v="0"/>
    <n v="0"/>
  </r>
  <r>
    <x v="11"/>
    <s v="University of South Carolina-Upstate"/>
    <m/>
    <n v="218742"/>
    <x v="5"/>
    <s v="sem"/>
    <m/>
    <m/>
    <m/>
    <n v="68592"/>
    <n v="67295"/>
    <n v="8352"/>
    <n v="7526"/>
    <n v="72853"/>
    <n v="72603"/>
    <n v="149797"/>
    <n v="4993.2333333333336"/>
    <n v="147424"/>
    <n v="4914.1333333333332"/>
    <n v="2028"/>
    <n v="2008"/>
    <n v="149797"/>
    <n v="147424"/>
    <m/>
    <m/>
    <m/>
    <m/>
    <m/>
    <m/>
    <m/>
    <m/>
    <n v="0"/>
    <n v="0"/>
    <n v="0"/>
    <n v="0"/>
    <m/>
    <m/>
    <n v="0"/>
    <n v="0"/>
  </r>
  <r>
    <x v="11"/>
    <s v="Florence-Darlington Technical College "/>
    <s v="Reclassified: met the criteria for Two-Year 1 in 2010-11, 2011-12, and 2012-13."/>
    <n v="218025"/>
    <x v="6"/>
    <s v="sem"/>
    <m/>
    <m/>
    <m/>
    <n v="62769.43"/>
    <n v="62876.43"/>
    <n v="26266.17"/>
    <n v="23888.17"/>
    <n v="66154.420000000013"/>
    <n v="64363.42"/>
    <n v="155190.02000000002"/>
    <n v="5173.0006666666677"/>
    <n v="151128.02000000002"/>
    <n v="5037.6006666666672"/>
    <n v="883"/>
    <n v="363"/>
    <n v="155190.02000000002"/>
    <n v="151128.02000000002"/>
    <m/>
    <m/>
    <m/>
    <m/>
    <m/>
    <m/>
    <m/>
    <m/>
    <n v="0"/>
    <n v="0"/>
    <n v="0"/>
    <n v="0"/>
    <m/>
    <m/>
    <n v="0"/>
    <n v="0"/>
  </r>
  <r>
    <x v="11"/>
    <s v="Greenville Technical College "/>
    <m/>
    <n v="218113"/>
    <x v="6"/>
    <s v="sem"/>
    <m/>
    <m/>
    <m/>
    <n v="148927.34999999998"/>
    <n v="144236.34999999998"/>
    <n v="56767.560000000005"/>
    <n v="52851.560000000005"/>
    <n v="152072.21"/>
    <n v="146968.21"/>
    <n v="357767.12"/>
    <n v="11925.570666666667"/>
    <n v="344056.12"/>
    <n v="11468.537333333334"/>
    <n v="10314"/>
    <n v="10298"/>
    <n v="357767.12"/>
    <n v="344056.12"/>
    <m/>
    <m/>
    <m/>
    <m/>
    <m/>
    <m/>
    <m/>
    <m/>
    <n v="0"/>
    <n v="0"/>
    <n v="0"/>
    <n v="0"/>
    <m/>
    <m/>
    <n v="0"/>
    <n v="0"/>
  </r>
  <r>
    <x v="11"/>
    <s v="Horry-Georgetown Technical College "/>
    <m/>
    <n v="218140"/>
    <x v="6"/>
    <s v="sem"/>
    <m/>
    <m/>
    <m/>
    <n v="75067.030000000013"/>
    <n v="75945.030000000013"/>
    <n v="27859.530000000002"/>
    <n v="27424.530000000002"/>
    <n v="75063.459999999992"/>
    <n v="75778.459999999992"/>
    <n v="177990.02000000002"/>
    <n v="5933.0006666666677"/>
    <n v="179148.02000000002"/>
    <n v="5971.6006666666672"/>
    <n v="5201"/>
    <n v="2444"/>
    <n v="177990.02000000002"/>
    <n v="179148.02000000002"/>
    <m/>
    <m/>
    <m/>
    <m/>
    <m/>
    <m/>
    <m/>
    <m/>
    <n v="0"/>
    <n v="0"/>
    <n v="0"/>
    <n v="0"/>
    <m/>
    <m/>
    <n v="0"/>
    <n v="0"/>
  </r>
  <r>
    <x v="11"/>
    <s v="Midlands Technical College "/>
    <m/>
    <n v="218353"/>
    <x v="6"/>
    <s v="sem"/>
    <m/>
    <m/>
    <m/>
    <n v="119033.01"/>
    <n v="120662.01"/>
    <n v="54145.53"/>
    <n v="50709.53"/>
    <n v="131242.36000000002"/>
    <n v="129034.36"/>
    <n v="304420.90000000002"/>
    <n v="10147.363333333335"/>
    <n v="300405.89999999997"/>
    <n v="10013.529999999999"/>
    <n v="1423"/>
    <n v="1573"/>
    <n v="304420.90000000002"/>
    <n v="300405.89999999997"/>
    <m/>
    <m/>
    <m/>
    <m/>
    <m/>
    <m/>
    <m/>
    <m/>
    <n v="0"/>
    <n v="0"/>
    <n v="0"/>
    <n v="0"/>
    <m/>
    <m/>
    <n v="0"/>
    <n v="0"/>
  </r>
  <r>
    <x v="11"/>
    <s v="Piedmont Technical College "/>
    <s v="Reclassified: met the criteria for Two-Year 1 in 2010-11, 2011-12, and 2012-13."/>
    <n v="218520"/>
    <x v="6"/>
    <s v="sem"/>
    <m/>
    <m/>
    <m/>
    <n v="56429.969999999994"/>
    <n v="58859.969999999994"/>
    <n v="29623.039999999997"/>
    <n v="26989.039999999997"/>
    <n v="65603.86"/>
    <n v="68727.859999999986"/>
    <n v="151656.87"/>
    <n v="5055.2290000000003"/>
    <n v="154576.87"/>
    <n v="5152.5623333333333"/>
    <n v="10116"/>
    <n v="11680"/>
    <n v="151656.87"/>
    <n v="154576.87"/>
    <m/>
    <m/>
    <m/>
    <m/>
    <m/>
    <m/>
    <m/>
    <m/>
    <n v="0"/>
    <n v="0"/>
    <n v="0"/>
    <n v="0"/>
    <m/>
    <m/>
    <n v="0"/>
    <n v="0"/>
  </r>
  <r>
    <x v="11"/>
    <s v="Tri-County Technical College "/>
    <m/>
    <n v="218885"/>
    <x v="6"/>
    <s v="sem"/>
    <m/>
    <m/>
    <m/>
    <n v="74788.17"/>
    <n v="69376.17"/>
    <n v="28096.77"/>
    <n v="25132.77"/>
    <n v="79476.34"/>
    <n v="77607.34"/>
    <n v="182361.28"/>
    <n v="6078.7093333333332"/>
    <n v="172116.28"/>
    <n v="5737.2093333333332"/>
    <n v="5385"/>
    <n v="6144"/>
    <n v="182361.28"/>
    <n v="172116.28"/>
    <m/>
    <m/>
    <m/>
    <m/>
    <m/>
    <m/>
    <m/>
    <m/>
    <n v="0"/>
    <n v="0"/>
    <n v="0"/>
    <n v="0"/>
    <m/>
    <m/>
    <n v="0"/>
    <n v="0"/>
  </r>
  <r>
    <x v="11"/>
    <s v="Trident Technical College "/>
    <m/>
    <n v="218894"/>
    <x v="6"/>
    <s v="sem"/>
    <m/>
    <m/>
    <m/>
    <n v="153372.26999999999"/>
    <n v="161776.26999999999"/>
    <n v="76076.94"/>
    <n v="77027.94"/>
    <n v="166684.25999999998"/>
    <n v="169822.25999999998"/>
    <n v="396133.47"/>
    <n v="13204.448999999999"/>
    <n v="408626.47"/>
    <n v="13620.882333333333"/>
    <n v="7716"/>
    <n v="8798"/>
    <n v="396133.47"/>
    <n v="408626.47"/>
    <m/>
    <m/>
    <m/>
    <m/>
    <m/>
    <m/>
    <m/>
    <m/>
    <n v="0"/>
    <n v="0"/>
    <n v="0"/>
    <n v="0"/>
    <m/>
    <m/>
    <n v="0"/>
    <n v="0"/>
  </r>
  <r>
    <x v="11"/>
    <s v="Aiken Technical College "/>
    <m/>
    <n v="217615"/>
    <x v="7"/>
    <s v="sem"/>
    <m/>
    <m/>
    <m/>
    <n v="32334.39"/>
    <n v="31132.39"/>
    <n v="11698.03"/>
    <n v="12097.03"/>
    <n v="34484.67"/>
    <n v="32738.67"/>
    <n v="78517.09"/>
    <n v="2617.2363333333333"/>
    <n v="75968.09"/>
    <n v="2532.2696666666666"/>
    <n v="580"/>
    <n v="676"/>
    <n v="78517.09"/>
    <n v="75968.09"/>
    <m/>
    <m/>
    <m/>
    <m/>
    <m/>
    <m/>
    <m/>
    <m/>
    <n v="0"/>
    <n v="0"/>
    <n v="0"/>
    <n v="0"/>
    <m/>
    <m/>
    <n v="0"/>
    <n v="0"/>
  </r>
  <r>
    <x v="11"/>
    <s v="Central Carolina Technical College "/>
    <m/>
    <n v="218858"/>
    <x v="7"/>
    <s v="sem"/>
    <m/>
    <m/>
    <m/>
    <n v="37693.81"/>
    <n v="38308.81"/>
    <n v="17233.2"/>
    <n v="17067.2"/>
    <n v="41682.21"/>
    <n v="41472.21"/>
    <n v="96609.22"/>
    <n v="3220.3073333333332"/>
    <n v="96848.22"/>
    <n v="3228.2739999999999"/>
    <n v="2965"/>
    <n v="3928"/>
    <n v="96609.22"/>
    <n v="96848.22"/>
    <m/>
    <m/>
    <m/>
    <m/>
    <m/>
    <m/>
    <m/>
    <m/>
    <n v="0"/>
    <n v="0"/>
    <n v="0"/>
    <n v="0"/>
    <m/>
    <m/>
    <n v="0"/>
    <n v="0"/>
  </r>
  <r>
    <x v="11"/>
    <s v="Orangeburg-Calhoun Technical College "/>
    <m/>
    <n v="218487"/>
    <x v="7"/>
    <s v="sem"/>
    <m/>
    <m/>
    <m/>
    <n v="29415.019999999997"/>
    <n v="26386.019999999997"/>
    <n v="12361.019999999999"/>
    <n v="10104.019999999999"/>
    <n v="29616.820000000003"/>
    <n v="29832.820000000003"/>
    <n v="71392.86"/>
    <n v="2379.7620000000002"/>
    <n v="66322.86"/>
    <n v="2210.7620000000002"/>
    <n v="5214"/>
    <n v="5247"/>
    <n v="71392.86"/>
    <n v="66322.86"/>
    <m/>
    <m/>
    <m/>
    <m/>
    <m/>
    <m/>
    <m/>
    <m/>
    <n v="0"/>
    <n v="0"/>
    <n v="0"/>
    <n v="0"/>
    <m/>
    <m/>
    <n v="0"/>
    <n v="0"/>
  </r>
  <r>
    <x v="11"/>
    <s v="Spartanburg Community College "/>
    <m/>
    <n v="218830"/>
    <x v="7"/>
    <s v="sem"/>
    <m/>
    <m/>
    <m/>
    <n v="59062.23"/>
    <n v="57432.23"/>
    <n v="24762.95"/>
    <n v="22098.95"/>
    <n v="61544.94"/>
    <n v="60606.94"/>
    <n v="145370.12"/>
    <n v="4845.6706666666669"/>
    <n v="140138.12"/>
    <n v="4671.2706666666663"/>
    <n v="4306"/>
    <n v="5705"/>
    <n v="145370.12"/>
    <n v="140138.12"/>
    <m/>
    <m/>
    <m/>
    <m/>
    <m/>
    <m/>
    <m/>
    <m/>
    <n v="0"/>
    <n v="0"/>
    <n v="0"/>
    <n v="0"/>
    <m/>
    <m/>
    <n v="0"/>
    <n v="0"/>
  </r>
  <r>
    <x v="11"/>
    <s v="York Technical College "/>
    <m/>
    <n v="218991"/>
    <x v="7"/>
    <s v="sem"/>
    <m/>
    <m/>
    <m/>
    <n v="58380.35"/>
    <n v="52722.35"/>
    <n v="25935.54"/>
    <n v="22400.54"/>
    <n v="58007.85"/>
    <n v="51165.85"/>
    <n v="142323.74"/>
    <n v="4744.1246666666666"/>
    <n v="126288.73999999999"/>
    <n v="4209.6246666666666"/>
    <n v="6061"/>
    <n v="3136"/>
    <n v="142323.74"/>
    <n v="126288.73999999999"/>
    <m/>
    <m/>
    <m/>
    <m/>
    <m/>
    <m/>
    <m/>
    <m/>
    <n v="0"/>
    <n v="0"/>
    <n v="0"/>
    <n v="0"/>
    <m/>
    <m/>
    <n v="0"/>
    <n v="0"/>
  </r>
  <r>
    <x v="11"/>
    <s v="Denmark Technical College "/>
    <s v="Met the criteria for Two-Year 2 in 2012-13."/>
    <n v="217989"/>
    <x v="8"/>
    <s v="sem"/>
    <m/>
    <m/>
    <m/>
    <n v="11987"/>
    <n v="24677"/>
    <n v="3736.42"/>
    <n v="11890.42"/>
    <n v="22499.91"/>
    <n v="28216.91"/>
    <n v="38223.33"/>
    <n v="1274.1110000000001"/>
    <n v="64784.33"/>
    <n v="2159.4776666666667"/>
    <m/>
    <m/>
    <n v="0"/>
    <n v="0"/>
    <m/>
    <m/>
    <m/>
    <m/>
    <m/>
    <m/>
    <m/>
    <m/>
    <n v="0"/>
    <n v="0"/>
    <n v="0"/>
    <n v="0"/>
    <m/>
    <m/>
    <n v="0"/>
    <n v="0"/>
  </r>
  <r>
    <x v="11"/>
    <s v="Northeastern Technical College "/>
    <m/>
    <n v="217837"/>
    <x v="8"/>
    <s v="sem"/>
    <m/>
    <m/>
    <m/>
    <n v="13200.18"/>
    <n v="12521.18"/>
    <n v="6317.71"/>
    <n v="4788.71"/>
    <n v="14675.9"/>
    <n v="13964.9"/>
    <n v="34193.79"/>
    <n v="1139.7930000000001"/>
    <n v="31274.79"/>
    <n v="1042.4929999999999"/>
    <n v="1077"/>
    <n v="1302"/>
    <n v="34193.79"/>
    <n v="31274.79"/>
    <m/>
    <m/>
    <m/>
    <m/>
    <m/>
    <m/>
    <m/>
    <m/>
    <n v="0"/>
    <n v="0"/>
    <n v="0"/>
    <n v="0"/>
    <m/>
    <m/>
    <n v="0"/>
    <n v="0"/>
  </r>
  <r>
    <x v="11"/>
    <s v="Technical College of the Lowcountry"/>
    <m/>
    <n v="217712"/>
    <x v="8"/>
    <s v="sem"/>
    <m/>
    <m/>
    <m/>
    <n v="26277.49"/>
    <n v="25522.49"/>
    <n v="12049.68"/>
    <n v="9167.68"/>
    <n v="25182.799999999996"/>
    <n v="22459.799999999996"/>
    <n v="63509.969999999994"/>
    <n v="2116.9989999999998"/>
    <n v="57149.969999999994"/>
    <n v="1904.9989999999998"/>
    <n v="3230"/>
    <n v="3119"/>
    <n v="63509.969999999994"/>
    <n v="57149.969999999994"/>
    <m/>
    <m/>
    <m/>
    <m/>
    <m/>
    <m/>
    <m/>
    <m/>
    <n v="0"/>
    <n v="0"/>
    <n v="0"/>
    <n v="0"/>
    <m/>
    <m/>
    <n v="0"/>
    <n v="0"/>
  </r>
  <r>
    <x v="11"/>
    <s v="University of South Carolina-Lancaster"/>
    <m/>
    <n v="218672"/>
    <x v="8"/>
    <s v="sem"/>
    <m/>
    <m/>
    <m/>
    <n v="15347"/>
    <n v="16275"/>
    <n v="2302"/>
    <n v="1958"/>
    <n v="18890"/>
    <n v="19475"/>
    <n v="36539"/>
    <n v="1217.9666666666667"/>
    <n v="37708"/>
    <n v="1256.9333333333334"/>
    <n v="3394"/>
    <n v="4133"/>
    <n v="36539"/>
    <n v="37708"/>
    <m/>
    <m/>
    <m/>
    <m/>
    <m/>
    <m/>
    <m/>
    <m/>
    <n v="0"/>
    <n v="0"/>
    <n v="0"/>
    <n v="0"/>
    <m/>
    <m/>
    <n v="0"/>
    <n v="0"/>
  </r>
  <r>
    <x v="11"/>
    <s v="University of South Carolina-Salkehatchie"/>
    <m/>
    <n v="218681"/>
    <x v="8"/>
    <s v="sem"/>
    <m/>
    <m/>
    <m/>
    <n v="11479"/>
    <n v="11145"/>
    <n v="1205"/>
    <n v="779"/>
    <n v="11380"/>
    <n v="11935"/>
    <n v="24064"/>
    <n v="802.13333333333333"/>
    <n v="23859"/>
    <n v="795.3"/>
    <n v="1403"/>
    <n v="1881"/>
    <n v="24064"/>
    <n v="23859"/>
    <m/>
    <m/>
    <m/>
    <m/>
    <m/>
    <m/>
    <m/>
    <m/>
    <n v="0"/>
    <n v="0"/>
    <n v="0"/>
    <n v="0"/>
    <m/>
    <m/>
    <n v="0"/>
    <n v="0"/>
  </r>
  <r>
    <x v="11"/>
    <s v="University of South Carolina-Sumter"/>
    <m/>
    <n v="218690"/>
    <x v="8"/>
    <s v="sem"/>
    <m/>
    <m/>
    <m/>
    <n v="11564"/>
    <n v="9870"/>
    <n v="1439"/>
    <n v="1003"/>
    <n v="11625"/>
    <n v="10504"/>
    <n v="24628"/>
    <n v="820.93333333333328"/>
    <n v="21377"/>
    <n v="712.56666666666672"/>
    <n v="3081"/>
    <n v="2589"/>
    <n v="24628"/>
    <n v="21377"/>
    <m/>
    <m/>
    <m/>
    <m/>
    <m/>
    <m/>
    <m/>
    <m/>
    <n v="0"/>
    <n v="0"/>
    <n v="0"/>
    <n v="0"/>
    <m/>
    <m/>
    <n v="0"/>
    <n v="0"/>
  </r>
  <r>
    <x v="11"/>
    <s v="University of South Carolina-Union"/>
    <m/>
    <n v="218706"/>
    <x v="8"/>
    <s v="sem"/>
    <m/>
    <m/>
    <m/>
    <n v="5960"/>
    <n v="5684"/>
    <n v="559"/>
    <n v="314"/>
    <n v="5014"/>
    <n v="5162"/>
    <n v="11533"/>
    <n v="384.43333333333334"/>
    <n v="11160"/>
    <n v="372"/>
    <n v="3503"/>
    <n v="3265"/>
    <n v="11533"/>
    <n v="11160"/>
    <m/>
    <m/>
    <m/>
    <m/>
    <m/>
    <m/>
    <m/>
    <m/>
    <n v="0"/>
    <n v="0"/>
    <n v="0"/>
    <n v="0"/>
    <m/>
    <m/>
    <n v="0"/>
    <n v="0"/>
  </r>
  <r>
    <x v="11"/>
    <s v="Willamsburg Technical College "/>
    <m/>
    <n v="218955"/>
    <x v="8"/>
    <s v="sem"/>
    <m/>
    <m/>
    <m/>
    <n v="6513.01"/>
    <n v="5710.01"/>
    <n v="3810.52"/>
    <n v="2703.52"/>
    <n v="6284.96"/>
    <n v="6031.96"/>
    <n v="16608.490000000002"/>
    <n v="553.61633333333339"/>
    <n v="14445.490000000002"/>
    <n v="481.51633333333336"/>
    <n v="165"/>
    <n v="201"/>
    <n v="16608.490000000002"/>
    <n v="14445.490000000002"/>
    <m/>
    <m/>
    <m/>
    <m/>
    <m/>
    <m/>
    <m/>
    <m/>
    <n v="0"/>
    <n v="0"/>
    <n v="0"/>
    <n v="0"/>
    <m/>
    <m/>
    <n v="0"/>
    <n v="0"/>
  </r>
  <r>
    <x v="12"/>
    <s v="University of Memphis"/>
    <m/>
    <n v="220862"/>
    <x v="0"/>
    <s v="sem"/>
    <m/>
    <m/>
    <m/>
    <n v="200974"/>
    <n v="205095"/>
    <n v="30227"/>
    <n v="29622"/>
    <n v="216891"/>
    <n v="215044"/>
    <n v="448092"/>
    <n v="14936.4"/>
    <n v="449761"/>
    <n v="14992.033333333333"/>
    <m/>
    <m/>
    <n v="0"/>
    <n v="0"/>
    <m/>
    <m/>
    <m/>
    <m/>
    <m/>
    <m/>
    <m/>
    <m/>
    <n v="0"/>
    <n v="0"/>
    <n v="0"/>
    <n v="0"/>
    <m/>
    <m/>
    <n v="0"/>
    <n v="0"/>
  </r>
  <r>
    <x v="12"/>
    <s v="University of Tennessee, Knoxville"/>
    <m/>
    <n v="221759"/>
    <x v="0"/>
    <s v="sem"/>
    <m/>
    <m/>
    <m/>
    <n v="268598"/>
    <n v="267133"/>
    <n v="32903"/>
    <n v="35001"/>
    <n v="281570"/>
    <n v="282072"/>
    <n v="583071"/>
    <n v="19435.7"/>
    <n v="584206"/>
    <n v="19473.533333333333"/>
    <m/>
    <m/>
    <n v="0"/>
    <n v="0"/>
    <m/>
    <m/>
    <m/>
    <m/>
    <m/>
    <m/>
    <m/>
    <m/>
    <n v="0"/>
    <n v="0"/>
    <n v="0"/>
    <n v="0"/>
    <m/>
    <m/>
    <n v="0"/>
    <n v="0"/>
  </r>
  <r>
    <x v="12"/>
    <s v="Tennessee State University "/>
    <m/>
    <n v="221838"/>
    <x v="1"/>
    <s v="sem"/>
    <m/>
    <m/>
    <m/>
    <n v="82054"/>
    <n v="83514"/>
    <n v="14911"/>
    <n v="12181"/>
    <n v="88692"/>
    <n v="85330"/>
    <n v="185657"/>
    <n v="6188.5666666666666"/>
    <n v="181025"/>
    <n v="6034.166666666667"/>
    <m/>
    <m/>
    <n v="0"/>
    <n v="0"/>
    <m/>
    <m/>
    <m/>
    <m/>
    <m/>
    <m/>
    <m/>
    <m/>
    <n v="0"/>
    <n v="0"/>
    <n v="0"/>
    <n v="0"/>
    <m/>
    <m/>
    <n v="0"/>
    <n v="0"/>
  </r>
  <r>
    <x v="12"/>
    <s v="Austin Peay State University "/>
    <m/>
    <n v="219602"/>
    <x v="2"/>
    <s v="sem"/>
    <m/>
    <m/>
    <m/>
    <n v="103833"/>
    <n v="110890"/>
    <n v="22046"/>
    <n v="22384"/>
    <n v="120070"/>
    <n v="119482"/>
    <n v="245949"/>
    <n v="8198.2999999999993"/>
    <n v="252756"/>
    <n v="8425.2000000000007"/>
    <n v="1577"/>
    <n v="1845"/>
    <n v="245949"/>
    <n v="252756"/>
    <m/>
    <m/>
    <m/>
    <m/>
    <m/>
    <m/>
    <m/>
    <m/>
    <n v="0"/>
    <n v="0"/>
    <n v="0"/>
    <n v="0"/>
    <m/>
    <m/>
    <n v="0"/>
    <n v="0"/>
  </r>
  <r>
    <x v="12"/>
    <s v="East Tennessee State University "/>
    <m/>
    <n v="220075"/>
    <x v="2"/>
    <s v="sem"/>
    <m/>
    <m/>
    <m/>
    <n v="148311"/>
    <n v="151184"/>
    <n v="24097"/>
    <n v="23270"/>
    <n v="164764"/>
    <n v="159588"/>
    <n v="337172"/>
    <n v="11239.066666666668"/>
    <n v="334042"/>
    <n v="11134.733333333334"/>
    <m/>
    <m/>
    <n v="0"/>
    <n v="0"/>
    <m/>
    <m/>
    <m/>
    <m/>
    <m/>
    <m/>
    <m/>
    <m/>
    <n v="0"/>
    <n v="0"/>
    <n v="0"/>
    <n v="0"/>
    <m/>
    <m/>
    <n v="0"/>
    <n v="0"/>
  </r>
  <r>
    <x v="12"/>
    <s v="Middle Tennessee State University "/>
    <m/>
    <n v="220978"/>
    <x v="2"/>
    <s v="sem"/>
    <m/>
    <m/>
    <m/>
    <n v="280020"/>
    <n v="272267"/>
    <n v="47561"/>
    <n v="46567"/>
    <n v="301604"/>
    <n v="286959"/>
    <n v="629185"/>
    <n v="20972.833333333332"/>
    <n v="605793"/>
    <n v="20193.099999999999"/>
    <m/>
    <m/>
    <n v="0"/>
    <n v="0"/>
    <m/>
    <m/>
    <m/>
    <m/>
    <m/>
    <m/>
    <m/>
    <m/>
    <n v="0"/>
    <n v="0"/>
    <n v="0"/>
    <n v="0"/>
    <m/>
    <m/>
    <n v="0"/>
    <n v="0"/>
  </r>
  <r>
    <x v="12"/>
    <s v="Tennessee Technological University "/>
    <m/>
    <n v="221847"/>
    <x v="2"/>
    <s v="sem"/>
    <m/>
    <m/>
    <m/>
    <n v="117328"/>
    <n v="121717"/>
    <n v="13099"/>
    <n v="14024"/>
    <n v="132670"/>
    <n v="134982"/>
    <n v="263097"/>
    <n v="8769.9"/>
    <n v="270723"/>
    <n v="9024.1"/>
    <m/>
    <m/>
    <n v="0"/>
    <n v="0"/>
    <m/>
    <m/>
    <m/>
    <m/>
    <m/>
    <m/>
    <m/>
    <m/>
    <n v="0"/>
    <n v="0"/>
    <n v="0"/>
    <n v="0"/>
    <m/>
    <m/>
    <n v="0"/>
    <n v="0"/>
  </r>
  <r>
    <x v="12"/>
    <s v="University of Tennessee at Chattanooga"/>
    <m/>
    <n v="221740"/>
    <x v="2"/>
    <s v="sem"/>
    <m/>
    <m/>
    <m/>
    <n v="109626"/>
    <n v="121325"/>
    <n v="14737"/>
    <n v="17136"/>
    <n v="132574"/>
    <n v="134842"/>
    <n v="256937"/>
    <n v="8564.5666666666675"/>
    <n v="273303"/>
    <n v="9110.1"/>
    <m/>
    <m/>
    <n v="0"/>
    <n v="0"/>
    <m/>
    <m/>
    <m/>
    <m/>
    <m/>
    <m/>
    <m/>
    <m/>
    <n v="0"/>
    <n v="0"/>
    <n v="0"/>
    <n v="0"/>
    <m/>
    <m/>
    <n v="0"/>
    <n v="0"/>
  </r>
  <r>
    <x v="12"/>
    <s v="University of Tennessee at Martin"/>
    <m/>
    <n v="221768"/>
    <x v="4"/>
    <s v="sem"/>
    <m/>
    <m/>
    <m/>
    <n v="93979"/>
    <n v="91482"/>
    <n v="13865"/>
    <n v="12872"/>
    <n v="99680"/>
    <n v="98320"/>
    <n v="207524"/>
    <n v="6917.4666666666662"/>
    <n v="202674"/>
    <n v="6755.8"/>
    <n v="5557"/>
    <n v="4402"/>
    <n v="207524"/>
    <n v="202674"/>
    <m/>
    <m/>
    <m/>
    <m/>
    <m/>
    <m/>
    <m/>
    <m/>
    <n v="0"/>
    <n v="0"/>
    <n v="0"/>
    <n v="0"/>
    <m/>
    <m/>
    <n v="0"/>
    <n v="0"/>
  </r>
  <r>
    <x v="12"/>
    <s v="Chattanooga State Technical Community College "/>
    <m/>
    <n v="219824"/>
    <x v="6"/>
    <s v="sem"/>
    <m/>
    <m/>
    <m/>
    <n v="94137"/>
    <n v="90205"/>
    <n v="20055"/>
    <n v="19778"/>
    <n v="100065"/>
    <n v="98768"/>
    <n v="214257"/>
    <n v="7141.9"/>
    <n v="208751"/>
    <n v="6958.3666666666668"/>
    <n v="10640"/>
    <n v="11548"/>
    <n v="214257"/>
    <n v="208751"/>
    <m/>
    <m/>
    <m/>
    <m/>
    <m/>
    <m/>
    <m/>
    <m/>
    <n v="0"/>
    <n v="0"/>
    <n v="0"/>
    <n v="0"/>
    <m/>
    <m/>
    <n v="0"/>
    <n v="0"/>
  </r>
  <r>
    <x v="12"/>
    <s v="Nashville State Technical Community College"/>
    <m/>
    <n v="221184"/>
    <x v="6"/>
    <s v="sem"/>
    <m/>
    <m/>
    <m/>
    <n v="84010"/>
    <n v="84144"/>
    <n v="27112"/>
    <n v="22096"/>
    <n v="85290"/>
    <n v="85216"/>
    <n v="196412"/>
    <n v="6547.0666666666666"/>
    <n v="191456"/>
    <n v="6381.8666666666668"/>
    <n v="5677"/>
    <n v="6760"/>
    <n v="196412"/>
    <n v="191456"/>
    <m/>
    <m/>
    <m/>
    <m/>
    <m/>
    <m/>
    <m/>
    <m/>
    <n v="0"/>
    <n v="0"/>
    <n v="0"/>
    <n v="0"/>
    <m/>
    <m/>
    <n v="0"/>
    <n v="0"/>
  </r>
  <r>
    <x v="12"/>
    <s v="Pellissippi State Technical Community College"/>
    <m/>
    <n v="221643"/>
    <x v="6"/>
    <s v="sem"/>
    <m/>
    <m/>
    <m/>
    <n v="100060"/>
    <n v="98536"/>
    <n v="25201"/>
    <n v="20180"/>
    <n v="111029"/>
    <n v="105861"/>
    <n v="236290"/>
    <n v="7876.333333333333"/>
    <n v="224577"/>
    <n v="7485.9"/>
    <n v="6884"/>
    <n v="6888"/>
    <n v="236290"/>
    <n v="224577"/>
    <m/>
    <m/>
    <m/>
    <m/>
    <m/>
    <m/>
    <m/>
    <m/>
    <n v="0"/>
    <n v="0"/>
    <n v="0"/>
    <n v="0"/>
    <m/>
    <m/>
    <n v="0"/>
    <n v="0"/>
  </r>
  <r>
    <x v="12"/>
    <s v="Southwest Tennessee Community College"/>
    <m/>
    <n v="221485"/>
    <x v="6"/>
    <s v="sem"/>
    <m/>
    <m/>
    <m/>
    <n v="117785"/>
    <n v="115229"/>
    <n v="45229"/>
    <n v="31469"/>
    <n v="123233"/>
    <n v="113328"/>
    <n v="286247"/>
    <n v="9541.5666666666675"/>
    <n v="260026"/>
    <n v="8667.5333333333328"/>
    <n v="1611"/>
    <n v="1851"/>
    <n v="286247"/>
    <n v="260026"/>
    <m/>
    <m/>
    <m/>
    <m/>
    <m/>
    <m/>
    <m/>
    <m/>
    <n v="0"/>
    <n v="0"/>
    <n v="0"/>
    <n v="0"/>
    <m/>
    <m/>
    <n v="0"/>
    <n v="0"/>
  </r>
  <r>
    <x v="12"/>
    <s v="Volunteer State Community College "/>
    <m/>
    <n v="222053"/>
    <x v="6"/>
    <s v="sem"/>
    <m/>
    <m/>
    <m/>
    <n v="76398"/>
    <n v="72241"/>
    <n v="19259"/>
    <n v="16149"/>
    <n v="81735"/>
    <n v="76369"/>
    <n v="177392"/>
    <n v="5913.0666666666666"/>
    <n v="164759"/>
    <n v="5491.9666666666662"/>
    <n v="10522"/>
    <n v="11351"/>
    <n v="177392"/>
    <n v="164759"/>
    <m/>
    <m/>
    <m/>
    <m/>
    <m/>
    <m/>
    <m/>
    <m/>
    <n v="0"/>
    <n v="0"/>
    <n v="0"/>
    <n v="0"/>
    <m/>
    <m/>
    <n v="0"/>
    <n v="0"/>
  </r>
  <r>
    <x v="12"/>
    <s v="Cleveland State Community College "/>
    <m/>
    <n v="219879"/>
    <x v="7"/>
    <s v="sem"/>
    <m/>
    <m/>
    <m/>
    <n v="35853"/>
    <n v="33841"/>
    <n v="6569"/>
    <n v="5742"/>
    <n v="39251"/>
    <n v="37234"/>
    <n v="81673"/>
    <n v="2722.4333333333334"/>
    <n v="76817"/>
    <n v="2560.5666666666666"/>
    <n v="3694"/>
    <n v="3886"/>
    <n v="81673"/>
    <n v="76817"/>
    <m/>
    <m/>
    <m/>
    <m/>
    <m/>
    <m/>
    <m/>
    <m/>
    <n v="0"/>
    <n v="0"/>
    <n v="0"/>
    <n v="0"/>
    <m/>
    <m/>
    <n v="0"/>
    <n v="0"/>
  </r>
  <r>
    <x v="12"/>
    <s v="Columbia State Community College "/>
    <m/>
    <n v="219888"/>
    <x v="7"/>
    <s v="sem"/>
    <m/>
    <m/>
    <m/>
    <n v="49503"/>
    <n v="46049"/>
    <n v="10063"/>
    <n v="9491"/>
    <n v="51259"/>
    <n v="50221"/>
    <n v="110825"/>
    <n v="3694.1666666666665"/>
    <n v="105761"/>
    <n v="3525.3666666666668"/>
    <n v="4299"/>
    <n v="4890"/>
    <n v="110825"/>
    <n v="105761"/>
    <m/>
    <m/>
    <m/>
    <m/>
    <m/>
    <m/>
    <m/>
    <m/>
    <n v="0"/>
    <n v="0"/>
    <n v="0"/>
    <n v="0"/>
    <m/>
    <m/>
    <n v="0"/>
    <n v="0"/>
  </r>
  <r>
    <x v="12"/>
    <s v="Dyersburg State Community College "/>
    <m/>
    <n v="220057"/>
    <x v="7"/>
    <s v="sem"/>
    <m/>
    <m/>
    <m/>
    <n v="32038"/>
    <n v="30823"/>
    <n v="4254"/>
    <n v="4226"/>
    <n v="35004"/>
    <n v="33257"/>
    <n v="71296"/>
    <n v="2376.5333333333333"/>
    <n v="68306"/>
    <n v="2276.8666666666668"/>
    <n v="6900"/>
    <n v="6665"/>
    <n v="71296"/>
    <n v="68306"/>
    <m/>
    <m/>
    <m/>
    <m/>
    <m/>
    <m/>
    <m/>
    <m/>
    <n v="0"/>
    <n v="0"/>
    <n v="0"/>
    <n v="0"/>
    <m/>
    <m/>
    <n v="0"/>
    <n v="0"/>
  </r>
  <r>
    <x v="12"/>
    <s v="Jackson State Community College "/>
    <m/>
    <n v="220400"/>
    <x v="7"/>
    <s v="sem"/>
    <m/>
    <m/>
    <m/>
    <n v="46043"/>
    <n v="42087"/>
    <n v="10492"/>
    <n v="8448"/>
    <n v="48893"/>
    <n v="42708"/>
    <n v="105428"/>
    <n v="3514.2666666666669"/>
    <n v="93243"/>
    <n v="3108.1"/>
    <n v="4920"/>
    <n v="4424"/>
    <n v="105428"/>
    <n v="93243"/>
    <m/>
    <m/>
    <m/>
    <m/>
    <m/>
    <m/>
    <m/>
    <m/>
    <n v="0"/>
    <n v="0"/>
    <n v="0"/>
    <n v="0"/>
    <m/>
    <m/>
    <n v="0"/>
    <n v="0"/>
  </r>
  <r>
    <x v="12"/>
    <s v="Motlow State Community College "/>
    <m/>
    <n v="221096"/>
    <x v="7"/>
    <s v="sem"/>
    <m/>
    <m/>
    <m/>
    <n v="44700"/>
    <n v="42418"/>
    <n v="8939"/>
    <n v="8091"/>
    <n v="46034"/>
    <n v="43877"/>
    <n v="99673"/>
    <n v="3322.4333333333334"/>
    <n v="94386"/>
    <n v="3146.2"/>
    <n v="5207"/>
    <n v="5608"/>
    <n v="99673"/>
    <n v="94386"/>
    <m/>
    <m/>
    <m/>
    <m/>
    <m/>
    <m/>
    <m/>
    <m/>
    <n v="0"/>
    <n v="0"/>
    <n v="0"/>
    <n v="0"/>
    <m/>
    <m/>
    <n v="0"/>
    <n v="0"/>
  </r>
  <r>
    <x v="12"/>
    <s v="Northeast State Technical Community College"/>
    <m/>
    <n v="221908"/>
    <x v="7"/>
    <s v="sem"/>
    <m/>
    <m/>
    <m/>
    <n v="64441"/>
    <n v="60770"/>
    <n v="13266"/>
    <n v="11624"/>
    <n v="66339"/>
    <n v="64335"/>
    <n v="144046"/>
    <n v="4801.5333333333338"/>
    <n v="136729"/>
    <n v="4557.6333333333332"/>
    <n v="4114"/>
    <n v="5712"/>
    <n v="144046"/>
    <n v="136729"/>
    <m/>
    <m/>
    <m/>
    <m/>
    <m/>
    <m/>
    <m/>
    <m/>
    <n v="0"/>
    <n v="0"/>
    <n v="0"/>
    <n v="0"/>
    <m/>
    <m/>
    <n v="0"/>
    <n v="0"/>
  </r>
  <r>
    <x v="12"/>
    <s v="Roane State Community College "/>
    <m/>
    <n v="221397"/>
    <x v="7"/>
    <s v="sem"/>
    <m/>
    <m/>
    <m/>
    <n v="63123"/>
    <n v="59056"/>
    <n v="9542"/>
    <n v="9156"/>
    <n v="63077"/>
    <n v="62292"/>
    <n v="135742"/>
    <n v="4524.7333333333336"/>
    <n v="130504"/>
    <n v="4350.1333333333332"/>
    <n v="8615"/>
    <n v="8830"/>
    <n v="135742"/>
    <n v="130504"/>
    <m/>
    <m/>
    <m/>
    <m/>
    <m/>
    <m/>
    <m/>
    <m/>
    <n v="0"/>
    <n v="0"/>
    <n v="0"/>
    <n v="0"/>
    <m/>
    <m/>
    <n v="0"/>
    <n v="0"/>
  </r>
  <r>
    <x v="12"/>
    <s v="Walters State Community College "/>
    <m/>
    <n v="222062"/>
    <x v="7"/>
    <s v="sem"/>
    <m/>
    <m/>
    <m/>
    <n v="65479"/>
    <n v="60228"/>
    <n v="10622"/>
    <n v="7839"/>
    <n v="68930"/>
    <n v="66380"/>
    <n v="145031"/>
    <n v="4834.3666666666668"/>
    <n v="134447"/>
    <n v="4481.5666666666666"/>
    <n v="7563"/>
    <n v="9115"/>
    <n v="145031"/>
    <n v="134447"/>
    <m/>
    <m/>
    <m/>
    <m/>
    <m/>
    <m/>
    <m/>
    <m/>
    <n v="0"/>
    <n v="0"/>
    <n v="0"/>
    <n v="0"/>
    <m/>
    <m/>
    <n v="0"/>
    <n v="0"/>
  </r>
  <r>
    <x v="12"/>
    <s v="Tennessee Technology Center at Chattanooga"/>
    <s v="Reclassified: Met the criteria for Technical Institute or College 1 in 2010-11, 2011-12, and 2012-13."/>
    <s v="219824B"/>
    <x v="9"/>
    <s v="sem"/>
    <m/>
    <m/>
    <m/>
    <m/>
    <m/>
    <m/>
    <m/>
    <m/>
    <m/>
    <n v="0"/>
    <n v="0"/>
    <n v="0"/>
    <n v="0"/>
    <m/>
    <m/>
    <n v="0"/>
    <n v="0"/>
    <m/>
    <m/>
    <n v="356303"/>
    <n v="364757"/>
    <n v="234404"/>
    <n v="219520"/>
    <n v="374364"/>
    <n v="353100"/>
    <n v="965071"/>
    <n v="1072.3011111111111"/>
    <n v="937377"/>
    <n v="1041.53"/>
    <m/>
    <m/>
    <n v="0"/>
    <n v="0"/>
  </r>
  <r>
    <x v="12"/>
    <s v="Tennessee Technology Center at Athens"/>
    <m/>
    <n v="219596"/>
    <x v="10"/>
    <s v="sem"/>
    <m/>
    <m/>
    <m/>
    <m/>
    <m/>
    <m/>
    <m/>
    <m/>
    <m/>
    <n v="0"/>
    <n v="0"/>
    <n v="0"/>
    <n v="0"/>
    <m/>
    <m/>
    <n v="0"/>
    <n v="0"/>
    <m/>
    <m/>
    <n v="77484"/>
    <n v="72045"/>
    <n v="67456"/>
    <n v="73033"/>
    <n v="74277"/>
    <n v="66625"/>
    <n v="219217"/>
    <n v="243.57444444444445"/>
    <n v="211703"/>
    <n v="235.22555555555556"/>
    <m/>
    <m/>
    <n v="0"/>
    <n v="0"/>
  </r>
  <r>
    <x v="12"/>
    <s v="Tennessee Technology Center at Covington"/>
    <m/>
    <n v="219921"/>
    <x v="10"/>
    <s v="sem"/>
    <m/>
    <m/>
    <m/>
    <m/>
    <m/>
    <m/>
    <m/>
    <m/>
    <m/>
    <n v="0"/>
    <n v="0"/>
    <n v="0"/>
    <n v="0"/>
    <m/>
    <m/>
    <n v="0"/>
    <n v="0"/>
    <m/>
    <m/>
    <n v="57639"/>
    <n v="59532"/>
    <n v="49086"/>
    <n v="45039"/>
    <n v="62556"/>
    <n v="60013"/>
    <n v="169281"/>
    <n v="188.09"/>
    <n v="164584"/>
    <n v="182.87111111111111"/>
    <m/>
    <m/>
    <n v="0"/>
    <n v="0"/>
  </r>
  <r>
    <x v="12"/>
    <s v="Tennessee Technology Center at Crossville"/>
    <m/>
    <n v="221591"/>
    <x v="10"/>
    <s v="sem"/>
    <m/>
    <m/>
    <m/>
    <m/>
    <m/>
    <m/>
    <m/>
    <m/>
    <m/>
    <n v="0"/>
    <n v="0"/>
    <n v="0"/>
    <n v="0"/>
    <m/>
    <m/>
    <n v="0"/>
    <n v="0"/>
    <m/>
    <m/>
    <n v="114661"/>
    <n v="102602"/>
    <n v="87519"/>
    <n v="89133"/>
    <n v="107870"/>
    <n v="104786"/>
    <n v="310050"/>
    <n v="344.5"/>
    <n v="296521"/>
    <n v="329.46777777777777"/>
    <m/>
    <m/>
    <n v="0"/>
    <n v="0"/>
  </r>
  <r>
    <x v="12"/>
    <s v="Tennessee Technology Center at Crump"/>
    <m/>
    <n v="221430"/>
    <x v="10"/>
    <s v="sem"/>
    <m/>
    <m/>
    <m/>
    <m/>
    <m/>
    <m/>
    <m/>
    <m/>
    <m/>
    <n v="0"/>
    <n v="0"/>
    <n v="0"/>
    <n v="0"/>
    <m/>
    <m/>
    <n v="0"/>
    <n v="0"/>
    <m/>
    <m/>
    <n v="77512"/>
    <n v="72478"/>
    <n v="65429"/>
    <n v="66877"/>
    <n v="69188"/>
    <n v="74884"/>
    <n v="212129"/>
    <n v="235.69888888888889"/>
    <n v="214239"/>
    <n v="238.04333333333332"/>
    <m/>
    <m/>
    <n v="0"/>
    <n v="0"/>
  </r>
  <r>
    <x v="12"/>
    <s v="Tennessee Technology Center at Dickson"/>
    <m/>
    <n v="219994"/>
    <x v="10"/>
    <s v="sem"/>
    <m/>
    <m/>
    <m/>
    <m/>
    <m/>
    <m/>
    <m/>
    <m/>
    <m/>
    <n v="0"/>
    <n v="0"/>
    <n v="0"/>
    <n v="0"/>
    <m/>
    <m/>
    <n v="0"/>
    <n v="0"/>
    <m/>
    <m/>
    <n v="177826"/>
    <n v="159343"/>
    <n v="161193"/>
    <n v="150435"/>
    <n v="168944"/>
    <n v="166077"/>
    <n v="507963"/>
    <n v="564.40333333333331"/>
    <n v="475855"/>
    <n v="528.72777777777776"/>
    <m/>
    <m/>
    <n v="0"/>
    <n v="0"/>
  </r>
  <r>
    <x v="12"/>
    <s v="Tennessee Technology Center at Elizabethton"/>
    <m/>
    <n v="220127"/>
    <x v="10"/>
    <s v="sem"/>
    <m/>
    <m/>
    <m/>
    <m/>
    <m/>
    <m/>
    <m/>
    <m/>
    <m/>
    <n v="0"/>
    <n v="0"/>
    <n v="0"/>
    <n v="0"/>
    <m/>
    <m/>
    <n v="0"/>
    <n v="0"/>
    <m/>
    <m/>
    <n v="166940"/>
    <n v="164284"/>
    <n v="158091"/>
    <n v="162034"/>
    <n v="161088"/>
    <n v="175859"/>
    <n v="486119"/>
    <n v="540.13222222222225"/>
    <n v="502177"/>
    <n v="557.97444444444443"/>
    <m/>
    <m/>
    <n v="0"/>
    <n v="0"/>
  </r>
  <r>
    <x v="12"/>
    <s v="Tennessee Technology Center at Harriman"/>
    <m/>
    <n v="220251"/>
    <x v="10"/>
    <s v="sem"/>
    <m/>
    <m/>
    <m/>
    <m/>
    <m/>
    <m/>
    <m/>
    <m/>
    <m/>
    <n v="0"/>
    <n v="0"/>
    <n v="0"/>
    <n v="0"/>
    <m/>
    <m/>
    <n v="0"/>
    <n v="0"/>
    <m/>
    <m/>
    <n v="100943"/>
    <n v="75914"/>
    <n v="69188"/>
    <n v="73031"/>
    <n v="76853"/>
    <n v="86975"/>
    <n v="246984"/>
    <n v="274.42666666666668"/>
    <n v="235920"/>
    <n v="262.13333333333333"/>
    <m/>
    <m/>
    <n v="0"/>
    <n v="0"/>
  </r>
  <r>
    <x v="12"/>
    <s v="Tennessee Technology Center at Hartsville"/>
    <m/>
    <n v="220279"/>
    <x v="10"/>
    <s v="sem"/>
    <m/>
    <m/>
    <m/>
    <m/>
    <m/>
    <m/>
    <m/>
    <m/>
    <m/>
    <n v="0"/>
    <n v="0"/>
    <n v="0"/>
    <n v="0"/>
    <m/>
    <m/>
    <n v="0"/>
    <n v="0"/>
    <m/>
    <m/>
    <n v="142474"/>
    <n v="129652"/>
    <n v="97558"/>
    <n v="96744"/>
    <n v="141691"/>
    <n v="136225"/>
    <n v="381723"/>
    <n v="424.13666666666666"/>
    <n v="362621"/>
    <n v="402.91222222222223"/>
    <m/>
    <m/>
    <n v="0"/>
    <n v="0"/>
  </r>
  <r>
    <x v="12"/>
    <s v="Tennessee Technology Center at Hohenwald"/>
    <m/>
    <n v="220321"/>
    <x v="10"/>
    <s v="sem"/>
    <m/>
    <m/>
    <m/>
    <m/>
    <m/>
    <m/>
    <m/>
    <m/>
    <m/>
    <n v="0"/>
    <n v="0"/>
    <n v="0"/>
    <n v="0"/>
    <m/>
    <m/>
    <n v="0"/>
    <n v="0"/>
    <m/>
    <m/>
    <n v="145278"/>
    <n v="129225"/>
    <n v="121653"/>
    <n v="107374"/>
    <n v="144376"/>
    <n v="120338"/>
    <n v="411307"/>
    <n v="457.00777777777779"/>
    <n v="356937"/>
    <n v="396.59666666666669"/>
    <m/>
    <m/>
    <n v="0"/>
    <n v="0"/>
  </r>
  <r>
    <x v="12"/>
    <s v="Tennessee Technology Center at Jacksboro"/>
    <m/>
    <n v="220394"/>
    <x v="10"/>
    <s v="sem"/>
    <m/>
    <m/>
    <m/>
    <m/>
    <m/>
    <m/>
    <m/>
    <m/>
    <m/>
    <n v="0"/>
    <n v="0"/>
    <n v="0"/>
    <n v="0"/>
    <m/>
    <m/>
    <n v="0"/>
    <n v="0"/>
    <m/>
    <m/>
    <n v="61317"/>
    <n v="62072"/>
    <n v="55502"/>
    <n v="56566"/>
    <n v="66281"/>
    <n v="66056"/>
    <n v="183100"/>
    <n v="203.44444444444446"/>
    <n v="184694"/>
    <n v="205.21555555555557"/>
    <m/>
    <m/>
    <n v="0"/>
    <n v="0"/>
  </r>
  <r>
    <x v="12"/>
    <s v="Tennessee Technology Center at Jackson"/>
    <m/>
    <n v="221616"/>
    <x v="10"/>
    <s v="sem"/>
    <m/>
    <m/>
    <m/>
    <m/>
    <m/>
    <m/>
    <m/>
    <m/>
    <m/>
    <n v="0"/>
    <n v="0"/>
    <n v="0"/>
    <n v="0"/>
    <m/>
    <m/>
    <n v="0"/>
    <n v="0"/>
    <m/>
    <m/>
    <n v="183294"/>
    <n v="148611"/>
    <n v="164025"/>
    <n v="143264"/>
    <n v="158591"/>
    <n v="167214"/>
    <n v="505910"/>
    <n v="562.12222222222226"/>
    <n v="459089"/>
    <n v="510.09888888888889"/>
    <m/>
    <m/>
    <n v="0"/>
    <n v="0"/>
  </r>
  <r>
    <x v="12"/>
    <s v="Tennessee Technology Center at Knoxville"/>
    <m/>
    <n v="221625"/>
    <x v="10"/>
    <s v="sem"/>
    <m/>
    <m/>
    <m/>
    <m/>
    <m/>
    <m/>
    <m/>
    <m/>
    <m/>
    <n v="0"/>
    <n v="0"/>
    <n v="0"/>
    <n v="0"/>
    <m/>
    <m/>
    <n v="0"/>
    <n v="0"/>
    <m/>
    <m/>
    <n v="196747"/>
    <n v="182313"/>
    <n v="188863"/>
    <n v="185487"/>
    <n v="199118"/>
    <n v="194748"/>
    <n v="584728"/>
    <n v="649.69777777777779"/>
    <n v="562548"/>
    <n v="625.05333333333328"/>
    <m/>
    <m/>
    <n v="0"/>
    <n v="0"/>
  </r>
  <r>
    <x v="12"/>
    <s v="Tennessee Technology Center at Livingston"/>
    <m/>
    <n v="220640"/>
    <x v="10"/>
    <s v="sem"/>
    <m/>
    <m/>
    <m/>
    <m/>
    <m/>
    <m/>
    <m/>
    <m/>
    <m/>
    <n v="0"/>
    <n v="0"/>
    <n v="0"/>
    <n v="0"/>
    <m/>
    <m/>
    <n v="0"/>
    <n v="0"/>
    <m/>
    <m/>
    <n v="135869"/>
    <n v="119619"/>
    <n v="99908"/>
    <n v="93735"/>
    <n v="129030"/>
    <n v="141385"/>
    <n v="364807"/>
    <n v="405.3411111111111"/>
    <n v="354739"/>
    <n v="394.15444444444444"/>
    <m/>
    <m/>
    <n v="0"/>
    <n v="0"/>
  </r>
  <r>
    <x v="12"/>
    <s v="Tennessee Technology Center at McKenzie"/>
    <m/>
    <n v="220756"/>
    <x v="10"/>
    <s v="sem"/>
    <m/>
    <m/>
    <m/>
    <m/>
    <m/>
    <m/>
    <m/>
    <m/>
    <m/>
    <n v="0"/>
    <n v="0"/>
    <n v="0"/>
    <n v="0"/>
    <m/>
    <m/>
    <n v="0"/>
    <n v="0"/>
    <m/>
    <m/>
    <n v="73229"/>
    <n v="84891"/>
    <n v="61828"/>
    <n v="71589"/>
    <n v="74666"/>
    <n v="85717"/>
    <n v="209723"/>
    <n v="233.02555555555554"/>
    <n v="242197"/>
    <n v="269.10777777777776"/>
    <m/>
    <m/>
    <n v="0"/>
    <n v="0"/>
  </r>
  <r>
    <x v="12"/>
    <s v="Tennessee Technology Center at McMinnville"/>
    <m/>
    <n v="221607"/>
    <x v="10"/>
    <s v="sem"/>
    <m/>
    <m/>
    <m/>
    <m/>
    <m/>
    <m/>
    <m/>
    <m/>
    <m/>
    <n v="0"/>
    <n v="0"/>
    <n v="0"/>
    <n v="0"/>
    <m/>
    <m/>
    <n v="0"/>
    <n v="0"/>
    <m/>
    <m/>
    <n v="85258"/>
    <n v="69968"/>
    <n v="82238"/>
    <n v="65409"/>
    <n v="78420"/>
    <n v="73565"/>
    <n v="245916"/>
    <n v="273.24"/>
    <n v="208942"/>
    <n v="232.15777777777777"/>
    <m/>
    <m/>
    <n v="0"/>
    <n v="0"/>
  </r>
  <r>
    <x v="12"/>
    <s v="Tennessee Technology Center at Memphis"/>
    <m/>
    <n v="220853"/>
    <x v="10"/>
    <s v="sem"/>
    <m/>
    <m/>
    <m/>
    <m/>
    <m/>
    <m/>
    <m/>
    <m/>
    <m/>
    <n v="0"/>
    <n v="0"/>
    <n v="0"/>
    <n v="0"/>
    <m/>
    <m/>
    <n v="0"/>
    <n v="0"/>
    <m/>
    <m/>
    <n v="266610"/>
    <n v="259997"/>
    <n v="251758"/>
    <n v="243393"/>
    <n v="280423"/>
    <n v="276408"/>
    <n v="798791"/>
    <n v="887.54555555555555"/>
    <n v="779798"/>
    <n v="866.4422222222222"/>
    <m/>
    <m/>
    <n v="0"/>
    <n v="0"/>
  </r>
  <r>
    <x v="12"/>
    <s v="Tennessee Technology Center at Morristown"/>
    <m/>
    <n v="221050"/>
    <x v="10"/>
    <s v="sem"/>
    <m/>
    <m/>
    <m/>
    <m/>
    <m/>
    <m/>
    <m/>
    <m/>
    <m/>
    <n v="0"/>
    <n v="0"/>
    <n v="0"/>
    <n v="0"/>
    <m/>
    <m/>
    <n v="0"/>
    <n v="0"/>
    <m/>
    <m/>
    <n v="185104"/>
    <n v="179417"/>
    <n v="159218"/>
    <n v="164143"/>
    <n v="181089"/>
    <n v="171154"/>
    <n v="525411"/>
    <n v="583.79"/>
    <n v="514714"/>
    <n v="571.90444444444449"/>
    <m/>
    <m/>
    <n v="0"/>
    <n v="0"/>
  </r>
  <r>
    <x v="12"/>
    <s v="Tennessee Technology Center at Murfreesboro"/>
    <m/>
    <n v="221102"/>
    <x v="10"/>
    <s v="sem"/>
    <m/>
    <m/>
    <m/>
    <m/>
    <m/>
    <m/>
    <m/>
    <m/>
    <m/>
    <n v="0"/>
    <n v="0"/>
    <n v="0"/>
    <n v="0"/>
    <m/>
    <m/>
    <n v="0"/>
    <n v="0"/>
    <m/>
    <m/>
    <n v="174185"/>
    <n v="141188"/>
    <n v="134883"/>
    <n v="148748"/>
    <n v="148391"/>
    <n v="139536"/>
    <n v="457459"/>
    <n v="508.28777777777776"/>
    <n v="429472"/>
    <n v="477.19111111111113"/>
    <m/>
    <m/>
    <n v="0"/>
    <n v="0"/>
  </r>
  <r>
    <x v="12"/>
    <s v="Tennessee Technology Center at Nashville"/>
    <m/>
    <n v="248925"/>
    <x v="10"/>
    <s v="sem"/>
    <m/>
    <m/>
    <m/>
    <m/>
    <m/>
    <m/>
    <m/>
    <m/>
    <m/>
    <n v="0"/>
    <n v="0"/>
    <n v="0"/>
    <n v="0"/>
    <m/>
    <m/>
    <n v="0"/>
    <n v="0"/>
    <m/>
    <m/>
    <n v="257568"/>
    <n v="278262"/>
    <n v="229722"/>
    <n v="219552"/>
    <n v="264258"/>
    <n v="242102"/>
    <n v="751548"/>
    <n v="835.05333333333328"/>
    <n v="739916"/>
    <n v="822.12888888888892"/>
    <m/>
    <m/>
    <n v="0"/>
    <n v="0"/>
  </r>
  <r>
    <x v="12"/>
    <s v="Tennessee Technology Center at Newbern"/>
    <m/>
    <n v="221236"/>
    <x v="10"/>
    <s v="sem"/>
    <m/>
    <m/>
    <m/>
    <m/>
    <m/>
    <m/>
    <m/>
    <m/>
    <m/>
    <n v="0"/>
    <n v="0"/>
    <n v="0"/>
    <n v="0"/>
    <m/>
    <m/>
    <n v="0"/>
    <n v="0"/>
    <m/>
    <m/>
    <n v="77916"/>
    <n v="128808"/>
    <n v="64752"/>
    <n v="110683"/>
    <n v="103196"/>
    <n v="117982"/>
    <n v="245864"/>
    <n v="273.18222222222221"/>
    <n v="357473"/>
    <n v="397.1922222222222"/>
    <m/>
    <m/>
    <n v="0"/>
    <n v="0"/>
  </r>
  <r>
    <x v="12"/>
    <s v="Tennessee Technology Center at Oneida"/>
    <m/>
    <n v="221582"/>
    <x v="10"/>
    <s v="sem"/>
    <m/>
    <m/>
    <m/>
    <m/>
    <m/>
    <m/>
    <m/>
    <m/>
    <m/>
    <n v="0"/>
    <n v="0"/>
    <n v="0"/>
    <n v="0"/>
    <m/>
    <m/>
    <n v="0"/>
    <n v="0"/>
    <m/>
    <m/>
    <n v="116904"/>
    <n v="74206"/>
    <n v="75489"/>
    <n v="54433"/>
    <n v="86633"/>
    <n v="73250"/>
    <n v="279026"/>
    <n v="310.0288888888889"/>
    <n v="201889"/>
    <n v="224.32111111111112"/>
    <m/>
    <m/>
    <n v="0"/>
    <n v="0"/>
  </r>
  <r>
    <x v="12"/>
    <s v="Tennessee Technology Center at Paris"/>
    <m/>
    <n v="221281"/>
    <x v="10"/>
    <s v="sem"/>
    <m/>
    <m/>
    <m/>
    <m/>
    <m/>
    <m/>
    <m/>
    <m/>
    <m/>
    <n v="0"/>
    <n v="0"/>
    <n v="0"/>
    <n v="0"/>
    <m/>
    <m/>
    <n v="0"/>
    <n v="0"/>
    <m/>
    <m/>
    <n v="103602"/>
    <n v="111690"/>
    <n v="91638"/>
    <n v="105413"/>
    <n v="100354"/>
    <n v="106651"/>
    <n v="295594"/>
    <n v="328.4377777777778"/>
    <n v="323754"/>
    <n v="359.72666666666669"/>
    <m/>
    <m/>
    <n v="0"/>
    <n v="0"/>
  </r>
  <r>
    <x v="12"/>
    <s v="Tennessee Technology Center at Pulaski"/>
    <m/>
    <n v="221333"/>
    <x v="10"/>
    <s v="sem"/>
    <m/>
    <m/>
    <m/>
    <m/>
    <m/>
    <m/>
    <m/>
    <m/>
    <m/>
    <n v="0"/>
    <n v="0"/>
    <n v="0"/>
    <n v="0"/>
    <m/>
    <m/>
    <n v="0"/>
    <n v="0"/>
    <m/>
    <m/>
    <n v="167365"/>
    <n v="127721"/>
    <n v="74065"/>
    <n v="63907"/>
    <n v="126508"/>
    <n v="117700"/>
    <n v="367938"/>
    <n v="408.82"/>
    <n v="309328"/>
    <n v="343.69777777777779"/>
    <m/>
    <m/>
    <n v="0"/>
    <n v="0"/>
  </r>
  <r>
    <x v="12"/>
    <s v="Tennessee Technology Center at Ripley"/>
    <m/>
    <n v="221388"/>
    <x v="10"/>
    <s v="sem"/>
    <m/>
    <m/>
    <m/>
    <m/>
    <m/>
    <m/>
    <m/>
    <m/>
    <m/>
    <n v="0"/>
    <n v="0"/>
    <n v="0"/>
    <n v="0"/>
    <m/>
    <m/>
    <n v="0"/>
    <n v="0"/>
    <m/>
    <m/>
    <n v="58840"/>
    <n v="56880"/>
    <n v="50002"/>
    <n v="49724"/>
    <n v="58646"/>
    <n v="51382"/>
    <n v="167488"/>
    <n v="186.09777777777776"/>
    <n v="157986"/>
    <n v="175.54"/>
    <m/>
    <m/>
    <n v="0"/>
    <n v="0"/>
  </r>
  <r>
    <x v="12"/>
    <s v="Tennessee Technology Center at Shelbyville"/>
    <m/>
    <n v="221494"/>
    <x v="10"/>
    <s v="sem"/>
    <m/>
    <m/>
    <m/>
    <m/>
    <m/>
    <m/>
    <m/>
    <m/>
    <m/>
    <n v="0"/>
    <n v="0"/>
    <n v="0"/>
    <n v="0"/>
    <m/>
    <m/>
    <n v="0"/>
    <n v="0"/>
    <m/>
    <m/>
    <n v="155729"/>
    <n v="157881"/>
    <n v="144143"/>
    <n v="151235"/>
    <n v="162810"/>
    <n v="161268"/>
    <n v="462682"/>
    <n v="514.0911111111111"/>
    <n v="470384"/>
    <n v="522.64888888888891"/>
    <m/>
    <m/>
    <n v="0"/>
    <n v="0"/>
  </r>
  <r>
    <x v="12"/>
    <s v="Tennessee Technology Center at Whiteville"/>
    <m/>
    <n v="221634"/>
    <x v="10"/>
    <s v="sem"/>
    <m/>
    <m/>
    <m/>
    <m/>
    <m/>
    <m/>
    <m/>
    <m/>
    <m/>
    <n v="0"/>
    <n v="0"/>
    <n v="0"/>
    <n v="0"/>
    <m/>
    <m/>
    <n v="0"/>
    <n v="0"/>
    <m/>
    <m/>
    <n v="62782"/>
    <n v="52309"/>
    <n v="54946"/>
    <n v="42222"/>
    <n v="55338"/>
    <n v="51522"/>
    <n v="173066"/>
    <n v="192.29555555555555"/>
    <n v="146053"/>
    <n v="162.2811111111111"/>
    <m/>
    <m/>
    <n v="0"/>
    <n v="0"/>
  </r>
  <r>
    <x v="13"/>
    <s v="Texas A&amp;M University "/>
    <m/>
    <n v="228723"/>
    <x v="0"/>
    <s v="sem"/>
    <s v="sem"/>
    <m/>
    <m/>
    <n v="482895"/>
    <n v="487578"/>
    <n v="69004"/>
    <n v="67755"/>
    <n v="526750"/>
    <n v="527575"/>
    <n v="1078649"/>
    <n v="35954.966666666667"/>
    <n v="1082908"/>
    <n v="36096.933333333334"/>
    <n v="0"/>
    <n v="0"/>
    <n v="1078649"/>
    <n v="1082908"/>
    <m/>
    <m/>
    <m/>
    <m/>
    <m/>
    <m/>
    <m/>
    <m/>
    <n v="0"/>
    <n v="0"/>
    <n v="0"/>
    <n v="0"/>
    <m/>
    <m/>
    <n v="0"/>
    <n v="0"/>
  </r>
  <r>
    <x v="13"/>
    <s v="Texas Tech University "/>
    <m/>
    <n v="229115"/>
    <x v="0"/>
    <s v="sem"/>
    <s v="sem"/>
    <m/>
    <m/>
    <n v="307954"/>
    <n v="312080"/>
    <n v="56185"/>
    <n v="60841"/>
    <n v="339414"/>
    <n v="342993"/>
    <n v="703553"/>
    <n v="23451.766666666666"/>
    <n v="715914"/>
    <n v="23863.8"/>
    <n v="0"/>
    <n v="0"/>
    <n v="703553"/>
    <n v="715914"/>
    <m/>
    <m/>
    <m/>
    <m/>
    <m/>
    <m/>
    <m/>
    <m/>
    <n v="0"/>
    <n v="0"/>
    <n v="0"/>
    <n v="0"/>
    <m/>
    <m/>
    <n v="0"/>
    <n v="0"/>
  </r>
  <r>
    <x v="13"/>
    <s v="University of Houston"/>
    <m/>
    <n v="225511"/>
    <x v="0"/>
    <s v="sem"/>
    <s v="sem"/>
    <m/>
    <m/>
    <n v="342055"/>
    <n v="351355"/>
    <n v="59414"/>
    <n v="59472"/>
    <n v="371406"/>
    <n v="381811"/>
    <n v="772875"/>
    <n v="25762.5"/>
    <n v="792638"/>
    <n v="26421.266666666666"/>
    <n v="42"/>
    <n v="9"/>
    <n v="772875"/>
    <n v="792638"/>
    <m/>
    <m/>
    <m/>
    <m/>
    <m/>
    <m/>
    <m/>
    <m/>
    <n v="0"/>
    <n v="0"/>
    <n v="0"/>
    <n v="0"/>
    <m/>
    <m/>
    <n v="0"/>
    <n v="0"/>
  </r>
  <r>
    <x v="13"/>
    <s v="University of North Texas"/>
    <m/>
    <n v="227216"/>
    <x v="0"/>
    <s v="sem"/>
    <s v="sem"/>
    <m/>
    <m/>
    <n v="322161"/>
    <n v="320167"/>
    <n v="78715"/>
    <n v="71578"/>
    <n v="348202"/>
    <n v="359234"/>
    <n v="749078"/>
    <n v="24969.266666666666"/>
    <n v="750979"/>
    <n v="25032.633333333335"/>
    <n v="9"/>
    <n v="0"/>
    <n v="749078"/>
    <n v="750979"/>
    <m/>
    <m/>
    <m/>
    <m/>
    <m/>
    <m/>
    <m/>
    <m/>
    <n v="0"/>
    <n v="0"/>
    <n v="0"/>
    <n v="0"/>
    <m/>
    <m/>
    <n v="0"/>
    <n v="0"/>
  </r>
  <r>
    <x v="13"/>
    <s v="University of Texas at Arlington"/>
    <m/>
    <n v="228769"/>
    <x v="0"/>
    <s v="sem"/>
    <s v="sem"/>
    <m/>
    <m/>
    <n v="276224"/>
    <n v="275569"/>
    <n v="92280"/>
    <n v="86203"/>
    <n v="266722"/>
    <n v="269106"/>
    <n v="635226"/>
    <n v="21174.2"/>
    <n v="630878"/>
    <n v="21029.266666666666"/>
    <n v="5900"/>
    <n v="1789"/>
    <n v="635226"/>
    <n v="630878"/>
    <m/>
    <m/>
    <m/>
    <m/>
    <m/>
    <m/>
    <m/>
    <m/>
    <n v="0"/>
    <n v="0"/>
    <n v="0"/>
    <n v="0"/>
    <m/>
    <m/>
    <n v="0"/>
    <n v="0"/>
  </r>
  <r>
    <x v="13"/>
    <s v="University of Texas at Austin"/>
    <m/>
    <n v="228778"/>
    <x v="0"/>
    <s v="sem"/>
    <s v="sem"/>
    <m/>
    <m/>
    <n v="473427"/>
    <n v="479745"/>
    <n v="63032"/>
    <n v="62147"/>
    <n v="507622"/>
    <n v="531841"/>
    <n v="1044081"/>
    <n v="34802.699999999997"/>
    <n v="1073733"/>
    <n v="35791.1"/>
    <n v="0"/>
    <n v="0"/>
    <n v="1044081"/>
    <n v="1073733"/>
    <m/>
    <m/>
    <m/>
    <m/>
    <m/>
    <m/>
    <m/>
    <m/>
    <n v="0"/>
    <n v="0"/>
    <n v="0"/>
    <n v="0"/>
    <m/>
    <m/>
    <n v="0"/>
    <n v="0"/>
  </r>
  <r>
    <x v="13"/>
    <s v="University of Texas at Dallas"/>
    <m/>
    <n v="228787"/>
    <x v="0"/>
    <s v="sem"/>
    <s v="sem"/>
    <m/>
    <m/>
    <n v="124322"/>
    <n v="139810"/>
    <n v="21405"/>
    <n v="22247"/>
    <n v="147398"/>
    <n v="153081"/>
    <n v="293125"/>
    <n v="9770.8333333333339"/>
    <n v="315138"/>
    <n v="10504.6"/>
    <n v="0"/>
    <n v="0"/>
    <n v="293125"/>
    <n v="315138"/>
    <m/>
    <m/>
    <m/>
    <m/>
    <m/>
    <m/>
    <m/>
    <m/>
    <n v="0"/>
    <n v="0"/>
    <n v="0"/>
    <n v="0"/>
    <m/>
    <m/>
    <n v="0"/>
    <n v="0"/>
  </r>
  <r>
    <x v="13"/>
    <s v="Texas Woman's University"/>
    <m/>
    <n v="229179"/>
    <x v="1"/>
    <s v="sem"/>
    <s v="sem"/>
    <m/>
    <m/>
    <n v="93769"/>
    <n v="97792"/>
    <n v="22813"/>
    <n v="22120"/>
    <n v="104993"/>
    <n v="109096"/>
    <n v="221575"/>
    <n v="7385.833333333333"/>
    <n v="229008"/>
    <n v="7633.6"/>
    <n v="0"/>
    <n v="1872"/>
    <n v="221575"/>
    <n v="229008"/>
    <m/>
    <m/>
    <m/>
    <m/>
    <m/>
    <m/>
    <m/>
    <m/>
    <n v="0"/>
    <n v="0"/>
    <n v="0"/>
    <n v="0"/>
    <m/>
    <m/>
    <n v="0"/>
    <n v="0"/>
  </r>
  <r>
    <x v="13"/>
    <s v="University of Texas at El Paso"/>
    <m/>
    <n v="228796"/>
    <x v="1"/>
    <s v="sem"/>
    <s v="sem"/>
    <m/>
    <m/>
    <n v="192515"/>
    <n v="197653"/>
    <n v="56925"/>
    <n v="50496"/>
    <n v="208966"/>
    <n v="210047"/>
    <n v="458406"/>
    <n v="15280.2"/>
    <n v="458196"/>
    <n v="15273.2"/>
    <n v="495"/>
    <n v="0"/>
    <n v="458406"/>
    <n v="458196"/>
    <m/>
    <m/>
    <m/>
    <m/>
    <m/>
    <m/>
    <m/>
    <m/>
    <n v="0"/>
    <n v="0"/>
    <n v="0"/>
    <n v="0"/>
    <m/>
    <m/>
    <n v="0"/>
    <n v="0"/>
  </r>
  <r>
    <x v="13"/>
    <s v="University of Texas at San Antonio"/>
    <m/>
    <n v="229027"/>
    <x v="1"/>
    <s v="sem"/>
    <s v="sem"/>
    <m/>
    <m/>
    <n v="278553"/>
    <n v="285614"/>
    <n v="58082"/>
    <n v="52071"/>
    <n v="316003"/>
    <n v="305203"/>
    <n v="652638"/>
    <n v="21754.6"/>
    <n v="642888"/>
    <n v="21429.599999999999"/>
    <n v="726"/>
    <n v="333"/>
    <n v="652638"/>
    <n v="642888"/>
    <m/>
    <m/>
    <m/>
    <m/>
    <m/>
    <m/>
    <m/>
    <m/>
    <n v="0"/>
    <n v="0"/>
    <n v="0"/>
    <n v="0"/>
    <m/>
    <m/>
    <n v="0"/>
    <n v="0"/>
  </r>
  <r>
    <x v="13"/>
    <s v="Angelo State University"/>
    <m/>
    <n v="222831"/>
    <x v="2"/>
    <s v="sem"/>
    <s v="sem"/>
    <m/>
    <m/>
    <n v="65927"/>
    <n v="63537"/>
    <n v="12312"/>
    <n v="12199"/>
    <n v="73820"/>
    <n v="74515"/>
    <n v="152059"/>
    <n v="5068.6333333333332"/>
    <n v="150251"/>
    <n v="5008.3666666666668"/>
    <n v="411"/>
    <n v="436"/>
    <n v="152059"/>
    <n v="150251"/>
    <m/>
    <m/>
    <m/>
    <m/>
    <m/>
    <m/>
    <m/>
    <m/>
    <n v="0"/>
    <n v="0"/>
    <n v="0"/>
    <n v="0"/>
    <m/>
    <m/>
    <n v="0"/>
    <n v="0"/>
  </r>
  <r>
    <x v="13"/>
    <s v="Lamar University"/>
    <m/>
    <n v="226091"/>
    <x v="2"/>
    <s v="sem"/>
    <s v="sem"/>
    <m/>
    <m/>
    <n v="100855"/>
    <n v="100939"/>
    <n v="27853"/>
    <n v="25948"/>
    <n v="111067"/>
    <n v="108011"/>
    <n v="239775"/>
    <n v="7992.5"/>
    <n v="234898"/>
    <n v="7829.9333333333334"/>
    <n v="3546"/>
    <n v="4551"/>
    <n v="239775"/>
    <n v="234898"/>
    <m/>
    <m/>
    <m/>
    <m/>
    <m/>
    <m/>
    <m/>
    <m/>
    <n v="0"/>
    <n v="0"/>
    <n v="0"/>
    <n v="0"/>
    <m/>
    <m/>
    <n v="0"/>
    <n v="0"/>
  </r>
  <r>
    <x v="13"/>
    <s v="Midwestern State University"/>
    <m/>
    <n v="226833"/>
    <x v="2"/>
    <s v="sem"/>
    <s v="sem"/>
    <m/>
    <m/>
    <n v="61553"/>
    <n v="57294"/>
    <n v="15083"/>
    <n v="13394"/>
    <n v="62216"/>
    <n v="59232"/>
    <n v="138852"/>
    <n v="4628.3999999999996"/>
    <n v="129920"/>
    <n v="4330.666666666667"/>
    <n v="144"/>
    <n v="229"/>
    <n v="138852"/>
    <n v="129920"/>
    <m/>
    <m/>
    <m/>
    <m/>
    <m/>
    <m/>
    <m/>
    <m/>
    <n v="0"/>
    <n v="0"/>
    <n v="0"/>
    <n v="0"/>
    <m/>
    <m/>
    <n v="0"/>
    <n v="0"/>
  </r>
  <r>
    <x v="13"/>
    <s v="Prairie View A&amp;M University"/>
    <m/>
    <n v="227526"/>
    <x v="2"/>
    <s v="sem"/>
    <s v="sem"/>
    <m/>
    <m/>
    <n v="81756"/>
    <n v="80259"/>
    <n v="11817"/>
    <n v="14211"/>
    <n v="87342"/>
    <n v="89083"/>
    <n v="180915"/>
    <n v="6030.5"/>
    <n v="183553"/>
    <n v="6118.4333333333334"/>
    <n v="0"/>
    <n v="0"/>
    <n v="180915"/>
    <n v="183553"/>
    <m/>
    <m/>
    <m/>
    <m/>
    <m/>
    <m/>
    <m/>
    <m/>
    <n v="0"/>
    <n v="0"/>
    <n v="0"/>
    <n v="0"/>
    <m/>
    <m/>
    <n v="0"/>
    <n v="0"/>
  </r>
  <r>
    <x v="13"/>
    <s v="Sam Houston State University "/>
    <m/>
    <n v="227881"/>
    <x v="2"/>
    <s v="sem"/>
    <s v="sem"/>
    <m/>
    <m/>
    <n v="177518"/>
    <n v="176959"/>
    <n v="37775"/>
    <n v="34348"/>
    <n v="188617"/>
    <n v="197545"/>
    <n v="403910"/>
    <n v="13463.666666666666"/>
    <n v="408852"/>
    <n v="13628.4"/>
    <n v="0"/>
    <n v="0"/>
    <n v="403910"/>
    <n v="408852"/>
    <m/>
    <m/>
    <m/>
    <m/>
    <m/>
    <m/>
    <m/>
    <m/>
    <n v="0"/>
    <n v="0"/>
    <n v="0"/>
    <n v="0"/>
    <m/>
    <m/>
    <n v="0"/>
    <n v="0"/>
  </r>
  <r>
    <x v="13"/>
    <s v="Stephen F. Austin State University"/>
    <m/>
    <n v="228431"/>
    <x v="2"/>
    <s v="sem"/>
    <s v="sem"/>
    <m/>
    <m/>
    <n v="130422"/>
    <n v="131478"/>
    <n v="29504"/>
    <n v="29548"/>
    <n v="142610"/>
    <n v="141922"/>
    <n v="302536"/>
    <n v="10084.533333333333"/>
    <n v="302948"/>
    <n v="10098.266666666666"/>
    <n v="1909"/>
    <n v="1892"/>
    <n v="302536"/>
    <n v="302948"/>
    <m/>
    <m/>
    <m/>
    <m/>
    <m/>
    <m/>
    <m/>
    <m/>
    <n v="0"/>
    <n v="0"/>
    <n v="0"/>
    <n v="0"/>
    <m/>
    <m/>
    <n v="0"/>
    <n v="0"/>
  </r>
  <r>
    <x v="13"/>
    <s v="Sul Ross State University "/>
    <m/>
    <n v="228501"/>
    <x v="2"/>
    <s v="sem"/>
    <s v="sem"/>
    <m/>
    <m/>
    <n v="16529"/>
    <n v="15958"/>
    <n v="2873"/>
    <n v="2831"/>
    <n v="18435"/>
    <n v="15518"/>
    <n v="37837"/>
    <n v="1261.2333333333333"/>
    <n v="34307"/>
    <n v="1143.5666666666666"/>
    <n v="784"/>
    <n v="604"/>
    <n v="37837"/>
    <n v="34307"/>
    <m/>
    <m/>
    <m/>
    <m/>
    <m/>
    <m/>
    <m/>
    <m/>
    <n v="0"/>
    <n v="0"/>
    <n v="0"/>
    <n v="0"/>
    <m/>
    <m/>
    <n v="0"/>
    <n v="0"/>
  </r>
  <r>
    <x v="13"/>
    <s v="Tarleton State University"/>
    <m/>
    <n v="228529"/>
    <x v="2"/>
    <s v="sem"/>
    <s v="sem"/>
    <m/>
    <m/>
    <n v="86497"/>
    <n v="95400"/>
    <n v="23214"/>
    <n v="24025"/>
    <n v="101496"/>
    <n v="108102"/>
    <n v="211207"/>
    <n v="7040.2333333333336"/>
    <n v="227527"/>
    <n v="7584.2333333333336"/>
    <n v="0"/>
    <n v="0"/>
    <n v="211207"/>
    <n v="227527"/>
    <m/>
    <m/>
    <m/>
    <m/>
    <m/>
    <m/>
    <m/>
    <m/>
    <n v="0"/>
    <n v="0"/>
    <n v="0"/>
    <n v="0"/>
    <m/>
    <m/>
    <n v="0"/>
    <n v="0"/>
  </r>
  <r>
    <x v="13"/>
    <s v="Texas A&amp;M International University"/>
    <m/>
    <n v="226152"/>
    <x v="2"/>
    <s v="sem"/>
    <s v="sem"/>
    <m/>
    <m/>
    <n v="59699"/>
    <n v="60213"/>
    <n v="16480"/>
    <n v="13241"/>
    <n v="64682"/>
    <n v="65955"/>
    <n v="140861"/>
    <n v="4695.3666666666668"/>
    <n v="139409"/>
    <n v="4646.9666666666662"/>
    <n v="8904"/>
    <n v="9092"/>
    <n v="140861"/>
    <n v="139409"/>
    <m/>
    <m/>
    <m/>
    <m/>
    <m/>
    <m/>
    <m/>
    <m/>
    <n v="0"/>
    <n v="0"/>
    <n v="0"/>
    <n v="0"/>
    <m/>
    <m/>
    <n v="0"/>
    <n v="0"/>
  </r>
  <r>
    <x v="13"/>
    <s v="Texas A&amp;M University-Commerce"/>
    <m/>
    <n v="224554"/>
    <x v="2"/>
    <s v="sem"/>
    <s v="sem"/>
    <m/>
    <m/>
    <n v="70278"/>
    <n v="69494"/>
    <n v="16936"/>
    <n v="16728"/>
    <n v="77029"/>
    <n v="78226"/>
    <n v="164243"/>
    <n v="5474.7666666666664"/>
    <n v="164448"/>
    <n v="5481.6"/>
    <n v="1131"/>
    <n v="1509"/>
    <n v="164243"/>
    <n v="164448"/>
    <m/>
    <m/>
    <m/>
    <m/>
    <m/>
    <m/>
    <m/>
    <m/>
    <n v="0"/>
    <n v="0"/>
    <n v="0"/>
    <n v="0"/>
    <m/>
    <m/>
    <n v="0"/>
    <n v="0"/>
  </r>
  <r>
    <x v="13"/>
    <s v="Texas A&amp;M University-Corpus Christi "/>
    <m/>
    <n v="224147"/>
    <x v="2"/>
    <s v="sem"/>
    <s v="sem"/>
    <m/>
    <m/>
    <n v="91746"/>
    <n v="94638"/>
    <n v="26511"/>
    <n v="26068"/>
    <n v="101133"/>
    <n v="106847"/>
    <n v="219390"/>
    <n v="7313"/>
    <n v="227553"/>
    <n v="7585.1"/>
    <n v="1388"/>
    <n v="951"/>
    <n v="219390"/>
    <n v="227553"/>
    <m/>
    <m/>
    <m/>
    <m/>
    <m/>
    <m/>
    <m/>
    <m/>
    <n v="0"/>
    <n v="0"/>
    <n v="0"/>
    <n v="0"/>
    <m/>
    <m/>
    <n v="0"/>
    <n v="0"/>
  </r>
  <r>
    <x v="13"/>
    <s v="Texas A&amp;M University-Kingsville"/>
    <m/>
    <n v="228705"/>
    <x v="2"/>
    <s v="sem"/>
    <s v="sem"/>
    <m/>
    <m/>
    <n v="59321"/>
    <n v="63861"/>
    <n v="12071"/>
    <n v="11924"/>
    <n v="68663"/>
    <n v="74102"/>
    <n v="140055"/>
    <n v="4668.5"/>
    <n v="149887"/>
    <n v="4996.2333333333336"/>
    <n v="2469"/>
    <n v="3179"/>
    <n v="140055"/>
    <n v="149887"/>
    <m/>
    <m/>
    <m/>
    <m/>
    <m/>
    <m/>
    <m/>
    <m/>
    <n v="0"/>
    <n v="0"/>
    <n v="0"/>
    <n v="0"/>
    <m/>
    <m/>
    <n v="0"/>
    <n v="0"/>
  </r>
  <r>
    <x v="13"/>
    <s v="Texas Southern University "/>
    <m/>
    <n v="229063"/>
    <x v="2"/>
    <s v="sem"/>
    <s v="sem"/>
    <m/>
    <m/>
    <n v="79547"/>
    <n v="79510"/>
    <n v="15051"/>
    <n v="10554"/>
    <n v="86507"/>
    <n v="90474"/>
    <n v="181105"/>
    <n v="6036.833333333333"/>
    <n v="180538"/>
    <n v="6017.9333333333334"/>
    <n v="0"/>
    <n v="0"/>
    <n v="181105"/>
    <n v="180538"/>
    <m/>
    <m/>
    <m/>
    <m/>
    <m/>
    <m/>
    <m/>
    <m/>
    <n v="0"/>
    <n v="0"/>
    <n v="0"/>
    <n v="0"/>
    <m/>
    <m/>
    <n v="0"/>
    <n v="0"/>
  </r>
  <r>
    <x v="13"/>
    <s v="Texas State University-San Marcos"/>
    <m/>
    <n v="228459"/>
    <x v="2"/>
    <s v="sem"/>
    <s v="sem"/>
    <m/>
    <m/>
    <n v="321170"/>
    <n v="337603"/>
    <n v="66826"/>
    <n v="61868"/>
    <n v="360420"/>
    <n v="370796"/>
    <n v="748416"/>
    <n v="24947.200000000001"/>
    <n v="770267"/>
    <n v="25675.566666666666"/>
    <n v="0"/>
    <n v="0"/>
    <n v="748416"/>
    <n v="770267"/>
    <m/>
    <m/>
    <m/>
    <m/>
    <m/>
    <m/>
    <m/>
    <m/>
    <n v="0"/>
    <n v="0"/>
    <n v="0"/>
    <n v="0"/>
    <m/>
    <m/>
    <n v="0"/>
    <n v="0"/>
  </r>
  <r>
    <x v="13"/>
    <s v="University of Houston-Clear Lake "/>
    <m/>
    <n v="225414"/>
    <x v="2"/>
    <s v="sem"/>
    <s v="sem"/>
    <m/>
    <m/>
    <n v="45981"/>
    <n v="45631"/>
    <n v="14140"/>
    <n v="13246"/>
    <n v="46189"/>
    <n v="45352"/>
    <n v="106310"/>
    <n v="3543.6666666666665"/>
    <n v="104229"/>
    <n v="3474.3"/>
    <n v="0"/>
    <n v="0"/>
    <n v="106310"/>
    <n v="104229"/>
    <m/>
    <m/>
    <m/>
    <m/>
    <m/>
    <m/>
    <m/>
    <m/>
    <n v="0"/>
    <n v="0"/>
    <n v="0"/>
    <n v="0"/>
    <m/>
    <m/>
    <n v="0"/>
    <n v="0"/>
  </r>
  <r>
    <x v="13"/>
    <s v="University of Texas at Brownsville"/>
    <m/>
    <n v="227377"/>
    <x v="2"/>
    <s v="sem"/>
    <s v="sem"/>
    <m/>
    <m/>
    <n v="38999"/>
    <n v="34052"/>
    <n v="12697"/>
    <n v="16988"/>
    <n v="51008"/>
    <n v="74854"/>
    <n v="102704"/>
    <n v="3423.4666666666667"/>
    <n v="125894"/>
    <n v="4196.4666666666662"/>
    <n v="7547"/>
    <n v="2638"/>
    <n v="102704"/>
    <n v="125894"/>
    <m/>
    <m/>
    <m/>
    <m/>
    <m/>
    <m/>
    <m/>
    <m/>
    <n v="0"/>
    <n v="0"/>
    <n v="0"/>
    <n v="0"/>
    <m/>
    <m/>
    <n v="0"/>
    <n v="0"/>
  </r>
  <r>
    <x v="13"/>
    <s v="University of Texas at Tyler"/>
    <m/>
    <n v="228802"/>
    <x v="2"/>
    <s v="sem"/>
    <s v="sem"/>
    <m/>
    <m/>
    <n v="56557"/>
    <n v="57825"/>
    <n v="8668"/>
    <n v="10180"/>
    <n v="61301"/>
    <n v="63891"/>
    <n v="126526"/>
    <n v="4217.5333333333338"/>
    <n v="131896"/>
    <n v="4396.5333333333338"/>
    <n v="0"/>
    <n v="0"/>
    <n v="126526"/>
    <n v="131896"/>
    <m/>
    <m/>
    <m/>
    <m/>
    <m/>
    <m/>
    <m/>
    <m/>
    <n v="0"/>
    <n v="0"/>
    <n v="0"/>
    <n v="0"/>
    <m/>
    <m/>
    <n v="0"/>
    <n v="0"/>
  </r>
  <r>
    <x v="13"/>
    <s v="University of Texas of the Permian Basin"/>
    <m/>
    <n v="229018"/>
    <x v="2"/>
    <s v="sem"/>
    <s v="sem"/>
    <m/>
    <m/>
    <n v="33947"/>
    <n v="32385"/>
    <n v="7048"/>
    <n v="6714"/>
    <n v="35149"/>
    <n v="36364"/>
    <n v="76144"/>
    <n v="2538.1333333333332"/>
    <n v="75463"/>
    <n v="2515.4333333333334"/>
    <n v="3182"/>
    <n v="3777"/>
    <n v="76144"/>
    <n v="75463"/>
    <m/>
    <m/>
    <m/>
    <m/>
    <m/>
    <m/>
    <m/>
    <m/>
    <n v="0"/>
    <n v="0"/>
    <n v="0"/>
    <n v="0"/>
    <m/>
    <m/>
    <n v="0"/>
    <n v="0"/>
  </r>
  <r>
    <x v="13"/>
    <s v="University of Texas-Pan American"/>
    <m/>
    <n v="227368"/>
    <x v="2"/>
    <s v="sem"/>
    <s v="sem"/>
    <m/>
    <m/>
    <n v="172535"/>
    <n v="176048"/>
    <n v="71749"/>
    <n v="60103"/>
    <n v="190475"/>
    <n v="195825"/>
    <n v="434759"/>
    <n v="14491.966666666667"/>
    <n v="431976"/>
    <n v="14399.2"/>
    <n v="4352"/>
    <n v="5042"/>
    <n v="434759"/>
    <n v="431976"/>
    <m/>
    <m/>
    <m/>
    <m/>
    <m/>
    <m/>
    <m/>
    <m/>
    <n v="0"/>
    <n v="0"/>
    <n v="0"/>
    <n v="0"/>
    <m/>
    <m/>
    <n v="0"/>
    <n v="0"/>
  </r>
  <r>
    <x v="13"/>
    <s v="West Texas A&amp;M University"/>
    <m/>
    <n v="229814"/>
    <x v="2"/>
    <s v="sem"/>
    <s v="sem"/>
    <m/>
    <m/>
    <n v="75667"/>
    <n v="76311"/>
    <n v="14088"/>
    <n v="13194"/>
    <n v="82848"/>
    <n v="83753"/>
    <n v="172603"/>
    <n v="5753.4333333333334"/>
    <n v="173258"/>
    <n v="5775.2666666666664"/>
    <n v="0"/>
    <n v="0"/>
    <n v="172603"/>
    <n v="173258"/>
    <m/>
    <m/>
    <m/>
    <m/>
    <m/>
    <m/>
    <m/>
    <m/>
    <n v="0"/>
    <n v="0"/>
    <n v="0"/>
    <n v="0"/>
    <m/>
    <m/>
    <n v="0"/>
    <n v="0"/>
  </r>
  <r>
    <x v="13"/>
    <s v="Texas A &amp; M University - Central Texas"/>
    <s v="Reclassified: met the criteria for Four-Year 4 in 2010-11, 2011-12, and 2012-13."/>
    <s v="???"/>
    <x v="3"/>
    <s v="sem"/>
    <s v="sem"/>
    <m/>
    <m/>
    <n v="12402"/>
    <n v="13599"/>
    <n v="8451"/>
    <n v="8595"/>
    <n v="10262"/>
    <n v="11549"/>
    <n v="31115"/>
    <n v="1037.1666666666667"/>
    <n v="33743"/>
    <n v="1124.7666666666667"/>
    <n v="0"/>
    <n v="0"/>
    <n v="31115"/>
    <n v="33743"/>
    <m/>
    <m/>
    <m/>
    <m/>
    <m/>
    <m/>
    <m/>
    <m/>
    <n v="0"/>
    <n v="0"/>
    <n v="0"/>
    <n v="0"/>
    <m/>
    <m/>
    <n v="0"/>
    <n v="0"/>
  </r>
  <r>
    <x v="13"/>
    <s v="Texas A&amp;M -Texarkana"/>
    <m/>
    <n v="224545"/>
    <x v="3"/>
    <s v="sem"/>
    <s v="sem"/>
    <m/>
    <m/>
    <n v="13019"/>
    <n v="15171"/>
    <n v="3367"/>
    <n v="3470"/>
    <n v="16519"/>
    <n v="16149"/>
    <n v="32905"/>
    <n v="1096.8333333333333"/>
    <n v="34790"/>
    <n v="1159.6666666666667"/>
    <n v="16"/>
    <n v="0"/>
    <n v="32905"/>
    <n v="34790"/>
    <m/>
    <m/>
    <m/>
    <m/>
    <m/>
    <m/>
    <m/>
    <m/>
    <n v="0"/>
    <n v="0"/>
    <n v="0"/>
    <n v="0"/>
    <m/>
    <m/>
    <n v="0"/>
    <n v="0"/>
  </r>
  <r>
    <x v="13"/>
    <s v="University of Houston-Victoria"/>
    <m/>
    <n v="225502"/>
    <x v="3"/>
    <s v="sem"/>
    <s v="sem"/>
    <m/>
    <m/>
    <n v="23743"/>
    <n v="24503"/>
    <n v="9065"/>
    <n v="9014"/>
    <n v="25288"/>
    <n v="26009"/>
    <n v="58096"/>
    <n v="1936.5333333333333"/>
    <n v="59526"/>
    <n v="1984.2"/>
    <n v="0"/>
    <n v="0"/>
    <n v="58096"/>
    <n v="59526"/>
    <m/>
    <m/>
    <m/>
    <m/>
    <m/>
    <m/>
    <m/>
    <m/>
    <n v="0"/>
    <n v="0"/>
    <n v="0"/>
    <n v="0"/>
    <m/>
    <m/>
    <n v="0"/>
    <n v="0"/>
  </r>
  <r>
    <x v="13"/>
    <s v="Sul Ross State University-Rio Grande College"/>
    <m/>
    <s v="228501B"/>
    <x v="4"/>
    <s v="sem"/>
    <s v="sem"/>
    <m/>
    <m/>
    <n v="6668"/>
    <n v="6237"/>
    <n v="3639"/>
    <n v="3018"/>
    <n v="6552"/>
    <n v="6061"/>
    <n v="16859"/>
    <n v="561.9666666666667"/>
    <n v="15316"/>
    <n v="510.53333333333336"/>
    <n v="0"/>
    <n v="0"/>
    <n v="16859"/>
    <n v="15316"/>
    <m/>
    <m/>
    <m/>
    <m/>
    <m/>
    <m/>
    <m/>
    <m/>
    <n v="0"/>
    <n v="0"/>
    <n v="0"/>
    <n v="0"/>
    <m/>
    <m/>
    <n v="0"/>
    <n v="0"/>
  </r>
  <r>
    <x v="13"/>
    <s v="Texas A &amp; M University - San Antonio"/>
    <s v="Reclassified: met the criteria for Four-Year 5 in 2010-11, 2011-12, and 2012-13."/>
    <n v="870501"/>
    <x v="4"/>
    <s v="sem"/>
    <s v="sem"/>
    <m/>
    <m/>
    <n v="21987"/>
    <n v="25392"/>
    <n v="6950"/>
    <n v="6638"/>
    <n v="25096"/>
    <n v="28926"/>
    <n v="54033"/>
    <n v="1801.1"/>
    <n v="60956"/>
    <n v="2031.8666666666666"/>
    <n v="0"/>
    <n v="0"/>
    <n v="54033"/>
    <n v="60956"/>
    <m/>
    <m/>
    <m/>
    <m/>
    <m/>
    <m/>
    <m/>
    <m/>
    <n v="0"/>
    <n v="0"/>
    <n v="0"/>
    <n v="0"/>
    <m/>
    <m/>
    <n v="0"/>
    <n v="0"/>
  </r>
  <r>
    <x v="13"/>
    <s v="University of Houston-Downtown"/>
    <m/>
    <n v="225432"/>
    <x v="4"/>
    <s v="sem"/>
    <s v="sem"/>
    <m/>
    <m/>
    <n v="116033"/>
    <n v="116385"/>
    <n v="31347"/>
    <n v="31298"/>
    <n v="120657"/>
    <n v="129224"/>
    <n v="268037"/>
    <n v="8934.5666666666675"/>
    <n v="276907"/>
    <n v="9230.2333333333336"/>
    <n v="373"/>
    <n v="677"/>
    <n v="268037"/>
    <n v="276907"/>
    <m/>
    <m/>
    <m/>
    <m/>
    <m/>
    <m/>
    <m/>
    <m/>
    <n v="0"/>
    <n v="0"/>
    <n v="0"/>
    <n v="0"/>
    <m/>
    <m/>
    <n v="0"/>
    <n v="0"/>
  </r>
  <r>
    <x v="13"/>
    <s v="Texas A&amp;M University at Galveston"/>
    <m/>
    <n v="228714"/>
    <x v="5"/>
    <s v="sem"/>
    <s v="sem"/>
    <m/>
    <m/>
    <n v="23424"/>
    <n v="24269"/>
    <n v="4200"/>
    <n v="3879"/>
    <n v="26542"/>
    <n v="25867"/>
    <n v="54166"/>
    <n v="1805.5333333333333"/>
    <n v="54015"/>
    <n v="1800.5"/>
    <n v="0"/>
    <n v="0"/>
    <n v="54166"/>
    <n v="54015"/>
    <m/>
    <m/>
    <m/>
    <m/>
    <m/>
    <m/>
    <m/>
    <m/>
    <n v="0"/>
    <n v="0"/>
    <n v="0"/>
    <n v="0"/>
    <m/>
    <m/>
    <n v="0"/>
    <n v="0"/>
  </r>
  <r>
    <x v="13"/>
    <s v="Brazosport College "/>
    <m/>
    <n v="223506"/>
    <x v="11"/>
    <s v="sem"/>
    <s v="sem"/>
    <n v="33617"/>
    <n v="31950"/>
    <n v="10798"/>
    <n v="10328"/>
    <n v="3216"/>
    <n v="2800"/>
    <n v="34167"/>
    <n v="31524"/>
    <n v="81798"/>
    <n v="2726.6"/>
    <n v="76602"/>
    <n v="2553.4"/>
    <n v="12243"/>
    <n v="12016"/>
    <n v="81798"/>
    <n v="76602"/>
    <n v="18371"/>
    <n v="17301"/>
    <n v="7152"/>
    <n v="14199"/>
    <n v="12866"/>
    <n v="4751"/>
    <n v="10502"/>
    <n v="12291"/>
    <n v="48891"/>
    <n v="54.323333333333331"/>
    <n v="48542"/>
    <n v="53.935555555555553"/>
    <m/>
    <m/>
    <n v="0"/>
    <n v="0"/>
  </r>
  <r>
    <x v="13"/>
    <s v="Midland College "/>
    <m/>
    <n v="226806"/>
    <x v="11"/>
    <s v="sem"/>
    <s v="sem"/>
    <n v="51588"/>
    <n v="47276"/>
    <n v="13589"/>
    <n v="13690"/>
    <n v="10307"/>
    <n v="10455"/>
    <n v="48132"/>
    <n v="44378"/>
    <n v="123616"/>
    <n v="4120.5333333333338"/>
    <n v="115799"/>
    <n v="3859.9666666666667"/>
    <n v="7934"/>
    <n v="7820"/>
    <n v="123616"/>
    <n v="115799"/>
    <n v="42506"/>
    <n v="49865"/>
    <n v="60064"/>
    <n v="48781"/>
    <n v="48889"/>
    <n v="54645"/>
    <n v="57666"/>
    <n v="81586"/>
    <n v="209125"/>
    <n v="232.36111111111111"/>
    <n v="234877"/>
    <n v="260.97444444444443"/>
    <m/>
    <m/>
    <n v="0"/>
    <n v="0"/>
  </r>
  <r>
    <x v="13"/>
    <s v="South Texas College"/>
    <m/>
    <n v="409315"/>
    <x v="11"/>
    <s v="sem"/>
    <s v="sem"/>
    <n v="229196"/>
    <n v="235789"/>
    <n v="46364"/>
    <n v="39471"/>
    <n v="38815"/>
    <n v="28487"/>
    <n v="248052"/>
    <n v="247460"/>
    <n v="562427"/>
    <n v="18747.566666666666"/>
    <n v="551207"/>
    <n v="18373.566666666666"/>
    <n v="107334"/>
    <n v="124002"/>
    <n v="562427"/>
    <n v="551207"/>
    <n v="27394"/>
    <n v="48147"/>
    <n v="40064"/>
    <n v="60509"/>
    <n v="54817"/>
    <n v="67819"/>
    <n v="43514"/>
    <n v="170775"/>
    <n v="165789"/>
    <n v="184.21"/>
    <n v="347250"/>
    <n v="385.83333333333331"/>
    <m/>
    <m/>
    <n v="0"/>
    <n v="0"/>
  </r>
  <r>
    <x v="13"/>
    <s v="Amarillo College "/>
    <m/>
    <n v="222576"/>
    <x v="6"/>
    <s v="sem"/>
    <s v="sem"/>
    <n v="93647"/>
    <n v="87451"/>
    <n v="25696"/>
    <n v="24513"/>
    <n v="0"/>
    <n v="0"/>
    <n v="92437"/>
    <n v="86691"/>
    <n v="211780"/>
    <n v="7059.333333333333"/>
    <n v="198655"/>
    <n v="6621.833333333333"/>
    <n v="20284"/>
    <n v="21310"/>
    <n v="211780"/>
    <n v="198655"/>
    <n v="122097"/>
    <n v="123852"/>
    <n v="125316"/>
    <n v="150274"/>
    <n v="123689"/>
    <n v="110459"/>
    <n v="134519"/>
    <n v="158658"/>
    <n v="505621"/>
    <n v="561.80111111111114"/>
    <n v="543243"/>
    <n v="603.60333333333335"/>
    <m/>
    <m/>
    <n v="0"/>
    <n v="0"/>
  </r>
  <r>
    <x v="13"/>
    <s v="Austin Community College "/>
    <m/>
    <n v="222992"/>
    <x v="6"/>
    <s v="sem"/>
    <s v="sem"/>
    <n v="344605"/>
    <n v="328386"/>
    <n v="185154"/>
    <n v="172797"/>
    <n v="0"/>
    <n v="0"/>
    <n v="306105"/>
    <n v="290811"/>
    <n v="835864"/>
    <n v="27862.133333333335"/>
    <n v="791994"/>
    <n v="26399.8"/>
    <n v="50586"/>
    <n v="53331"/>
    <n v="835864"/>
    <n v="791994"/>
    <n v="96828"/>
    <n v="124524"/>
    <n v="106623"/>
    <n v="67441"/>
    <n v="116457"/>
    <n v="161638"/>
    <n v="106873"/>
    <n v="115888"/>
    <n v="426781"/>
    <n v="474.20111111111112"/>
    <n v="469491"/>
    <n v="521.65666666666664"/>
    <m/>
    <m/>
    <n v="0"/>
    <n v="0"/>
  </r>
  <r>
    <x v="13"/>
    <s v="Blinn College "/>
    <m/>
    <n v="223427"/>
    <x v="6"/>
    <s v="sem"/>
    <s v="sem"/>
    <n v="164807"/>
    <n v="169126"/>
    <n v="30098"/>
    <n v="49542"/>
    <n v="17968"/>
    <n v="0"/>
    <n v="183245"/>
    <n v="180304"/>
    <n v="396118"/>
    <n v="13203.933333333332"/>
    <n v="398972"/>
    <n v="13299.066666666668"/>
    <n v="12947"/>
    <n v="15268"/>
    <n v="396118"/>
    <n v="398972"/>
    <n v="45281"/>
    <n v="34151"/>
    <n v="35766"/>
    <n v="40990"/>
    <n v="33585"/>
    <n v="33412"/>
    <n v="47267"/>
    <n v="35333"/>
    <n v="161899"/>
    <n v="179.88777777777779"/>
    <n v="143886"/>
    <n v="159.87333333333333"/>
    <m/>
    <m/>
    <n v="0"/>
    <n v="0"/>
  </r>
  <r>
    <x v="13"/>
    <s v="Brookhaven College  (DCCCD)"/>
    <m/>
    <n v="223524"/>
    <x v="6"/>
    <s v="sem"/>
    <s v="sem"/>
    <n v="89352"/>
    <n v="86029"/>
    <n v="33853"/>
    <n v="46359"/>
    <n v="17093"/>
    <n v="0"/>
    <n v="74937"/>
    <n v="70915"/>
    <n v="215235"/>
    <n v="7174.5"/>
    <n v="203303"/>
    <n v="6776.7666666666664"/>
    <n v="9195"/>
    <n v="8669"/>
    <n v="215235"/>
    <n v="203303"/>
    <n v="72299"/>
    <n v="65960"/>
    <n v="75368"/>
    <n v="64564"/>
    <n v="54799"/>
    <n v="57663"/>
    <n v="76757"/>
    <n v="70341"/>
    <n v="279223"/>
    <n v="310.2477777777778"/>
    <n v="258528"/>
    <n v="287.25333333333333"/>
    <m/>
    <m/>
    <n v="0"/>
    <n v="0"/>
  </r>
  <r>
    <x v="13"/>
    <s v="Central Texas College "/>
    <m/>
    <n v="223816"/>
    <x v="6"/>
    <s v="sem"/>
    <s v="sem"/>
    <n v="126523"/>
    <n v="123024"/>
    <n v="92122"/>
    <n v="92510"/>
    <n v="5181"/>
    <n v="3994"/>
    <n v="96668"/>
    <n v="96353"/>
    <n v="320494"/>
    <n v="10683.133333333333"/>
    <n v="315881"/>
    <n v="10529.366666666667"/>
    <n v="19759"/>
    <n v="16799"/>
    <n v="320494"/>
    <n v="315881"/>
    <n v="99494"/>
    <n v="90921"/>
    <n v="115731"/>
    <n v="123240"/>
    <n v="84710"/>
    <n v="116694"/>
    <n v="98587"/>
    <n v="105520"/>
    <n v="398522"/>
    <n v="442.80222222222221"/>
    <n v="436375"/>
    <n v="484.86111111111109"/>
    <m/>
    <m/>
    <n v="0"/>
    <n v="0"/>
  </r>
  <r>
    <x v="13"/>
    <s v="Collin County Community College District"/>
    <m/>
    <n v="247834"/>
    <x v="6"/>
    <s v="sem"/>
    <s v="sem"/>
    <n v="223300"/>
    <n v="220007"/>
    <n v="47013"/>
    <n v="45459"/>
    <n v="40934"/>
    <n v="42198"/>
    <n v="226025"/>
    <n v="228868"/>
    <n v="537272"/>
    <n v="17909.066666666666"/>
    <n v="536532"/>
    <n v="17884.400000000001"/>
    <n v="21365"/>
    <n v="22205"/>
    <n v="537272"/>
    <n v="536532"/>
    <n v="129730"/>
    <n v="149880"/>
    <n v="99184"/>
    <n v="124339"/>
    <n v="127316"/>
    <n v="131161"/>
    <n v="180375"/>
    <n v="226703"/>
    <n v="536605"/>
    <n v="596.22777777777776"/>
    <n v="632083"/>
    <n v="702.31444444444446"/>
    <m/>
    <m/>
    <n v="0"/>
    <n v="0"/>
  </r>
  <r>
    <x v="13"/>
    <s v="Del Mar College "/>
    <m/>
    <n v="224350"/>
    <x v="6"/>
    <s v="sem"/>
    <s v="sem"/>
    <n v="97094"/>
    <n v="92301"/>
    <n v="25321"/>
    <n v="22086"/>
    <n v="11668"/>
    <n v="10123"/>
    <n v="96822"/>
    <n v="89028"/>
    <n v="230905"/>
    <n v="7696.833333333333"/>
    <n v="213538"/>
    <n v="7117.9333333333334"/>
    <n v="15131"/>
    <n v="16321"/>
    <n v="230905"/>
    <n v="213538"/>
    <n v="84561"/>
    <n v="84288"/>
    <n v="44534"/>
    <n v="58476"/>
    <n v="61228"/>
    <n v="63174"/>
    <n v="91039"/>
    <n v="89576"/>
    <n v="281362"/>
    <n v="312.62444444444446"/>
    <n v="295514"/>
    <n v="328.34888888888889"/>
    <m/>
    <m/>
    <n v="0"/>
    <n v="0"/>
  </r>
  <r>
    <x v="13"/>
    <s v="Eastfield College  (DCCCD)"/>
    <m/>
    <n v="224572"/>
    <x v="6"/>
    <s v="sem"/>
    <s v="sem"/>
    <n v="99334"/>
    <n v="94072"/>
    <n v="36921"/>
    <n v="49420"/>
    <n v="16027"/>
    <n v="0"/>
    <n v="88527"/>
    <n v="87939"/>
    <n v="240809"/>
    <n v="8026.9666666666662"/>
    <n v="231431"/>
    <n v="7714.3666666666668"/>
    <n v="23314"/>
    <n v="17724"/>
    <n v="240809"/>
    <n v="231431"/>
    <n v="93754"/>
    <n v="89159"/>
    <n v="103607"/>
    <n v="58288"/>
    <n v="91037"/>
    <n v="53746"/>
    <n v="105570"/>
    <n v="82288"/>
    <n v="393968"/>
    <n v="437.74222222222221"/>
    <n v="283481"/>
    <n v="314.97888888888889"/>
    <m/>
    <m/>
    <n v="0"/>
    <n v="0"/>
  </r>
  <r>
    <x v="13"/>
    <s v="El Centro College  (DCCCD)"/>
    <m/>
    <n v="224615"/>
    <x v="6"/>
    <s v="sem"/>
    <s v="sem"/>
    <n v="78880"/>
    <n v="77644"/>
    <n v="22066"/>
    <n v="30159"/>
    <n v="11053"/>
    <n v="0"/>
    <n v="77983"/>
    <n v="70587"/>
    <n v="189982"/>
    <n v="6332.7333333333336"/>
    <n v="178390"/>
    <n v="5946.333333333333"/>
    <n v="13033"/>
    <n v="11192"/>
    <n v="189982"/>
    <n v="178390"/>
    <n v="199547"/>
    <n v="233456"/>
    <n v="203570"/>
    <n v="368027"/>
    <n v="144259"/>
    <n v="334014"/>
    <n v="242244"/>
    <n v="271796"/>
    <n v="789620"/>
    <n v="877.35555555555561"/>
    <n v="1207293"/>
    <n v="1341.4366666666667"/>
    <m/>
    <m/>
    <n v="0"/>
    <n v="0"/>
  </r>
  <r>
    <x v="13"/>
    <s v="El Paso County Community College District"/>
    <m/>
    <n v="224642"/>
    <x v="6"/>
    <s v="sem"/>
    <s v="sem"/>
    <n v="252345"/>
    <n v="253084"/>
    <n v="68077"/>
    <n v="58283"/>
    <n v="0"/>
    <n v="0"/>
    <n v="261904"/>
    <n v="263960"/>
    <n v="582326"/>
    <n v="19410.866666666665"/>
    <n v="575327"/>
    <n v="19177.566666666666"/>
    <n v="52573"/>
    <n v="70271"/>
    <n v="582326"/>
    <n v="575327"/>
    <n v="129563"/>
    <n v="121978"/>
    <n v="133119"/>
    <n v="126534"/>
    <n v="166435"/>
    <n v="110699"/>
    <n v="163887"/>
    <n v="157377"/>
    <n v="593004"/>
    <n v="658.89333333333332"/>
    <n v="516588"/>
    <n v="573.98666666666668"/>
    <m/>
    <m/>
    <n v="0"/>
    <n v="0"/>
  </r>
  <r>
    <x v="13"/>
    <s v="Houston Community College"/>
    <m/>
    <n v="225423"/>
    <x v="6"/>
    <s v="sem"/>
    <s v="sem"/>
    <n v="519200"/>
    <n v="494412"/>
    <n v="274376"/>
    <n v="269882"/>
    <n v="0"/>
    <n v="0"/>
    <n v="390312"/>
    <n v="368037"/>
    <n v="1183888"/>
    <n v="39462.933333333334"/>
    <n v="1132331"/>
    <n v="37744.366666666669"/>
    <n v="44317"/>
    <n v="73521"/>
    <n v="1183888"/>
    <n v="1132331"/>
    <n v="537454"/>
    <n v="428435"/>
    <n v="384249"/>
    <n v="473653"/>
    <n v="388800"/>
    <n v="323638"/>
    <n v="573214"/>
    <n v="589403"/>
    <n v="1883717"/>
    <n v="2093.0188888888888"/>
    <n v="1815129"/>
    <n v="2016.81"/>
    <m/>
    <m/>
    <n v="0"/>
    <n v="0"/>
  </r>
  <r>
    <x v="13"/>
    <s v="Kilgore College "/>
    <m/>
    <n v="226019"/>
    <x v="6"/>
    <s v="sem"/>
    <s v="sem"/>
    <n v="63398"/>
    <n v="59183"/>
    <n v="11755"/>
    <n v="9925"/>
    <n v="6823"/>
    <n v="4662"/>
    <n v="61104"/>
    <n v="59315"/>
    <n v="143080"/>
    <n v="4769.333333333333"/>
    <n v="133085"/>
    <n v="4436.166666666667"/>
    <n v="10814"/>
    <n v="12147"/>
    <n v="143080"/>
    <n v="133085"/>
    <n v="185513"/>
    <n v="140614"/>
    <n v="161528"/>
    <n v="142264"/>
    <n v="157431"/>
    <n v="140561"/>
    <n v="136908"/>
    <n v="123321"/>
    <n v="641380"/>
    <n v="712.64444444444439"/>
    <n v="546760"/>
    <n v="607.51111111111106"/>
    <m/>
    <m/>
    <n v="0"/>
    <n v="0"/>
  </r>
  <r>
    <x v="13"/>
    <s v="Laredo Community College "/>
    <m/>
    <n v="226134"/>
    <x v="6"/>
    <s v="sem"/>
    <s v="sem"/>
    <n v="80549"/>
    <n v="78062"/>
    <n v="15303"/>
    <n v="14802"/>
    <n v="7807"/>
    <n v="5888"/>
    <n v="85876"/>
    <n v="80078"/>
    <n v="189535"/>
    <n v="6317.833333333333"/>
    <n v="178830"/>
    <n v="5961"/>
    <n v="4560"/>
    <n v="6203"/>
    <n v="189535"/>
    <n v="178830"/>
    <n v="23823"/>
    <n v="6814"/>
    <n v="18475"/>
    <n v="20380"/>
    <n v="21435"/>
    <n v="25910"/>
    <n v="9747"/>
    <n v="14670"/>
    <n v="73480"/>
    <n v="81.644444444444446"/>
    <n v="67774"/>
    <n v="75.304444444444442"/>
    <m/>
    <m/>
    <n v="0"/>
    <n v="0"/>
  </r>
  <r>
    <x v="13"/>
    <s v="Lone Star College System District"/>
    <m/>
    <n v="227182"/>
    <x v="6"/>
    <s v="sem"/>
    <s v="sem"/>
    <n v="480156"/>
    <n v="511892"/>
    <n v="222911"/>
    <n v="236690"/>
    <n v="0"/>
    <n v="0"/>
    <n v="450754"/>
    <n v="480347"/>
    <n v="1153821"/>
    <n v="38460.699999999997"/>
    <n v="1228929"/>
    <n v="40964.300000000003"/>
    <n v="59785"/>
    <n v="48881"/>
    <n v="1153821"/>
    <n v="1228929"/>
    <n v="118699"/>
    <n v="121269"/>
    <n v="135513"/>
    <n v="118951"/>
    <n v="109266"/>
    <n v="119810"/>
    <n v="163531"/>
    <n v="166108"/>
    <n v="527009"/>
    <n v="585.56555555555553"/>
    <n v="526138"/>
    <n v="584.59777777777776"/>
    <m/>
    <m/>
    <n v="0"/>
    <n v="0"/>
  </r>
  <r>
    <x v="13"/>
    <s v="McLennan Community College "/>
    <m/>
    <n v="226578"/>
    <x v="6"/>
    <s v="sem"/>
    <s v="sem"/>
    <n v="96362"/>
    <n v="90152"/>
    <n v="21067"/>
    <n v="19460"/>
    <n v="12768"/>
    <n v="10768"/>
    <n v="95215"/>
    <n v="86885"/>
    <n v="225412"/>
    <n v="7513.7333333333336"/>
    <n v="207265"/>
    <n v="6908.833333333333"/>
    <n v="10107"/>
    <n v="9733"/>
    <n v="225412"/>
    <n v="207265"/>
    <n v="41450"/>
    <n v="49034"/>
    <n v="49581"/>
    <n v="51392"/>
    <n v="55229"/>
    <n v="72977"/>
    <n v="40685"/>
    <n v="44422"/>
    <n v="186945"/>
    <n v="207.71666666666667"/>
    <n v="217825"/>
    <n v="242.02777777777777"/>
    <m/>
    <m/>
    <n v="0"/>
    <n v="0"/>
  </r>
  <r>
    <x v="13"/>
    <s v="Navarro College "/>
    <m/>
    <n v="227146"/>
    <x v="6"/>
    <s v="sem"/>
    <s v="sem"/>
    <n v="105730"/>
    <n v="101572"/>
    <n v="27451"/>
    <n v="23289"/>
    <n v="10608"/>
    <n v="9080"/>
    <n v="102798"/>
    <n v="99348"/>
    <n v="246587"/>
    <n v="8219.5666666666675"/>
    <n v="233289"/>
    <n v="7776.3"/>
    <n v="24212"/>
    <n v="26597"/>
    <n v="246587"/>
    <n v="233289"/>
    <n v="45820"/>
    <n v="46726"/>
    <n v="43110"/>
    <n v="72024"/>
    <n v="34504"/>
    <n v="64505"/>
    <n v="48073"/>
    <n v="79863"/>
    <n v="171507"/>
    <n v="190.56333333333333"/>
    <n v="263118"/>
    <n v="292.35333333333335"/>
    <m/>
    <m/>
    <n v="0"/>
    <n v="0"/>
  </r>
  <r>
    <x v="13"/>
    <s v="North Central Texas Community College"/>
    <m/>
    <n v="224110"/>
    <x v="6"/>
    <s v="sem"/>
    <s v="sem"/>
    <n v="78336"/>
    <n v="80726"/>
    <n v="23428"/>
    <n v="24769"/>
    <n v="0"/>
    <n v="0"/>
    <n v="84028"/>
    <n v="87239"/>
    <n v="185792"/>
    <n v="6193.0666666666666"/>
    <n v="192734"/>
    <n v="6424.4666666666662"/>
    <n v="12110"/>
    <n v="12525"/>
    <n v="185792"/>
    <n v="192734"/>
    <n v="26115"/>
    <n v="17217"/>
    <n v="12782"/>
    <n v="21205"/>
    <n v="25929"/>
    <n v="20657"/>
    <n v="27186"/>
    <n v="40881"/>
    <n v="92012"/>
    <n v="102.23555555555555"/>
    <n v="99960"/>
    <n v="111.06666666666666"/>
    <m/>
    <m/>
    <n v="0"/>
    <n v="0"/>
  </r>
  <r>
    <x v="13"/>
    <s v="North Lake College  (DCCCD)"/>
    <m/>
    <n v="227191"/>
    <x v="6"/>
    <s v="sem"/>
    <s v="sem"/>
    <n v="84041"/>
    <n v="72889"/>
    <n v="25036"/>
    <n v="35796"/>
    <n v="13256"/>
    <n v="0"/>
    <n v="78328"/>
    <n v="71114"/>
    <n v="200661"/>
    <n v="6688.7"/>
    <n v="179799"/>
    <n v="5993.3"/>
    <n v="11886"/>
    <n v="9722"/>
    <n v="200661"/>
    <n v="179799"/>
    <n v="107704"/>
    <n v="133032"/>
    <n v="69304"/>
    <n v="65133"/>
    <n v="51430"/>
    <n v="55494"/>
    <n v="148816"/>
    <n v="151571"/>
    <n v="377254"/>
    <n v="419.17111111111109"/>
    <n v="405230"/>
    <n v="450.25555555555553"/>
    <m/>
    <m/>
    <n v="0"/>
    <n v="0"/>
  </r>
  <r>
    <x v="13"/>
    <s v="Northwest Vista College (ACCD)"/>
    <m/>
    <n v="420398"/>
    <x v="6"/>
    <s v="sem"/>
    <s v="sem"/>
    <n v="129536"/>
    <n v="122533"/>
    <n v="35283"/>
    <n v="42781"/>
    <n v="0"/>
    <n v="0"/>
    <n v="131155"/>
    <n v="121878"/>
    <n v="295974"/>
    <n v="9865.7999999999993"/>
    <n v="287192"/>
    <n v="9573.0666666666675"/>
    <n v="22176"/>
    <n v="24258"/>
    <n v="295974"/>
    <n v="287192"/>
    <n v="2896"/>
    <n v="13092"/>
    <n v="4188"/>
    <n v="19632"/>
    <n v="4568"/>
    <n v="18354"/>
    <n v="23839"/>
    <n v="17577"/>
    <n v="35491"/>
    <n v="39.434444444444445"/>
    <n v="68655"/>
    <n v="76.283333333333331"/>
    <m/>
    <m/>
    <n v="0"/>
    <n v="0"/>
  </r>
  <r>
    <x v="13"/>
    <s v="Palo Alto College  (ACCD)"/>
    <m/>
    <n v="246354"/>
    <x v="6"/>
    <s v="sem"/>
    <s v="sem"/>
    <n v="73272"/>
    <n v="61712"/>
    <n v="21590"/>
    <n v="29720"/>
    <n v="0"/>
    <n v="0"/>
    <n v="71422"/>
    <n v="56232"/>
    <n v="166284"/>
    <n v="5542.8"/>
    <n v="147664"/>
    <n v="4922.1333333333332"/>
    <n v="19330"/>
    <n v="17812"/>
    <n v="166284"/>
    <n v="147664"/>
    <n v="17725"/>
    <n v="29867"/>
    <n v="46645"/>
    <n v="43861"/>
    <n v="64301"/>
    <n v="38685"/>
    <n v="38603"/>
    <n v="39770"/>
    <n v="167274"/>
    <n v="185.86"/>
    <n v="152183"/>
    <n v="169.09222222222223"/>
    <m/>
    <m/>
    <n v="0"/>
    <n v="0"/>
  </r>
  <r>
    <x v="13"/>
    <s v="Richland College  (DCCCD)"/>
    <m/>
    <n v="227766"/>
    <x v="6"/>
    <s v="sem"/>
    <s v="sem"/>
    <n v="144325"/>
    <n v="138926"/>
    <n v="54328"/>
    <n v="74330"/>
    <n v="25301"/>
    <n v="0"/>
    <n v="128208"/>
    <n v="121579"/>
    <n v="352162"/>
    <n v="11738.733333333334"/>
    <n v="334835"/>
    <n v="11161.166666666666"/>
    <n v="31134"/>
    <n v="28511"/>
    <n v="352162"/>
    <n v="334835"/>
    <n v="156660"/>
    <n v="145147"/>
    <n v="166508"/>
    <n v="159561"/>
    <n v="162617"/>
    <n v="149706"/>
    <n v="214981"/>
    <n v="187345"/>
    <n v="700766"/>
    <n v="778.62888888888892"/>
    <n v="641759"/>
    <n v="713.06555555555553"/>
    <m/>
    <m/>
    <n v="0"/>
    <n v="0"/>
  </r>
  <r>
    <x v="13"/>
    <s v="San Antonio College (ACCD)"/>
    <m/>
    <n v="227924"/>
    <x v="6"/>
    <s v="sem"/>
    <s v="sem"/>
    <n v="224466"/>
    <n v="194741"/>
    <n v="58381"/>
    <n v="80080"/>
    <n v="0"/>
    <n v="0"/>
    <n v="215717"/>
    <n v="173733"/>
    <n v="498564"/>
    <n v="16618.8"/>
    <n v="448554"/>
    <n v="14951.8"/>
    <n v="21087"/>
    <n v="24660"/>
    <n v="498564"/>
    <n v="448554"/>
    <n v="82479"/>
    <n v="60485"/>
    <n v="70520"/>
    <n v="68378"/>
    <n v="92068"/>
    <n v="61839"/>
    <n v="88207"/>
    <n v="67474"/>
    <n v="333274"/>
    <n v="370.30444444444447"/>
    <n v="258176"/>
    <n v="286.86222222222221"/>
    <m/>
    <m/>
    <n v="0"/>
    <n v="0"/>
  </r>
  <r>
    <x v="13"/>
    <s v="San Jacinto College"/>
    <m/>
    <n v="227979"/>
    <x v="6"/>
    <s v="sem"/>
    <s v="sem"/>
    <n v="250133"/>
    <n v="243654"/>
    <n v="101702"/>
    <n v="97992"/>
    <n v="0"/>
    <n v="0"/>
    <n v="248562"/>
    <n v="239886"/>
    <n v="600397"/>
    <n v="20013.233333333334"/>
    <n v="581532"/>
    <n v="19384.400000000001"/>
    <n v="29013"/>
    <n v="27542"/>
    <n v="600397"/>
    <n v="581532"/>
    <n v="105120"/>
    <n v="114638"/>
    <n v="67954"/>
    <n v="87047"/>
    <n v="104067"/>
    <n v="107091"/>
    <n v="124522"/>
    <n v="125221"/>
    <n v="401663"/>
    <n v="446.29222222222222"/>
    <n v="433997"/>
    <n v="482.2188888888889"/>
    <m/>
    <m/>
    <n v="0"/>
    <n v="0"/>
  </r>
  <r>
    <x v="13"/>
    <s v="South Plains College "/>
    <m/>
    <n v="228158"/>
    <x v="6"/>
    <s v="sem"/>
    <s v="sem"/>
    <n v="96525"/>
    <n v="92667"/>
    <n v="14831"/>
    <n v="13135"/>
    <n v="7200"/>
    <n v="6727"/>
    <n v="100587"/>
    <n v="93993"/>
    <n v="219143"/>
    <n v="7304.7666666666664"/>
    <n v="206522"/>
    <n v="6884.0666666666666"/>
    <n v="20907"/>
    <n v="20797"/>
    <n v="219143"/>
    <n v="206522"/>
    <n v="69321"/>
    <n v="46052"/>
    <n v="67577"/>
    <n v="41812"/>
    <n v="57993"/>
    <n v="36285"/>
    <n v="64771"/>
    <n v="47490"/>
    <n v="259662"/>
    <n v="288.51333333333332"/>
    <n v="171639"/>
    <n v="190.71"/>
    <m/>
    <m/>
    <n v="0"/>
    <n v="0"/>
  </r>
  <r>
    <x v="13"/>
    <s v="St. Philip's College  (ACCD)"/>
    <m/>
    <n v="227854"/>
    <x v="6"/>
    <s v="sem"/>
    <s v="sem"/>
    <n v="92273"/>
    <n v="79277"/>
    <n v="26904"/>
    <n v="32230"/>
    <n v="0"/>
    <n v="0"/>
    <n v="79404"/>
    <n v="67797"/>
    <n v="198581"/>
    <n v="6619.3666666666668"/>
    <n v="179304"/>
    <n v="5976.8"/>
    <n v="16473"/>
    <n v="17143"/>
    <n v="198581"/>
    <n v="179304"/>
    <n v="27166"/>
    <n v="27776"/>
    <n v="28144"/>
    <n v="23397"/>
    <n v="32469"/>
    <n v="24089"/>
    <n v="25235"/>
    <n v="27828"/>
    <n v="113014"/>
    <n v="125.57111111111111"/>
    <n v="103090"/>
    <n v="114.54444444444445"/>
    <m/>
    <m/>
    <n v="0"/>
    <n v="0"/>
  </r>
  <r>
    <x v="13"/>
    <s v="Tarrant County College"/>
    <m/>
    <n v="228547"/>
    <x v="6"/>
    <s v="sem"/>
    <s v="sem"/>
    <n v="413090"/>
    <n v="412815"/>
    <n v="182747"/>
    <n v="184871"/>
    <n v="0"/>
    <n v="0"/>
    <n v="376822"/>
    <n v="375569"/>
    <n v="972659"/>
    <n v="32421.966666666667"/>
    <n v="973255"/>
    <n v="32441.833333333332"/>
    <n v="38347"/>
    <n v="43245"/>
    <n v="972659"/>
    <n v="973255"/>
    <n v="183087"/>
    <n v="183936"/>
    <n v="201121"/>
    <n v="212788"/>
    <n v="216806"/>
    <n v="201120"/>
    <n v="269126"/>
    <n v="203654"/>
    <n v="870140"/>
    <n v="966.82222222222219"/>
    <n v="801498"/>
    <n v="890.55333333333328"/>
    <m/>
    <m/>
    <n v="0"/>
    <n v="0"/>
  </r>
  <r>
    <x v="13"/>
    <s v="Texas Southmost College "/>
    <s v="Met criteria for Two-Year 2 in 2012-13."/>
    <n v="229072"/>
    <x v="6"/>
    <s v="sem"/>
    <s v="sem"/>
    <n v="84962"/>
    <n v="83414"/>
    <n v="15022"/>
    <n v="3474"/>
    <n v="9845"/>
    <n v="2468"/>
    <n v="83537"/>
    <n v="47676"/>
    <n v="193366"/>
    <n v="6445.5333333333338"/>
    <n v="137032"/>
    <n v="4567.7333333333336"/>
    <n v="9151"/>
    <n v="11532"/>
    <n v="193366"/>
    <n v="137032"/>
    <n v="43101"/>
    <n v="23955"/>
    <n v="18091"/>
    <n v="19478"/>
    <n v="26558"/>
    <n v="24460"/>
    <n v="19882"/>
    <n v="34328"/>
    <n v="107632"/>
    <n v="119.5911111111111"/>
    <n v="102221"/>
    <n v="113.57888888888888"/>
    <m/>
    <m/>
    <n v="0"/>
    <n v="0"/>
  </r>
  <r>
    <x v="13"/>
    <s v="Texas State Technical College-Waco"/>
    <s v="Met criteria for Two-Year 2 in 2012-13."/>
    <n v="228680"/>
    <x v="6"/>
    <s v="sem"/>
    <s v="sem"/>
    <n v="57861"/>
    <n v="51230"/>
    <n v="39433"/>
    <n v="33936"/>
    <n v="0"/>
    <m/>
    <n v="55502"/>
    <n v="49739"/>
    <n v="152796"/>
    <n v="5093.2"/>
    <n v="134905"/>
    <n v="4496.833333333333"/>
    <n v="4369"/>
    <n v="4021"/>
    <n v="152796"/>
    <n v="134905"/>
    <n v="3404"/>
    <n v="868"/>
    <n v="3160"/>
    <n v="0"/>
    <n v="1120"/>
    <n v="0"/>
    <n v="1439"/>
    <n v="0"/>
    <n v="9123"/>
    <n v="10.136666666666667"/>
    <n v="868"/>
    <n v="0.96444444444444444"/>
    <m/>
    <m/>
    <n v="0"/>
    <n v="0"/>
  </r>
  <r>
    <x v="13"/>
    <s v="Trinity Valley Community College"/>
    <m/>
    <n v="225308"/>
    <x v="6"/>
    <s v="sem"/>
    <s v="sem"/>
    <n v="71262"/>
    <n v="64060"/>
    <n v="16884"/>
    <n v="13908"/>
    <n v="10374"/>
    <n v="11849"/>
    <n v="69310"/>
    <n v="66918"/>
    <n v="167830"/>
    <n v="5594.333333333333"/>
    <n v="156735"/>
    <n v="5224.5"/>
    <n v="14924"/>
    <n v="15539"/>
    <n v="167830"/>
    <n v="156735"/>
    <n v="41616"/>
    <n v="57548"/>
    <n v="46944"/>
    <n v="62064"/>
    <n v="35156"/>
    <n v="55031"/>
    <n v="89595"/>
    <n v="73990"/>
    <n v="213311"/>
    <n v="237.01222222222222"/>
    <n v="248633"/>
    <n v="276.25888888888886"/>
    <m/>
    <m/>
    <n v="0"/>
    <n v="0"/>
  </r>
  <r>
    <x v="13"/>
    <s v="Tyler Junior College "/>
    <m/>
    <n v="229355"/>
    <x v="6"/>
    <s v="sem"/>
    <s v="sem"/>
    <n v="115038"/>
    <n v="102619"/>
    <n v="19629"/>
    <n v="25907"/>
    <n v="8570"/>
    <n v="7572"/>
    <n v="116545"/>
    <n v="103382"/>
    <n v="259782"/>
    <n v="8659.4"/>
    <n v="239480"/>
    <n v="7982.666666666667"/>
    <n v="15229"/>
    <n v="8381"/>
    <n v="259782"/>
    <n v="239480"/>
    <n v="69876"/>
    <n v="57762"/>
    <n v="71986"/>
    <n v="66862"/>
    <n v="68230"/>
    <n v="69153"/>
    <n v="64346"/>
    <n v="78968"/>
    <n v="274438"/>
    <n v="304.93111111111114"/>
    <n v="272745"/>
    <n v="303.05"/>
    <m/>
    <m/>
    <n v="0"/>
    <n v="0"/>
  </r>
  <r>
    <x v="13"/>
    <s v="Alvin Community College "/>
    <m/>
    <n v="222567"/>
    <x v="7"/>
    <s v="sem"/>
    <s v="sem"/>
    <n v="44996"/>
    <n v="42179"/>
    <n v="18141"/>
    <n v="16911"/>
    <n v="0"/>
    <n v="0"/>
    <n v="43441"/>
    <n v="42695"/>
    <n v="106578"/>
    <n v="3552.6"/>
    <n v="101785"/>
    <n v="3392.8333333333335"/>
    <n v="12255"/>
    <n v="11508"/>
    <n v="106578"/>
    <n v="101785"/>
    <n v="24522"/>
    <n v="19831"/>
    <n v="21176"/>
    <n v="25324"/>
    <n v="23235"/>
    <n v="26131"/>
    <n v="27749"/>
    <n v="23439"/>
    <n v="96682"/>
    <n v="107.42444444444445"/>
    <n v="94725"/>
    <n v="105.25"/>
    <m/>
    <m/>
    <n v="0"/>
    <n v="0"/>
  </r>
  <r>
    <x v="13"/>
    <s v="Angelina College "/>
    <m/>
    <n v="222822"/>
    <x v="7"/>
    <s v="sem"/>
    <s v="sem"/>
    <n v="49314"/>
    <n v="45965"/>
    <n v="9073"/>
    <n v="8750"/>
    <n v="3779"/>
    <n v="4132"/>
    <n v="51730"/>
    <n v="47271"/>
    <n v="113896"/>
    <n v="3796.5333333333333"/>
    <n v="106118"/>
    <n v="3537.2666666666669"/>
    <n v="13855"/>
    <n v="12958"/>
    <n v="113896"/>
    <n v="106118"/>
    <n v="83343"/>
    <n v="70202"/>
    <n v="30693"/>
    <n v="34791"/>
    <n v="74856"/>
    <n v="75173"/>
    <n v="29087"/>
    <n v="31650"/>
    <n v="217979"/>
    <n v="242.19888888888889"/>
    <n v="211816"/>
    <n v="235.35111111111112"/>
    <m/>
    <m/>
    <n v="0"/>
    <n v="0"/>
  </r>
  <r>
    <x v="13"/>
    <s v="Cedar Valley College  (DCCCD)"/>
    <m/>
    <n v="223773"/>
    <x v="7"/>
    <s v="sem"/>
    <s v="sem"/>
    <n v="45892"/>
    <n v="40766"/>
    <n v="16092"/>
    <n v="21245"/>
    <n v="7338"/>
    <n v="0"/>
    <n v="42646"/>
    <n v="39274"/>
    <n v="111968"/>
    <n v="3732.2666666666669"/>
    <n v="101285"/>
    <n v="3376.1666666666665"/>
    <n v="13130"/>
    <n v="10858"/>
    <n v="111968"/>
    <n v="101285"/>
    <n v="48657"/>
    <n v="40669"/>
    <n v="67531"/>
    <n v="56103"/>
    <n v="37573"/>
    <n v="57375"/>
    <n v="52978"/>
    <n v="47897"/>
    <n v="206739"/>
    <n v="229.71"/>
    <n v="202044"/>
    <n v="224.49333333333334"/>
    <m/>
    <m/>
    <n v="0"/>
    <n v="0"/>
  </r>
  <r>
    <x v="13"/>
    <s v="Cisco Junior College"/>
    <m/>
    <n v="223898"/>
    <x v="7"/>
    <s v="sem"/>
    <s v="sem"/>
    <n v="42604"/>
    <n v="38904"/>
    <n v="7171"/>
    <n v="6020"/>
    <n v="2693"/>
    <n v="2242"/>
    <n v="42100"/>
    <n v="36793"/>
    <n v="94568"/>
    <n v="3152.2666666666669"/>
    <n v="83959"/>
    <n v="2798.6333333333332"/>
    <n v="7241"/>
    <n v="6498"/>
    <n v="94568"/>
    <n v="83959"/>
    <n v="1900"/>
    <n v="1730"/>
    <n v="1850"/>
    <n v="9240"/>
    <n v="608"/>
    <n v="3346"/>
    <n v="1828"/>
    <n v="8064"/>
    <n v="6186"/>
    <n v="6.8733333333333331"/>
    <n v="22380"/>
    <n v="24.866666666666667"/>
    <m/>
    <m/>
    <n v="0"/>
    <n v="0"/>
  </r>
  <r>
    <x v="13"/>
    <s v="Coastal Bend College"/>
    <m/>
    <n v="223320"/>
    <x v="7"/>
    <s v="sem"/>
    <s v="sem"/>
    <n v="34519"/>
    <n v="30336"/>
    <n v="9754"/>
    <n v="7661"/>
    <n v="3006"/>
    <n v="2389"/>
    <n v="32337"/>
    <n v="30488"/>
    <n v="79616"/>
    <n v="2653.8666666666668"/>
    <n v="70874"/>
    <n v="2362.4666666666667"/>
    <n v="14910"/>
    <n v="15334"/>
    <n v="79616"/>
    <n v="70874"/>
    <n v="39911"/>
    <n v="65541"/>
    <n v="67854"/>
    <n v="91375"/>
    <n v="82344"/>
    <n v="86943"/>
    <n v="65765"/>
    <n v="52579"/>
    <n v="255874"/>
    <n v="284.30444444444447"/>
    <n v="296438"/>
    <n v="329.37555555555554"/>
    <m/>
    <m/>
    <n v="0"/>
    <n v="0"/>
  </r>
  <r>
    <x v="13"/>
    <s v="College of the Mainland"/>
    <m/>
    <n v="226408"/>
    <x v="7"/>
    <s v="sem"/>
    <s v="sem"/>
    <n v="36112"/>
    <n v="34440"/>
    <n v="9727"/>
    <n v="9005"/>
    <n v="7532"/>
    <n v="6715"/>
    <n v="33935"/>
    <n v="32222"/>
    <n v="87306"/>
    <n v="2910.2"/>
    <n v="82382"/>
    <n v="2746.0666666666666"/>
    <n v="8066"/>
    <n v="9708"/>
    <n v="87306"/>
    <n v="82382"/>
    <n v="53328"/>
    <n v="46303"/>
    <n v="36974"/>
    <n v="29761"/>
    <n v="52758"/>
    <n v="42814"/>
    <n v="48765"/>
    <n v="38606"/>
    <n v="191825"/>
    <n v="213.13888888888889"/>
    <n v="157484"/>
    <n v="174.98222222222222"/>
    <m/>
    <m/>
    <n v="0"/>
    <n v="0"/>
  </r>
  <r>
    <x v="13"/>
    <s v="Grayson County College "/>
    <m/>
    <n v="225070"/>
    <x v="7"/>
    <s v="sem"/>
    <s v="sem"/>
    <n v="51354"/>
    <n v="47270"/>
    <n v="10067"/>
    <n v="9020"/>
    <n v="3889"/>
    <n v="3864"/>
    <n v="51032"/>
    <n v="45327"/>
    <n v="116342"/>
    <n v="3878.0666666666666"/>
    <n v="105481"/>
    <n v="3516.0333333333333"/>
    <n v="5826"/>
    <n v="6124"/>
    <n v="116342"/>
    <n v="105481"/>
    <n v="14465"/>
    <n v="30536"/>
    <n v="22040"/>
    <n v="19752"/>
    <n v="23955"/>
    <n v="27717"/>
    <n v="17833"/>
    <n v="13882"/>
    <n v="78293"/>
    <n v="86.992222222222225"/>
    <n v="91887"/>
    <n v="102.09666666666666"/>
    <m/>
    <m/>
    <n v="0"/>
    <n v="0"/>
  </r>
  <r>
    <x v="13"/>
    <s v="Hill College"/>
    <m/>
    <n v="225371"/>
    <x v="7"/>
    <s v="sem"/>
    <s v="sem"/>
    <n v="41045"/>
    <n v="40589"/>
    <n v="11526"/>
    <n v="11042"/>
    <n v="2760"/>
    <n v="2570"/>
    <n v="39309"/>
    <n v="39595"/>
    <n v="94640"/>
    <n v="3154.6666666666665"/>
    <n v="93796"/>
    <n v="3126.5333333333333"/>
    <n v="9522"/>
    <n v="9460"/>
    <n v="94640"/>
    <n v="93796"/>
    <n v="15980"/>
    <n v="22341"/>
    <n v="15366"/>
    <n v="16733"/>
    <n v="8992"/>
    <n v="15767"/>
    <n v="12814"/>
    <n v="19476"/>
    <n v="53152"/>
    <n v="59.05777777777778"/>
    <n v="74317"/>
    <n v="82.574444444444438"/>
    <m/>
    <m/>
    <n v="0"/>
    <n v="0"/>
  </r>
  <r>
    <x v="13"/>
    <s v="Howard College (HCJCD)"/>
    <m/>
    <n v="225520"/>
    <x v="7"/>
    <s v="sem"/>
    <s v="sem"/>
    <n v="39148"/>
    <n v="36024"/>
    <n v="7114"/>
    <n v="6073"/>
    <n v="3086"/>
    <n v="2414"/>
    <n v="37689"/>
    <n v="36339"/>
    <n v="87037"/>
    <n v="2901.2333333333331"/>
    <n v="80850"/>
    <n v="2695"/>
    <n v="13864"/>
    <n v="15363"/>
    <n v="87037"/>
    <n v="80850"/>
    <n v="220723"/>
    <n v="152001"/>
    <n v="215667"/>
    <n v="158222"/>
    <n v="199639"/>
    <n v="172275"/>
    <n v="135182"/>
    <n v="156967"/>
    <n v="771211"/>
    <n v="856.90111111111116"/>
    <n v="639465"/>
    <n v="710.51666666666665"/>
    <m/>
    <m/>
    <n v="0"/>
    <n v="0"/>
  </r>
  <r>
    <x v="13"/>
    <s v="Lamar Institute of Technology"/>
    <m/>
    <n v="441760"/>
    <x v="7"/>
    <s v="sem"/>
    <s v="sem"/>
    <n v="29152"/>
    <n v="26870"/>
    <n v="2561"/>
    <n v="2273"/>
    <n v="1683"/>
    <n v="1662"/>
    <n v="30984"/>
    <n v="28553"/>
    <n v="64380"/>
    <n v="2146"/>
    <n v="59358"/>
    <n v="1978.6"/>
    <n v="1310"/>
    <n v="1058"/>
    <n v="64380"/>
    <n v="59358"/>
    <n v="27288"/>
    <n v="23149"/>
    <n v="27133"/>
    <n v="26021"/>
    <n v="33816"/>
    <n v="29386"/>
    <n v="35254"/>
    <n v="42880"/>
    <n v="123491"/>
    <n v="137.21222222222221"/>
    <n v="121436"/>
    <n v="134.92888888888888"/>
    <m/>
    <m/>
    <n v="0"/>
    <n v="0"/>
  </r>
  <r>
    <x v="13"/>
    <s v="Lamar State College-Port Arthur"/>
    <s v="Reclassified: Met the criteria for Two-Year 2 in 2010-11, 2011-12, and 2012-13."/>
    <n v="226116"/>
    <x v="7"/>
    <s v="sem"/>
    <s v="sem"/>
    <n v="24710"/>
    <n v="24987"/>
    <n v="8495"/>
    <n v="8681"/>
    <n v="3143"/>
    <n v="4534"/>
    <n v="22917"/>
    <n v="23547"/>
    <n v="59265"/>
    <n v="1975.5"/>
    <n v="61749"/>
    <n v="2058.3000000000002"/>
    <n v="2050"/>
    <n v="2051"/>
    <n v="59265"/>
    <n v="61749"/>
    <n v="79181"/>
    <n v="85340"/>
    <n v="68240"/>
    <n v="57968"/>
    <n v="53712"/>
    <n v="85216"/>
    <n v="97248"/>
    <n v="81824"/>
    <n v="298381"/>
    <n v="331.53444444444443"/>
    <n v="310348"/>
    <n v="344.83111111111111"/>
    <m/>
    <m/>
    <n v="0"/>
    <n v="0"/>
  </r>
  <r>
    <x v="13"/>
    <s v="Lee College "/>
    <m/>
    <n v="226204"/>
    <x v="7"/>
    <s v="sem"/>
    <s v="sem"/>
    <n v="59665"/>
    <n v="54138"/>
    <n v="23896"/>
    <n v="20018"/>
    <n v="3482"/>
    <n v="2729"/>
    <n v="53085"/>
    <n v="50018"/>
    <n v="140128"/>
    <n v="4670.9333333333334"/>
    <n v="126903"/>
    <n v="4230.1000000000004"/>
    <n v="6801"/>
    <n v="9643"/>
    <n v="140128"/>
    <n v="126903"/>
    <n v="37158"/>
    <n v="20557"/>
    <n v="28407"/>
    <n v="21350"/>
    <n v="23643"/>
    <n v="17850"/>
    <n v="25718"/>
    <n v="26603"/>
    <n v="114926"/>
    <n v="127.69555555555556"/>
    <n v="86360"/>
    <n v="95.955555555555549"/>
    <m/>
    <m/>
    <n v="0"/>
    <n v="0"/>
  </r>
  <r>
    <x v="13"/>
    <s v="Mountain View College  (DCCCD)"/>
    <m/>
    <n v="226930"/>
    <x v="7"/>
    <s v="sem"/>
    <s v="sem"/>
    <n v="59502"/>
    <n v="58036"/>
    <n v="18861"/>
    <n v="26299"/>
    <n v="8092"/>
    <n v="0"/>
    <n v="60037"/>
    <n v="56870"/>
    <n v="146492"/>
    <n v="4883.0666666666666"/>
    <n v="141205"/>
    <n v="4706.833333333333"/>
    <n v="7832"/>
    <n v="9700"/>
    <n v="146492"/>
    <n v="141205"/>
    <n v="25427"/>
    <n v="21474"/>
    <n v="26246"/>
    <n v="34906"/>
    <n v="35671"/>
    <n v="26101"/>
    <n v="34257"/>
    <n v="32599"/>
    <n v="121601"/>
    <n v="135.11222222222221"/>
    <n v="115080"/>
    <n v="127.86666666666666"/>
    <m/>
    <m/>
    <n v="0"/>
    <n v="0"/>
  </r>
  <r>
    <x v="13"/>
    <s v="Northeast Texas Community College "/>
    <m/>
    <n v="227225"/>
    <x v="7"/>
    <s v="sem"/>
    <s v="sem"/>
    <n v="30175"/>
    <n v="31558"/>
    <n v="6783"/>
    <n v="5728"/>
    <n v="0"/>
    <n v="0"/>
    <n v="35644"/>
    <n v="33767"/>
    <n v="72602"/>
    <n v="2420.0666666666666"/>
    <n v="71053"/>
    <n v="2368.4333333333334"/>
    <n v="5886"/>
    <n v="5934"/>
    <n v="72602"/>
    <n v="71053"/>
    <n v="8942"/>
    <n v="7603"/>
    <n v="7869"/>
    <n v="11226"/>
    <n v="7228"/>
    <n v="6775"/>
    <n v="8308"/>
    <n v="3661"/>
    <n v="32347"/>
    <n v="35.941111111111113"/>
    <n v="29265"/>
    <n v="32.516666666666666"/>
    <m/>
    <m/>
    <n v="0"/>
    <n v="0"/>
  </r>
  <r>
    <x v="13"/>
    <s v="Odessa College "/>
    <m/>
    <n v="227304"/>
    <x v="7"/>
    <s v="sem"/>
    <s v="sem"/>
    <n v="43419"/>
    <n v="39644"/>
    <n v="7383"/>
    <n v="7411"/>
    <n v="4854"/>
    <n v="5157"/>
    <n v="43112"/>
    <n v="41428"/>
    <n v="98768"/>
    <n v="3292.2666666666669"/>
    <n v="93640"/>
    <n v="3121.3333333333335"/>
    <n v="10092"/>
    <n v="10932"/>
    <n v="98768"/>
    <n v="93640"/>
    <n v="66361"/>
    <n v="87062"/>
    <n v="87615"/>
    <n v="69155"/>
    <n v="80000"/>
    <n v="76886"/>
    <n v="88040"/>
    <n v="75192"/>
    <n v="322016"/>
    <n v="357.79555555555555"/>
    <n v="308295"/>
    <n v="342.55"/>
    <m/>
    <m/>
    <n v="0"/>
    <n v="0"/>
  </r>
  <r>
    <x v="13"/>
    <s v="Paris Junior College"/>
    <m/>
    <n v="227401"/>
    <x v="7"/>
    <s v="sem"/>
    <s v="sem"/>
    <n v="55180"/>
    <n v="54685"/>
    <n v="19534"/>
    <n v="9909"/>
    <n v="0"/>
    <n v="4176"/>
    <n v="57170"/>
    <n v="52700"/>
    <n v="131884"/>
    <n v="4396.1333333333332"/>
    <n v="121470"/>
    <n v="4049"/>
    <n v="12465"/>
    <n v="12380"/>
    <n v="131884"/>
    <n v="121470"/>
    <n v="12188"/>
    <n v="20160"/>
    <n v="14789"/>
    <n v="28023"/>
    <n v="18928"/>
    <n v="12471"/>
    <n v="37412"/>
    <n v="18601"/>
    <n v="83317"/>
    <n v="92.574444444444438"/>
    <n v="79255"/>
    <n v="88.061111111111117"/>
    <m/>
    <m/>
    <n v="0"/>
    <n v="0"/>
  </r>
  <r>
    <x v="13"/>
    <s v="Southwest Texas Junior College "/>
    <m/>
    <n v="228316"/>
    <x v="7"/>
    <s v="sem"/>
    <s v="sem"/>
    <n v="50408"/>
    <n v="44321"/>
    <n v="8129"/>
    <n v="6943"/>
    <n v="4232"/>
    <n v="3398"/>
    <n v="48836"/>
    <n v="49884"/>
    <n v="111605"/>
    <n v="3720.1666666666665"/>
    <n v="104546"/>
    <n v="3484.8666666666668"/>
    <n v="14657"/>
    <n v="15590"/>
    <n v="111605"/>
    <n v="104546"/>
    <n v="64752"/>
    <n v="23806"/>
    <n v="14625"/>
    <n v="46101"/>
    <n v="41572"/>
    <n v="33059"/>
    <n v="17092"/>
    <n v="31338"/>
    <n v="138041"/>
    <n v="153.37888888888889"/>
    <n v="134304"/>
    <n v="149.22666666666666"/>
    <m/>
    <m/>
    <n v="0"/>
    <n v="0"/>
  </r>
  <r>
    <x v="13"/>
    <s v="Temple College "/>
    <m/>
    <n v="228608"/>
    <x v="7"/>
    <s v="sem"/>
    <s v="sem"/>
    <n v="51775"/>
    <n v="49675"/>
    <n v="14930"/>
    <n v="13686"/>
    <n v="0"/>
    <n v="0"/>
    <n v="54852"/>
    <n v="50271"/>
    <n v="121557"/>
    <n v="4051.9"/>
    <n v="113632"/>
    <n v="3787.7333333333331"/>
    <n v="12763"/>
    <n v="11775"/>
    <n v="121557"/>
    <n v="113632"/>
    <n v="24479"/>
    <n v="19647"/>
    <n v="31314"/>
    <n v="33426"/>
    <n v="25699"/>
    <n v="38309"/>
    <n v="40675"/>
    <n v="32318"/>
    <n v="122167"/>
    <n v="135.74111111111111"/>
    <n v="123700"/>
    <n v="137.44444444444446"/>
    <m/>
    <m/>
    <n v="0"/>
    <n v="0"/>
  </r>
  <r>
    <x v="13"/>
    <s v="Texarkana College "/>
    <m/>
    <n v="228699"/>
    <x v="7"/>
    <s v="sem"/>
    <s v="sem"/>
    <n v="34706"/>
    <n v="34811"/>
    <n v="10735"/>
    <n v="8389"/>
    <n v="2038"/>
    <n v="0"/>
    <n v="40008"/>
    <n v="34348"/>
    <n v="87487"/>
    <n v="2916.2333333333331"/>
    <n v="77548"/>
    <n v="2584.9333333333334"/>
    <n v="11333"/>
    <n v="12273"/>
    <n v="87487"/>
    <n v="77548"/>
    <n v="98110"/>
    <n v="97504"/>
    <n v="98478"/>
    <n v="90332"/>
    <n v="72392"/>
    <n v="58958"/>
    <n v="105394"/>
    <n v="68737"/>
    <n v="374374"/>
    <n v="415.9711111111111"/>
    <n v="315531"/>
    <n v="350.59"/>
    <m/>
    <m/>
    <n v="0"/>
    <n v="0"/>
  </r>
  <r>
    <x v="13"/>
    <s v="Texas State Technical College-Harlingen "/>
    <m/>
    <n v="229319"/>
    <x v="7"/>
    <s v="sem"/>
    <s v="sem"/>
    <n v="46121"/>
    <n v="42120"/>
    <n v="32274"/>
    <n v="28125"/>
    <n v="0"/>
    <n v="0"/>
    <n v="51996"/>
    <n v="50505"/>
    <n v="130391"/>
    <n v="4346.3666666666668"/>
    <n v="120750"/>
    <n v="4025"/>
    <n v="12569"/>
    <n v="11440"/>
    <n v="130391"/>
    <n v="120750"/>
    <n v="18603"/>
    <n v="21534"/>
    <n v="23102"/>
    <n v="54185"/>
    <n v="15184"/>
    <n v="20228"/>
    <n v="33008"/>
    <n v="37965"/>
    <n v="89897"/>
    <n v="99.885555555555555"/>
    <n v="133912"/>
    <n v="148.79111111111112"/>
    <m/>
    <m/>
    <n v="0"/>
    <n v="0"/>
  </r>
  <r>
    <x v="13"/>
    <s v="Vernon College "/>
    <m/>
    <n v="229504"/>
    <x v="7"/>
    <s v="sem"/>
    <s v="sem"/>
    <n v="29097"/>
    <n v="28647"/>
    <n v="5183"/>
    <n v="4437"/>
    <n v="5631"/>
    <n v="5412"/>
    <n v="27668"/>
    <n v="26792"/>
    <n v="67579"/>
    <n v="2252.6333333333332"/>
    <n v="65288"/>
    <n v="2176.2666666666669"/>
    <n v="4750"/>
    <n v="4879"/>
    <n v="67579"/>
    <n v="65288"/>
    <n v="115567"/>
    <n v="49399"/>
    <n v="81514"/>
    <n v="37725"/>
    <n v="80695"/>
    <n v="30659"/>
    <n v="67010"/>
    <n v="63520"/>
    <n v="344786"/>
    <n v="383.09555555555556"/>
    <n v="181303"/>
    <n v="201.44777777777779"/>
    <m/>
    <m/>
    <n v="0"/>
    <n v="0"/>
  </r>
  <r>
    <x v="13"/>
    <s v="Victoria College "/>
    <m/>
    <n v="229540"/>
    <x v="7"/>
    <s v="sem"/>
    <s v="sem"/>
    <n v="36419"/>
    <n v="36447"/>
    <n v="11591"/>
    <n v="9994"/>
    <n v="0"/>
    <n v="0"/>
    <n v="37972"/>
    <n v="36068"/>
    <n v="85982"/>
    <n v="2866.0666666666666"/>
    <n v="82509"/>
    <n v="2750.3"/>
    <n v="4305"/>
    <n v="4948"/>
    <n v="85982"/>
    <n v="82509"/>
    <n v="63662"/>
    <n v="38286"/>
    <n v="43590"/>
    <n v="30715"/>
    <n v="54037"/>
    <n v="31139"/>
    <n v="30631"/>
    <n v="50562"/>
    <n v="191920"/>
    <n v="213.24444444444444"/>
    <n v="150702"/>
    <n v="167.44666666666666"/>
    <m/>
    <m/>
    <n v="0"/>
    <n v="0"/>
  </r>
  <r>
    <x v="13"/>
    <s v="Weatherford College "/>
    <m/>
    <n v="229799"/>
    <x v="7"/>
    <s v="sem"/>
    <s v="sem"/>
    <n v="49452"/>
    <n v="48298"/>
    <n v="8529"/>
    <n v="7287"/>
    <n v="4770"/>
    <n v="5019"/>
    <n v="52346"/>
    <n v="52039"/>
    <n v="115097"/>
    <n v="3836.5666666666666"/>
    <n v="112643"/>
    <n v="3754.7666666666669"/>
    <n v="7563"/>
    <n v="8355"/>
    <n v="115097"/>
    <n v="112643"/>
    <n v="38867"/>
    <n v="44781"/>
    <n v="41503"/>
    <n v="31773"/>
    <n v="22689"/>
    <n v="27407"/>
    <n v="67648"/>
    <n v="61744"/>
    <n v="170707"/>
    <n v="189.67444444444445"/>
    <n v="165705"/>
    <n v="184.11666666666667"/>
    <m/>
    <m/>
    <n v="0"/>
    <n v="0"/>
  </r>
  <r>
    <x v="13"/>
    <s v="Wharton County Junior College "/>
    <m/>
    <n v="229841"/>
    <x v="7"/>
    <s v="sem"/>
    <s v="sem"/>
    <n v="62408"/>
    <n v="62253"/>
    <n v="13918"/>
    <n v="12994"/>
    <n v="6525"/>
    <n v="6713"/>
    <n v="64170"/>
    <n v="66069"/>
    <n v="147021"/>
    <n v="4900.7"/>
    <n v="148029"/>
    <n v="4934.3"/>
    <n v="8090"/>
    <n v="8677"/>
    <n v="147021"/>
    <n v="148029"/>
    <n v="9360"/>
    <n v="9872"/>
    <n v="4824"/>
    <n v="7593"/>
    <n v="13930"/>
    <n v="11020"/>
    <n v="7454"/>
    <n v="11674"/>
    <n v="35568"/>
    <n v="39.520000000000003"/>
    <n v="40159"/>
    <n v="44.621111111111112"/>
    <m/>
    <m/>
    <n v="0"/>
    <n v="0"/>
  </r>
  <r>
    <x v="13"/>
    <s v="Clarendon College "/>
    <m/>
    <n v="223922"/>
    <x v="8"/>
    <s v="sem"/>
    <s v="sem"/>
    <n v="15450"/>
    <n v="14059"/>
    <n v="3282"/>
    <n v="2558"/>
    <n v="1606"/>
    <n v="1309"/>
    <n v="14358"/>
    <n v="12820"/>
    <n v="34696"/>
    <n v="1156.5333333333333"/>
    <n v="30746"/>
    <n v="1024.8666666666666"/>
    <n v="4409"/>
    <n v="4521"/>
    <n v="34696"/>
    <n v="30746"/>
    <n v="5602"/>
    <n v="5338"/>
    <n v="2425"/>
    <n v="2380"/>
    <n v="3360"/>
    <n v="1015"/>
    <n v="5576"/>
    <n v="4265"/>
    <n v="16963"/>
    <n v="18.847777777777779"/>
    <n v="12998"/>
    <n v="14.442222222222222"/>
    <m/>
    <m/>
    <n v="0"/>
    <n v="0"/>
  </r>
  <r>
    <x v="13"/>
    <s v="Frank Phillips College "/>
    <m/>
    <n v="224891"/>
    <x v="8"/>
    <s v="sem"/>
    <s v="sem"/>
    <n v="10368"/>
    <n v="9349"/>
    <n v="2021"/>
    <n v="1459"/>
    <n v="562"/>
    <n v="446"/>
    <n v="9561"/>
    <n v="10735"/>
    <n v="22512"/>
    <n v="750.4"/>
    <n v="21989"/>
    <n v="732.9666666666667"/>
    <n v="3126"/>
    <n v="4119"/>
    <n v="22512"/>
    <n v="21989"/>
    <n v="14818"/>
    <n v="20402"/>
    <n v="25796"/>
    <n v="20380"/>
    <n v="31127"/>
    <n v="20062"/>
    <n v="31418"/>
    <n v="21579"/>
    <n v="103159"/>
    <n v="114.62111111111111"/>
    <n v="82423"/>
    <n v="91.581111111111113"/>
    <m/>
    <m/>
    <n v="0"/>
    <n v="0"/>
  </r>
  <r>
    <x v="13"/>
    <s v="Galveston College "/>
    <m/>
    <n v="224961"/>
    <x v="8"/>
    <s v="sem"/>
    <s v="sem"/>
    <n v="21048"/>
    <n v="19746"/>
    <n v="4600"/>
    <n v="4579"/>
    <n v="3411"/>
    <n v="3749"/>
    <n v="18833"/>
    <n v="17918"/>
    <n v="47892"/>
    <n v="1596.4"/>
    <n v="45992"/>
    <n v="1533.0666666666666"/>
    <n v="2272"/>
    <n v="2677"/>
    <n v="47892"/>
    <n v="45992"/>
    <n v="7218"/>
    <n v="3464"/>
    <n v="352"/>
    <n v="1632"/>
    <n v="1426"/>
    <n v="0"/>
    <n v="5416"/>
    <n v="1838"/>
    <n v="14412"/>
    <n v="16.013333333333332"/>
    <n v="6934"/>
    <n v="7.7044444444444444"/>
    <m/>
    <m/>
    <n v="0"/>
    <n v="0"/>
  </r>
  <r>
    <x v="13"/>
    <s v="Lamar State College-Orange"/>
    <m/>
    <n v="226107"/>
    <x v="8"/>
    <s v="sem"/>
    <s v="sem"/>
    <n v="23859"/>
    <n v="21669"/>
    <n v="7301"/>
    <n v="6563"/>
    <n v="0"/>
    <n v="0"/>
    <n v="24866"/>
    <n v="23618"/>
    <n v="56026"/>
    <n v="1867.5333333333333"/>
    <n v="51850"/>
    <n v="1728.3333333333333"/>
    <n v="3496"/>
    <n v="4364"/>
    <n v="56026"/>
    <n v="51850"/>
    <n v="3710"/>
    <n v="2234"/>
    <n v="6264"/>
    <n v="1716"/>
    <n v="9748"/>
    <n v="616"/>
    <n v="5570"/>
    <n v="2060"/>
    <n v="25292"/>
    <n v="28.102222222222224"/>
    <n v="6626"/>
    <n v="7.362222222222222"/>
    <m/>
    <m/>
    <n v="0"/>
    <n v="0"/>
  </r>
  <r>
    <x v="13"/>
    <s v="Northeast Lakeview College (ACCD)"/>
    <m/>
    <s v="???"/>
    <x v="8"/>
    <s v="sem"/>
    <s v="sem"/>
    <n v="7011"/>
    <n v="4347"/>
    <n v="608"/>
    <n v="784"/>
    <n v="0"/>
    <n v="0"/>
    <n v="6307"/>
    <n v="4923"/>
    <n v="13926"/>
    <n v="464.2"/>
    <n v="10054"/>
    <n v="335.13333333333333"/>
    <n v="13"/>
    <n v="0"/>
    <n v="13926"/>
    <n v="10054"/>
    <n v="14184"/>
    <n v="15160"/>
    <n v="17464"/>
    <n v="12288"/>
    <n v="19808"/>
    <n v="8960"/>
    <n v="14280"/>
    <n v="8248"/>
    <n v="65736"/>
    <n v="73.040000000000006"/>
    <n v="44656"/>
    <n v="49.617777777777775"/>
    <m/>
    <m/>
    <n v="0"/>
    <n v="0"/>
  </r>
  <r>
    <x v="13"/>
    <s v="Panola College"/>
    <m/>
    <n v="227386"/>
    <x v="8"/>
    <s v="sem"/>
    <s v="sem"/>
    <n v="21103"/>
    <n v="23217"/>
    <n v="3884"/>
    <n v="3474"/>
    <n v="1652"/>
    <n v="1720"/>
    <n v="24407"/>
    <n v="25475"/>
    <n v="51046"/>
    <n v="1701.5333333333333"/>
    <n v="53886"/>
    <n v="1796.2"/>
    <n v="4557"/>
    <n v="4716"/>
    <n v="51046"/>
    <n v="53886"/>
    <n v="11636"/>
    <n v="10491"/>
    <n v="4801"/>
    <n v="8811"/>
    <n v="16276"/>
    <n v="7199"/>
    <n v="7011"/>
    <n v="13957"/>
    <n v="39724"/>
    <n v="44.137777777777778"/>
    <n v="40458"/>
    <n v="44.953333333333333"/>
    <m/>
    <m/>
    <n v="0"/>
    <n v="0"/>
  </r>
  <r>
    <x v="13"/>
    <s v="Ranger College "/>
    <m/>
    <n v="227687"/>
    <x v="8"/>
    <s v="sem"/>
    <s v="sem"/>
    <n v="13281"/>
    <n v="16285"/>
    <n v="3013"/>
    <n v="3662"/>
    <n v="720"/>
    <n v="1126"/>
    <n v="17826"/>
    <n v="19687"/>
    <n v="34840"/>
    <n v="1161.3333333333333"/>
    <n v="40760"/>
    <n v="1358.6666666666667"/>
    <n v="4096"/>
    <n v="5401"/>
    <n v="34840"/>
    <n v="40760"/>
    <n v="1235"/>
    <n v="2480"/>
    <n v="4892"/>
    <n v="1105"/>
    <n v="1552"/>
    <n v="4880"/>
    <n v="756"/>
    <n v="7368"/>
    <n v="8435"/>
    <n v="9.3722222222222218"/>
    <n v="15833"/>
    <n v="17.592222222222222"/>
    <m/>
    <m/>
    <n v="0"/>
    <n v="0"/>
  </r>
  <r>
    <x v="13"/>
    <s v="Southwest Collegiate Institute for the Deaf (HCJCD)"/>
    <m/>
    <n v="382911"/>
    <x v="8"/>
    <s v="sem"/>
    <s v="sem"/>
    <n v="1056"/>
    <n v="1357"/>
    <n v="27"/>
    <n v="36"/>
    <n v="21"/>
    <n v="3"/>
    <n v="1615"/>
    <n v="1548"/>
    <n v="2719"/>
    <n v="90.63333333333334"/>
    <n v="2944"/>
    <n v="98.13333333333334"/>
    <n v="66"/>
    <n v="0"/>
    <n v="2719"/>
    <n v="2944"/>
    <m/>
    <m/>
    <m/>
    <m/>
    <m/>
    <m/>
    <m/>
    <m/>
    <n v="0"/>
    <n v="0"/>
    <n v="0"/>
    <n v="0"/>
    <m/>
    <m/>
    <n v="0"/>
    <n v="0"/>
  </r>
  <r>
    <x v="13"/>
    <s v="Texas State Technical College-Marshall"/>
    <m/>
    <n v="408394"/>
    <x v="8"/>
    <s v="sem"/>
    <s v="sem"/>
    <n v="8519"/>
    <n v="7037"/>
    <n v="5577"/>
    <n v="4869"/>
    <n v="0"/>
    <n v="0"/>
    <n v="7361"/>
    <n v="6961"/>
    <n v="21457"/>
    <n v="715.23333333333335"/>
    <n v="18867"/>
    <n v="628.9"/>
    <n v="1945"/>
    <n v="1901"/>
    <n v="21457"/>
    <n v="18867"/>
    <n v="4664"/>
    <n v="4184"/>
    <n v="8816"/>
    <n v="6216"/>
    <n v="4812"/>
    <n v="7206"/>
    <n v="3254"/>
    <n v="4859"/>
    <n v="21546"/>
    <n v="23.94"/>
    <n v="22465"/>
    <n v="24.961111111111112"/>
    <m/>
    <m/>
    <n v="0"/>
    <n v="0"/>
  </r>
  <r>
    <x v="13"/>
    <s v="Texas State Technical College-West Texas"/>
    <m/>
    <n v="229328"/>
    <x v="8"/>
    <s v="sem"/>
    <s v="sem"/>
    <n v="9998"/>
    <n v="8866"/>
    <n v="6966"/>
    <n v="6651"/>
    <n v="0"/>
    <n v="0"/>
    <n v="8244"/>
    <n v="8078"/>
    <n v="25208"/>
    <n v="840.26666666666665"/>
    <n v="23595"/>
    <n v="786.5"/>
    <n v="1671"/>
    <n v="381"/>
    <n v="25208"/>
    <n v="23595"/>
    <n v="1326"/>
    <n v="9980"/>
    <n v="2680"/>
    <n v="8544"/>
    <n v="1680"/>
    <n v="12996"/>
    <n v="3806"/>
    <n v="8336"/>
    <n v="9492"/>
    <n v="10.546666666666667"/>
    <n v="39856"/>
    <n v="44.284444444444446"/>
    <m/>
    <m/>
    <n v="0"/>
    <n v="0"/>
  </r>
  <r>
    <x v="13"/>
    <s v="Western Texas College "/>
    <m/>
    <n v="229832"/>
    <x v="8"/>
    <s v="sem"/>
    <s v="sem"/>
    <n v="18588"/>
    <n v="18418"/>
    <n v="6757"/>
    <n v="8321"/>
    <n v="2025"/>
    <n v="2290"/>
    <n v="19091"/>
    <n v="17958"/>
    <n v="46461"/>
    <n v="1548.7"/>
    <n v="46987"/>
    <n v="1566.2333333333333"/>
    <n v="7647"/>
    <n v="8280"/>
    <n v="46461"/>
    <n v="46987"/>
    <n v="55834"/>
    <n v="39988"/>
    <n v="43685"/>
    <n v="42642"/>
    <n v="25964"/>
    <n v="20974"/>
    <n v="51524"/>
    <n v="47085"/>
    <n v="177007"/>
    <n v="196.67444444444445"/>
    <n v="150689"/>
    <n v="167.43222222222221"/>
    <m/>
    <m/>
    <n v="0"/>
    <n v="0"/>
  </r>
  <r>
    <x v="13"/>
    <s v="Alamo Community College District (ACCD)"/>
    <m/>
    <m/>
    <x v="12"/>
    <s v="sem"/>
    <s v="sem"/>
    <n v="479137"/>
    <n v="32083"/>
    <n v="137973"/>
    <n v="10125"/>
    <n v="48900"/>
    <n v="1720"/>
    <n v="461195"/>
    <n v="33553"/>
    <n v="1127205"/>
    <n v="37573.5"/>
    <n v="77481"/>
    <n v="2582.6999999999998"/>
    <n v="88153"/>
    <n v="5097"/>
    <n v="1127205"/>
    <n v="77481"/>
    <n v="415762"/>
    <n v="20471"/>
    <n v="375817"/>
    <n v="17355"/>
    <n v="330320"/>
    <n v="20195"/>
    <n v="549655"/>
    <n v="22293"/>
    <n v="1671554"/>
    <n v="1857.2822222222221"/>
    <n v="80314"/>
    <n v="89.237777777777779"/>
    <m/>
    <m/>
    <n v="0"/>
    <n v="0"/>
  </r>
  <r>
    <x v="13"/>
    <s v="Dallas County Community College District (DCCD)"/>
    <m/>
    <m/>
    <x v="12"/>
    <s v="sem"/>
    <s v="sem"/>
    <n v="563364"/>
    <n v="17642"/>
    <n v="160048"/>
    <n v="3698"/>
    <n v="54426"/>
    <n v="1129"/>
    <n v="544426"/>
    <n v="21235"/>
    <n v="1322264"/>
    <n v="44075.466666666667"/>
    <n v="43704"/>
    <n v="1456.8"/>
    <n v="93521"/>
    <n v="5401"/>
    <n v="1322264"/>
    <n v="43704"/>
    <n v="506604"/>
    <n v="2480"/>
    <n v="541091"/>
    <n v="1105"/>
    <n v="482371"/>
    <n v="4880"/>
    <n v="589960"/>
    <n v="7368"/>
    <n v="2120026"/>
    <n v="2355.5844444444447"/>
    <n v="15833"/>
    <n v="17.592222222222222"/>
    <m/>
    <m/>
    <n v="0"/>
    <n v="0"/>
  </r>
  <r>
    <x v="13"/>
    <s v="Howard County Community/Junior College District (HCJCD)"/>
    <m/>
    <m/>
    <x v="12"/>
    <s v="sem"/>
    <s v="sem"/>
    <n v="37168"/>
    <n v="25455"/>
    <n v="9754"/>
    <n v="13190"/>
    <n v="7553"/>
    <n v="2290"/>
    <n v="35550"/>
    <n v="24919"/>
    <n v="90025"/>
    <n v="3000.8333333333335"/>
    <n v="65854"/>
    <n v="2195.1333333333332"/>
    <n v="8132"/>
    <n v="10181"/>
    <n v="90025"/>
    <n v="65854"/>
    <n v="53328"/>
    <n v="44172"/>
    <n v="36974"/>
    <n v="48858"/>
    <n v="52758"/>
    <n v="28180"/>
    <n v="48765"/>
    <n v="51944"/>
    <n v="191825"/>
    <n v="213.13888888888889"/>
    <n v="173154"/>
    <n v="192.39333333333335"/>
    <m/>
    <m/>
    <n v="0"/>
    <n v="0"/>
  </r>
  <r>
    <x v="13"/>
    <s v="University of North Texas at Dallas"/>
    <s v="New fall 2009. No degrees yet granted."/>
    <s v="???"/>
    <x v="13"/>
    <s v="sem"/>
    <s v="sem"/>
    <m/>
    <m/>
    <n v="12946"/>
    <n v="13413"/>
    <n v="3846"/>
    <n v="3793"/>
    <n v="14752"/>
    <n v="16167"/>
    <n v="31544"/>
    <n v="1051.4666666666667"/>
    <n v="33373"/>
    <n v="1112.4333333333334"/>
    <n v="0"/>
    <n v="0"/>
    <n v="31544"/>
    <n v="33373"/>
    <m/>
    <m/>
    <m/>
    <m/>
    <m/>
    <m/>
    <m/>
    <m/>
    <n v="0"/>
    <n v="0"/>
    <n v="0"/>
    <n v="0"/>
    <m/>
    <m/>
    <n v="0"/>
    <n v="0"/>
  </r>
  <r>
    <x v="13"/>
    <s v="Alamo Community College District (ACCD)"/>
    <m/>
    <m/>
    <x v="14"/>
    <s v="sem"/>
    <s v="sem"/>
    <n v="454427"/>
    <n v="857107"/>
    <n v="129478"/>
    <n v="386913"/>
    <n v="45757"/>
    <n v="0"/>
    <n v="438278"/>
    <n v="793266"/>
    <n v="1067940"/>
    <n v="35598"/>
    <n v="2037286"/>
    <n v="67909.53333333334"/>
    <n v="86103"/>
    <n v="117110"/>
    <n v="1067940"/>
    <n v="2037286"/>
    <n v="336581"/>
    <n v="473588"/>
    <n v="307577"/>
    <n v="503257"/>
    <n v="276608"/>
    <n v="496602"/>
    <n v="452407"/>
    <n v="555990"/>
    <n v="1373173"/>
    <n v="1525.7477777777779"/>
    <n v="2029437"/>
    <n v="2254.9299999999998"/>
    <m/>
    <m/>
    <n v="0"/>
    <n v="0"/>
  </r>
  <r>
    <x v="13"/>
    <s v="Dallas County Community College District (DCCD)"/>
    <m/>
    <m/>
    <x v="14"/>
    <s v="sem"/>
    <s v="sem"/>
    <n v="419174"/>
    <n v="771026"/>
    <n v="137858"/>
    <n v="303813"/>
    <n v="44173"/>
    <n v="3994"/>
    <n v="396897"/>
    <n v="726511"/>
    <n v="998102"/>
    <n v="33270.066666666666"/>
    <n v="1805344"/>
    <n v="60178.133333333331"/>
    <n v="76982"/>
    <n v="147180"/>
    <n v="998102"/>
    <n v="1805344"/>
    <n v="409440"/>
    <n v="519932"/>
    <n v="441972"/>
    <n v="705811"/>
    <n v="380325"/>
    <n v="641600"/>
    <n v="490360"/>
    <n v="619744"/>
    <n v="1722097"/>
    <n v="1913.441111111111"/>
    <n v="2487087"/>
    <n v="2763.43"/>
    <m/>
    <m/>
    <n v="0"/>
    <n v="0"/>
  </r>
  <r>
    <x v="13"/>
    <s v="Dallas County Community College District (DCCD)"/>
    <m/>
    <m/>
    <x v="15"/>
    <s v="sem"/>
    <s v="sem"/>
    <n v="144190"/>
    <n v="96940"/>
    <n v="22190"/>
    <n v="32319"/>
    <n v="10253"/>
    <n v="2242"/>
    <n v="147529"/>
    <n v="93663"/>
    <n v="324162"/>
    <n v="10805.4"/>
    <n v="225164"/>
    <n v="7505.4666666666662"/>
    <n v="16539"/>
    <n v="16198"/>
    <n v="324162"/>
    <n v="225164"/>
    <n v="97164"/>
    <n v="23204"/>
    <n v="99119"/>
    <n v="44146"/>
    <n v="102046"/>
    <n v="29447"/>
    <n v="99600"/>
    <n v="40663"/>
    <n v="397929"/>
    <n v="442.14333333333332"/>
    <n v="137460"/>
    <n v="152.73333333333332"/>
    <m/>
    <m/>
    <n v="0"/>
    <n v="0"/>
  </r>
  <r>
    <x v="13"/>
    <s v="Howard County Community/Junior College District (HCJCD)"/>
    <m/>
    <m/>
    <x v="15"/>
    <s v="sem"/>
    <s v="sem"/>
    <n v="36112"/>
    <n v="26870"/>
    <n v="9727"/>
    <n v="2273"/>
    <n v="7532"/>
    <n v="1662"/>
    <n v="33935"/>
    <n v="28553"/>
    <n v="87306"/>
    <n v="2910.2"/>
    <n v="59358"/>
    <n v="1978.6"/>
    <n v="8066"/>
    <n v="1058"/>
    <n v="87306"/>
    <n v="59358"/>
    <n v="53328"/>
    <n v="23149"/>
    <n v="36974"/>
    <n v="26021"/>
    <n v="52758"/>
    <n v="29386"/>
    <n v="48765"/>
    <n v="42880"/>
    <n v="191825"/>
    <n v="213.13888888888889"/>
    <n v="121436"/>
    <n v="134.92888888888888"/>
    <m/>
    <m/>
    <n v="0"/>
    <n v="0"/>
  </r>
  <r>
    <x v="13"/>
    <s v="Alamo Community College District (ACCD)"/>
    <m/>
    <m/>
    <x v="16"/>
    <s v="sem"/>
    <s v="sem"/>
    <n v="24710"/>
    <n v="23217"/>
    <n v="8495"/>
    <n v="3474"/>
    <n v="3143"/>
    <n v="1720"/>
    <n v="22917"/>
    <n v="25475"/>
    <n v="59265"/>
    <n v="1975.5"/>
    <n v="53886"/>
    <n v="1796.2"/>
    <n v="2050"/>
    <n v="4716"/>
    <n v="59265"/>
    <n v="53886"/>
    <n v="79181"/>
    <n v="10491"/>
    <n v="68240"/>
    <n v="8811"/>
    <n v="53712"/>
    <n v="7199"/>
    <n v="97248"/>
    <n v="13957"/>
    <n v="298381"/>
    <n v="331.53444444444443"/>
    <n v="40458"/>
    <n v="44.953333333333333"/>
    <m/>
    <m/>
    <n v="0"/>
    <n v="0"/>
  </r>
  <r>
    <x v="13"/>
    <s v="Howard County Community/Junior College District (HCJCD)"/>
    <m/>
    <m/>
    <x v="16"/>
    <s v="sem"/>
    <s v="sem"/>
    <n v="1056"/>
    <n v="7037"/>
    <n v="27"/>
    <n v="4869"/>
    <n v="21"/>
    <n v="0"/>
    <n v="1615"/>
    <n v="6961"/>
    <n v="2719"/>
    <n v="90.63333333333334"/>
    <n v="18867"/>
    <n v="628.9"/>
    <n v="66"/>
    <n v="1901"/>
    <n v="2719"/>
    <n v="18867"/>
    <n v="0"/>
    <n v="4184"/>
    <n v="0"/>
    <n v="6216"/>
    <n v="0"/>
    <n v="7206"/>
    <n v="0"/>
    <n v="4859"/>
    <n v="0"/>
    <n v="0"/>
    <n v="22465"/>
    <n v="24.961111111111112"/>
    <m/>
    <m/>
    <n v="0"/>
    <n v="0"/>
  </r>
  <r>
    <x v="14"/>
    <s v="George Mason University "/>
    <m/>
    <n v="232186"/>
    <x v="0"/>
    <s v="sem"/>
    <s v="sem"/>
    <m/>
    <m/>
    <n v="251312"/>
    <n v="258730"/>
    <n v="49339"/>
    <n v="59362"/>
    <n v="270328.5"/>
    <n v="268629.5"/>
    <n v="570979.5"/>
    <n v="19032.650000000001"/>
    <n v="586721.5"/>
    <n v="19557.383333333335"/>
    <n v="24514"/>
    <n v="27627"/>
    <n v="570979.5"/>
    <n v="586721.5"/>
    <m/>
    <m/>
    <m/>
    <m/>
    <m/>
    <m/>
    <m/>
    <m/>
    <n v="0"/>
    <n v="0"/>
    <n v="0"/>
    <n v="0"/>
    <m/>
    <m/>
    <n v="0"/>
    <n v="0"/>
  </r>
  <r>
    <x v="14"/>
    <s v="Old Dominion University "/>
    <m/>
    <n v="232982"/>
    <x v="0"/>
    <s v="sem"/>
    <s v="sem"/>
    <m/>
    <m/>
    <n v="215941"/>
    <n v="217547"/>
    <n v="52395"/>
    <n v="56292"/>
    <n v="233487"/>
    <n v="237481"/>
    <n v="501823"/>
    <n v="16727.433333333334"/>
    <n v="511320"/>
    <n v="17044"/>
    <n v="0"/>
    <n v="16"/>
    <n v="501823"/>
    <n v="511320"/>
    <m/>
    <m/>
    <m/>
    <m/>
    <m/>
    <m/>
    <m/>
    <m/>
    <n v="0"/>
    <n v="0"/>
    <n v="0"/>
    <n v="0"/>
    <m/>
    <m/>
    <n v="0"/>
    <n v="0"/>
  </r>
  <r>
    <x v="14"/>
    <s v="University of Virginia"/>
    <m/>
    <n v="234076"/>
    <x v="0"/>
    <s v="sem"/>
    <s v="sem"/>
    <m/>
    <m/>
    <n v="216264"/>
    <n v="219150.5"/>
    <n v="30124"/>
    <n v="24822"/>
    <n v="221447.5"/>
    <n v="223124"/>
    <n v="467835.5"/>
    <n v="15594.516666666666"/>
    <n v="467096.5"/>
    <n v="15569.883333333333"/>
    <n v="0"/>
    <n v="0"/>
    <n v="467835.5"/>
    <n v="467096.5"/>
    <m/>
    <m/>
    <m/>
    <m/>
    <m/>
    <m/>
    <m/>
    <m/>
    <n v="0"/>
    <n v="0"/>
    <n v="0"/>
    <n v="0"/>
    <m/>
    <m/>
    <n v="0"/>
    <n v="0"/>
  </r>
  <r>
    <x v="14"/>
    <s v="Virginia Tech "/>
    <m/>
    <n v="233921"/>
    <x v="0"/>
    <s v="sem"/>
    <s v="sem"/>
    <m/>
    <m/>
    <n v="345606"/>
    <n v="345714"/>
    <n v="37992"/>
    <n v="37098"/>
    <n v="364620"/>
    <n v="368881"/>
    <n v="748218"/>
    <n v="24940.6"/>
    <n v="751693"/>
    <n v="25056.433333333334"/>
    <n v="0"/>
    <n v="0"/>
    <n v="748218"/>
    <n v="751693"/>
    <m/>
    <m/>
    <m/>
    <m/>
    <m/>
    <m/>
    <m/>
    <m/>
    <n v="0"/>
    <n v="0"/>
    <n v="0"/>
    <n v="0"/>
    <m/>
    <m/>
    <n v="0"/>
    <n v="0"/>
  </r>
  <r>
    <x v="14"/>
    <s v="College of William &amp; Mary"/>
    <m/>
    <n v="231624"/>
    <x v="1"/>
    <s v="sem"/>
    <s v="sem"/>
    <m/>
    <m/>
    <n v="80865.5"/>
    <n v="83289.5"/>
    <n v="8242"/>
    <n v="8318"/>
    <n v="86293.5"/>
    <n v="88067.5"/>
    <n v="175401"/>
    <n v="5846.7"/>
    <n v="179675"/>
    <n v="5989.166666666667"/>
    <n v="0"/>
    <n v="0"/>
    <n v="175401"/>
    <n v="179675"/>
    <m/>
    <m/>
    <m/>
    <m/>
    <m/>
    <m/>
    <m/>
    <m/>
    <n v="0"/>
    <n v="0"/>
    <n v="0"/>
    <n v="0"/>
    <m/>
    <m/>
    <n v="0"/>
    <n v="0"/>
  </r>
  <r>
    <x v="14"/>
    <s v="Virginia Commonwealth University"/>
    <m/>
    <n v="234030"/>
    <x v="1"/>
    <s v="sem"/>
    <s v="sem"/>
    <m/>
    <m/>
    <n v="290741"/>
    <n v="297494"/>
    <n v="43683.5"/>
    <n v="43629.5"/>
    <n v="315682"/>
    <n v="319380"/>
    <n v="650106.5"/>
    <n v="21670.216666666667"/>
    <n v="660503.5"/>
    <n v="22016.783333333333"/>
    <n v="7584"/>
    <n v="7800"/>
    <n v="650106.5"/>
    <n v="660503.5"/>
    <m/>
    <m/>
    <m/>
    <m/>
    <m/>
    <m/>
    <m/>
    <m/>
    <n v="0"/>
    <n v="0"/>
    <n v="0"/>
    <n v="0"/>
    <m/>
    <m/>
    <n v="0"/>
    <n v="0"/>
  </r>
  <r>
    <x v="14"/>
    <s v="James Madison University  "/>
    <m/>
    <n v="232423"/>
    <x v="2"/>
    <s v="sem"/>
    <s v="sem"/>
    <m/>
    <m/>
    <n v="243645"/>
    <n v="248853"/>
    <n v="27247"/>
    <n v="26986"/>
    <n v="262989"/>
    <n v="265966"/>
    <n v="533881"/>
    <n v="17796.033333333333"/>
    <n v="541805"/>
    <n v="18060.166666666668"/>
    <n v="5941"/>
    <n v="5944"/>
    <n v="533881"/>
    <n v="541805"/>
    <m/>
    <m/>
    <m/>
    <m/>
    <m/>
    <m/>
    <m/>
    <m/>
    <n v="0"/>
    <n v="0"/>
    <n v="0"/>
    <n v="0"/>
    <m/>
    <m/>
    <n v="0"/>
    <n v="0"/>
  </r>
  <r>
    <x v="14"/>
    <s v="Norfolk State University "/>
    <m/>
    <n v="232937"/>
    <x v="2"/>
    <s v="sem"/>
    <s v="sem"/>
    <m/>
    <m/>
    <n v="71365"/>
    <n v="73440"/>
    <n v="11666"/>
    <n v="10809"/>
    <n v="77677"/>
    <n v="82497"/>
    <n v="160708"/>
    <n v="5356.9333333333334"/>
    <n v="166746"/>
    <n v="5558.2"/>
    <n v="183"/>
    <n v="225"/>
    <n v="160708"/>
    <n v="166746"/>
    <m/>
    <m/>
    <m/>
    <m/>
    <m/>
    <m/>
    <m/>
    <m/>
    <n v="0"/>
    <n v="0"/>
    <n v="0"/>
    <n v="0"/>
    <m/>
    <m/>
    <n v="0"/>
    <n v="0"/>
  </r>
  <r>
    <x v="14"/>
    <s v="Longwood University "/>
    <s v="Met the criteria for Four-Year 3 in 2011-12 and 2012-13."/>
    <n v="232566"/>
    <x v="3"/>
    <s v="sem"/>
    <s v="sem"/>
    <m/>
    <m/>
    <n v="56290"/>
    <n v="58130"/>
    <n v="8967"/>
    <n v="7671"/>
    <n v="61455"/>
    <n v="60971"/>
    <n v="126712"/>
    <n v="4223.7333333333336"/>
    <n v="126772"/>
    <n v="4225.7333333333336"/>
    <n v="14"/>
    <n v="99"/>
    <n v="126712"/>
    <n v="126772"/>
    <m/>
    <m/>
    <m/>
    <m/>
    <m/>
    <m/>
    <m/>
    <m/>
    <n v="0"/>
    <n v="0"/>
    <n v="0"/>
    <n v="0"/>
    <m/>
    <m/>
    <n v="0"/>
    <n v="0"/>
  </r>
  <r>
    <x v="14"/>
    <s v="Radford University"/>
    <s v="Met the criteria for Four-Year 3 in 2011-12 and 2012-13."/>
    <n v="233277"/>
    <x v="3"/>
    <s v="sem"/>
    <s v="sem"/>
    <m/>
    <m/>
    <n v="109223"/>
    <n v="114592"/>
    <n v="11751"/>
    <n v="11452"/>
    <n v="123596"/>
    <n v="127729"/>
    <n v="244570"/>
    <n v="8152.333333333333"/>
    <n v="253773"/>
    <n v="8459.1"/>
    <n v="242"/>
    <n v="140"/>
    <n v="244570"/>
    <n v="253773"/>
    <m/>
    <m/>
    <m/>
    <m/>
    <m/>
    <m/>
    <m/>
    <m/>
    <n v="0"/>
    <n v="0"/>
    <n v="0"/>
    <n v="0"/>
    <m/>
    <m/>
    <n v="0"/>
    <n v="0"/>
  </r>
  <r>
    <x v="14"/>
    <s v="Virginia State University "/>
    <s v="Met the criteria for Four-Year 3 in 2011-12 and 2012-13."/>
    <n v="234155"/>
    <x v="3"/>
    <s v="sem"/>
    <s v="sem"/>
    <m/>
    <m/>
    <n v="73263"/>
    <n v="74557"/>
    <n v="5926"/>
    <n v="6289"/>
    <n v="78398"/>
    <n v="81878"/>
    <n v="157587"/>
    <n v="5252.9"/>
    <n v="162724"/>
    <n v="5424.1333333333332"/>
    <n v="0"/>
    <n v="0"/>
    <n v="157587"/>
    <n v="162724"/>
    <m/>
    <m/>
    <m/>
    <m/>
    <m/>
    <m/>
    <m/>
    <m/>
    <n v="0"/>
    <n v="0"/>
    <n v="0"/>
    <n v="0"/>
    <m/>
    <m/>
    <n v="0"/>
    <n v="0"/>
  </r>
  <r>
    <x v="14"/>
    <s v="Christopher Newport University"/>
    <s v="Met the criteria for Four-Year 4 in 2011-12 and 2012-13."/>
    <n v="231712"/>
    <x v="4"/>
    <s v="sem"/>
    <s v="sem"/>
    <m/>
    <m/>
    <n v="67569"/>
    <n v="68635"/>
    <n v="2040"/>
    <n v="1203"/>
    <n v="71060"/>
    <n v="74483"/>
    <n v="140669"/>
    <n v="4688.9666666666662"/>
    <n v="144321"/>
    <n v="4810.7"/>
    <n v="12"/>
    <n v="16"/>
    <n v="140669"/>
    <n v="144321"/>
    <m/>
    <m/>
    <m/>
    <m/>
    <m/>
    <m/>
    <m/>
    <m/>
    <n v="0"/>
    <n v="0"/>
    <n v="0"/>
    <n v="0"/>
    <m/>
    <m/>
    <n v="0"/>
    <n v="0"/>
  </r>
  <r>
    <x v="14"/>
    <s v="University of Mary Washington "/>
    <s v="Met the criteria for Four-Year 3 in 2011-12 and 2012-13."/>
    <n v="232681"/>
    <x v="4"/>
    <s v="sem"/>
    <s v="sem"/>
    <m/>
    <m/>
    <n v="58309"/>
    <n v="57992"/>
    <n v="7097"/>
    <n v="6747"/>
    <n v="61385"/>
    <n v="61778"/>
    <n v="126791"/>
    <n v="4226.3666666666668"/>
    <n v="126517"/>
    <n v="4217.2333333333336"/>
    <n v="18"/>
    <n v="27"/>
    <n v="126791"/>
    <n v="126517"/>
    <m/>
    <m/>
    <m/>
    <m/>
    <m/>
    <m/>
    <m/>
    <m/>
    <n v="0"/>
    <n v="0"/>
    <n v="0"/>
    <n v="0"/>
    <m/>
    <m/>
    <n v="0"/>
    <n v="0"/>
  </r>
  <r>
    <x v="14"/>
    <s v="University of Virginia's College at Wise "/>
    <m/>
    <n v="233897"/>
    <x v="5"/>
    <s v="sem"/>
    <s v="sem"/>
    <m/>
    <m/>
    <n v="23807"/>
    <n v="23819"/>
    <n v="2810"/>
    <n v="3670"/>
    <n v="25093"/>
    <n v="26348"/>
    <n v="51710"/>
    <n v="1723.6666666666667"/>
    <n v="53837"/>
    <n v="1794.5666666666666"/>
    <n v="81"/>
    <n v="26"/>
    <n v="51710"/>
    <n v="53837"/>
    <m/>
    <m/>
    <m/>
    <m/>
    <m/>
    <m/>
    <m/>
    <m/>
    <n v="0"/>
    <n v="0"/>
    <n v="0"/>
    <n v="0"/>
    <m/>
    <m/>
    <n v="0"/>
    <n v="0"/>
  </r>
  <r>
    <x v="14"/>
    <s v="J.S. Reynolds Community College"/>
    <m/>
    <n v="232414"/>
    <x v="6"/>
    <s v="sem"/>
    <s v="sem"/>
    <m/>
    <m/>
    <n v="105802"/>
    <n v="109703"/>
    <n v="39720"/>
    <n v="39293"/>
    <n v="113193"/>
    <n v="106584"/>
    <n v="258715"/>
    <n v="8623.8333333333339"/>
    <n v="255580"/>
    <n v="8519.3333333333339"/>
    <n v="14126"/>
    <n v="13069"/>
    <n v="258715"/>
    <n v="255580"/>
    <m/>
    <m/>
    <m/>
    <m/>
    <m/>
    <m/>
    <m/>
    <m/>
    <n v="0"/>
    <n v="0"/>
    <n v="0"/>
    <n v="0"/>
    <m/>
    <m/>
    <n v="0"/>
    <n v="0"/>
  </r>
  <r>
    <x v="14"/>
    <s v="Northern Virginia Community College "/>
    <m/>
    <n v="232946"/>
    <x v="6"/>
    <s v="sem"/>
    <s v="sem"/>
    <m/>
    <m/>
    <n v="428468"/>
    <n v="436303"/>
    <n v="171453"/>
    <n v="180092"/>
    <n v="451626"/>
    <n v="463368"/>
    <n v="1051547"/>
    <n v="35051.566666666666"/>
    <n v="1079763"/>
    <n v="35992.1"/>
    <n v="30567"/>
    <n v="34962"/>
    <n v="1051547"/>
    <n v="1079763"/>
    <m/>
    <m/>
    <m/>
    <m/>
    <m/>
    <m/>
    <m/>
    <m/>
    <n v="0"/>
    <n v="0"/>
    <n v="0"/>
    <n v="0"/>
    <m/>
    <m/>
    <n v="0"/>
    <n v="0"/>
  </r>
  <r>
    <x v="14"/>
    <s v="Thomas Nelson Community College "/>
    <m/>
    <n v="233754"/>
    <x v="6"/>
    <s v="sem"/>
    <s v="sem"/>
    <m/>
    <m/>
    <n v="92841"/>
    <n v="91630"/>
    <n v="25516"/>
    <n v="28431"/>
    <n v="96969"/>
    <n v="95059"/>
    <n v="215326"/>
    <n v="7177.5333333333338"/>
    <n v="215120"/>
    <n v="7170.666666666667"/>
    <n v="16781"/>
    <n v="18525"/>
    <n v="215326"/>
    <n v="215120"/>
    <m/>
    <m/>
    <m/>
    <m/>
    <m/>
    <m/>
    <m/>
    <m/>
    <n v="0"/>
    <n v="0"/>
    <n v="0"/>
    <n v="0"/>
    <m/>
    <m/>
    <n v="0"/>
    <n v="0"/>
  </r>
  <r>
    <x v="14"/>
    <s v="Tidewater Community College "/>
    <m/>
    <n v="233772"/>
    <x v="6"/>
    <s v="sem"/>
    <s v="sem"/>
    <m/>
    <m/>
    <n v="289680"/>
    <n v="285108"/>
    <n v="101078"/>
    <n v="108599"/>
    <n v="300192"/>
    <n v="277105"/>
    <n v="690950"/>
    <n v="23031.666666666668"/>
    <n v="670812"/>
    <n v="22360.400000000001"/>
    <n v="20115"/>
    <n v="17898"/>
    <n v="690950"/>
    <n v="670812"/>
    <m/>
    <m/>
    <m/>
    <m/>
    <m/>
    <m/>
    <m/>
    <m/>
    <n v="0"/>
    <n v="0"/>
    <n v="0"/>
    <n v="0"/>
    <m/>
    <m/>
    <n v="0"/>
    <n v="0"/>
  </r>
  <r>
    <x v="14"/>
    <s v="Blue Ridge Community College "/>
    <m/>
    <n v="231536"/>
    <x v="7"/>
    <s v="sem"/>
    <s v="sem"/>
    <m/>
    <m/>
    <n v="40796"/>
    <n v="39231"/>
    <n v="10988"/>
    <n v="10174"/>
    <n v="42740"/>
    <n v="40476"/>
    <n v="94524"/>
    <n v="3150.8"/>
    <n v="89881"/>
    <n v="2996.0333333333333"/>
    <n v="10679"/>
    <n v="10787"/>
    <n v="94524"/>
    <n v="89881"/>
    <m/>
    <m/>
    <m/>
    <m/>
    <m/>
    <m/>
    <m/>
    <m/>
    <n v="0"/>
    <n v="0"/>
    <n v="0"/>
    <n v="0"/>
    <m/>
    <m/>
    <n v="0"/>
    <n v="0"/>
  </r>
  <r>
    <x v="14"/>
    <s v="Central Virginia Community College "/>
    <m/>
    <n v="231697"/>
    <x v="7"/>
    <s v="sem"/>
    <s v="sem"/>
    <m/>
    <m/>
    <n v="36115"/>
    <n v="36131"/>
    <n v="10448"/>
    <n v="10520"/>
    <n v="41438"/>
    <n v="37929"/>
    <n v="88001"/>
    <n v="2933.3666666666668"/>
    <n v="84580"/>
    <n v="2819.3333333333335"/>
    <n v="26983"/>
    <n v="28230"/>
    <n v="88001"/>
    <n v="84580"/>
    <m/>
    <m/>
    <m/>
    <m/>
    <m/>
    <m/>
    <m/>
    <m/>
    <n v="0"/>
    <n v="0"/>
    <n v="0"/>
    <n v="0"/>
    <m/>
    <m/>
    <n v="0"/>
    <n v="0"/>
  </r>
  <r>
    <x v="14"/>
    <s v="Danville Community College "/>
    <m/>
    <n v="231882"/>
    <x v="7"/>
    <s v="sem"/>
    <s v="sem"/>
    <m/>
    <m/>
    <n v="37477"/>
    <n v="36059"/>
    <n v="11377"/>
    <n v="10868"/>
    <n v="36528"/>
    <n v="37181"/>
    <n v="85382"/>
    <n v="2846.0666666666666"/>
    <n v="84108"/>
    <n v="2803.6"/>
    <n v="23368"/>
    <n v="21293"/>
    <n v="85382"/>
    <n v="84108"/>
    <m/>
    <m/>
    <m/>
    <m/>
    <m/>
    <m/>
    <m/>
    <m/>
    <n v="0"/>
    <n v="0"/>
    <n v="0"/>
    <n v="0"/>
    <m/>
    <m/>
    <n v="0"/>
    <n v="0"/>
  </r>
  <r>
    <x v="14"/>
    <s v="Germanna Community College"/>
    <m/>
    <n v="232195"/>
    <x v="7"/>
    <s v="sem"/>
    <s v="sem"/>
    <m/>
    <m/>
    <n v="58341"/>
    <n v="59439"/>
    <n v="15767"/>
    <n v="16141"/>
    <n v="65793"/>
    <n v="62430"/>
    <n v="139901"/>
    <n v="4663.3666666666668"/>
    <n v="138010"/>
    <n v="4600.333333333333"/>
    <n v="19212"/>
    <n v="17878"/>
    <n v="139901"/>
    <n v="138010"/>
    <m/>
    <m/>
    <m/>
    <m/>
    <m/>
    <m/>
    <m/>
    <m/>
    <n v="0"/>
    <n v="0"/>
    <n v="0"/>
    <n v="0"/>
    <m/>
    <m/>
    <n v="0"/>
    <n v="0"/>
  </r>
  <r>
    <x v="14"/>
    <s v="John Tyler Community College"/>
    <s v="Met the criteria for Two-Year 1 in 2011-12 and 2012-13."/>
    <n v="232450"/>
    <x v="7"/>
    <s v="sem"/>
    <s v="sem"/>
    <m/>
    <m/>
    <n v="79717"/>
    <n v="78614"/>
    <n v="23115"/>
    <n v="24389"/>
    <n v="87506"/>
    <n v="80861"/>
    <n v="190338"/>
    <n v="6344.6"/>
    <n v="183864"/>
    <n v="6128.8"/>
    <n v="43654"/>
    <n v="43091"/>
    <n v="190338"/>
    <n v="183864"/>
    <m/>
    <m/>
    <m/>
    <m/>
    <m/>
    <m/>
    <m/>
    <m/>
    <n v="0"/>
    <n v="0"/>
    <n v="0"/>
    <n v="0"/>
    <m/>
    <m/>
    <n v="0"/>
    <n v="0"/>
  </r>
  <r>
    <x v="14"/>
    <s v="Lord Fairfax Community College  "/>
    <m/>
    <n v="232575"/>
    <x v="7"/>
    <s v="sem"/>
    <s v="sem"/>
    <m/>
    <m/>
    <n v="50883"/>
    <n v="52877"/>
    <n v="13294"/>
    <n v="14797"/>
    <n v="59746"/>
    <n v="59044"/>
    <n v="123923"/>
    <n v="4130.7666666666664"/>
    <n v="126718"/>
    <n v="4223.9333333333334"/>
    <n v="39380"/>
    <n v="43937"/>
    <n v="123923"/>
    <n v="126718"/>
    <m/>
    <m/>
    <m/>
    <m/>
    <m/>
    <m/>
    <m/>
    <m/>
    <n v="0"/>
    <n v="0"/>
    <n v="0"/>
    <n v="0"/>
    <m/>
    <m/>
    <n v="0"/>
    <n v="0"/>
  </r>
  <r>
    <x v="14"/>
    <s v="New River Community College "/>
    <m/>
    <n v="232867"/>
    <x v="7"/>
    <s v="sem"/>
    <s v="sem"/>
    <m/>
    <m/>
    <n v="43252"/>
    <n v="44203"/>
    <n v="11555"/>
    <n v="11068"/>
    <n v="45359"/>
    <n v="42969"/>
    <n v="100166"/>
    <n v="3338.8666666666668"/>
    <n v="98240"/>
    <n v="3274.6666666666665"/>
    <n v="26689"/>
    <n v="27899"/>
    <n v="100166"/>
    <n v="98240"/>
    <m/>
    <m/>
    <m/>
    <m/>
    <m/>
    <m/>
    <m/>
    <m/>
    <n v="0"/>
    <n v="0"/>
    <n v="0"/>
    <n v="0"/>
    <m/>
    <m/>
    <n v="0"/>
    <n v="0"/>
  </r>
  <r>
    <x v="14"/>
    <s v="Patrick Henry Community College "/>
    <m/>
    <n v="233019"/>
    <x v="7"/>
    <s v="sem"/>
    <s v="sem"/>
    <m/>
    <m/>
    <n v="31372"/>
    <n v="31342"/>
    <n v="10053"/>
    <n v="10391"/>
    <n v="33634"/>
    <n v="31537"/>
    <n v="75059"/>
    <n v="2501.9666666666667"/>
    <n v="73270"/>
    <n v="2442.3333333333335"/>
    <n v="20496"/>
    <n v="22362"/>
    <n v="75059"/>
    <n v="73270"/>
    <m/>
    <m/>
    <m/>
    <m/>
    <m/>
    <m/>
    <m/>
    <m/>
    <n v="0"/>
    <n v="0"/>
    <n v="0"/>
    <n v="0"/>
    <m/>
    <m/>
    <n v="0"/>
    <n v="0"/>
  </r>
  <r>
    <x v="14"/>
    <s v="Piedmont Virginia Community College "/>
    <m/>
    <n v="233116"/>
    <x v="7"/>
    <s v="sem"/>
    <s v="sem"/>
    <m/>
    <m/>
    <n v="40280"/>
    <n v="39108"/>
    <n v="9578"/>
    <n v="10110"/>
    <n v="41772"/>
    <n v="42187"/>
    <n v="91630"/>
    <n v="3054.3333333333335"/>
    <n v="91405"/>
    <n v="3046.8333333333335"/>
    <n v="23669"/>
    <n v="23641"/>
    <n v="91630"/>
    <n v="91405"/>
    <m/>
    <m/>
    <m/>
    <m/>
    <m/>
    <m/>
    <m/>
    <m/>
    <n v="0"/>
    <n v="0"/>
    <n v="0"/>
    <n v="0"/>
    <m/>
    <m/>
    <n v="0"/>
    <n v="0"/>
  </r>
  <r>
    <x v="14"/>
    <s v="Southside Virginia Community College  "/>
    <m/>
    <n v="233639"/>
    <x v="7"/>
    <s v="sem"/>
    <s v="sem"/>
    <m/>
    <m/>
    <n v="49468"/>
    <n v="47196"/>
    <n v="15851"/>
    <n v="17221"/>
    <n v="54965"/>
    <n v="51494"/>
    <n v="120284"/>
    <n v="4009.4666666666667"/>
    <n v="115911"/>
    <n v="3863.7"/>
    <n v="56952"/>
    <n v="63550"/>
    <n v="120284"/>
    <n v="115911"/>
    <m/>
    <m/>
    <m/>
    <m/>
    <m/>
    <m/>
    <m/>
    <m/>
    <n v="0"/>
    <n v="0"/>
    <n v="0"/>
    <n v="0"/>
    <m/>
    <m/>
    <n v="0"/>
    <n v="0"/>
  </r>
  <r>
    <x v="14"/>
    <s v="Southwest Virginia Community College "/>
    <s v="Met the criteria for Two-Year 3 in 2012-13."/>
    <n v="233648"/>
    <x v="7"/>
    <s v="sem"/>
    <s v="sem"/>
    <m/>
    <m/>
    <n v="28095"/>
    <n v="24684"/>
    <n v="9907"/>
    <n v="9797"/>
    <n v="28828"/>
    <n v="24876"/>
    <n v="66830"/>
    <n v="2227.6666666666665"/>
    <n v="59357"/>
    <n v="1978.5666666666666"/>
    <n v="20545"/>
    <n v="19271"/>
    <n v="66830"/>
    <n v="59357"/>
    <m/>
    <m/>
    <m/>
    <m/>
    <m/>
    <m/>
    <m/>
    <m/>
    <n v="0"/>
    <n v="0"/>
    <n v="0"/>
    <n v="0"/>
    <m/>
    <m/>
    <n v="0"/>
    <n v="0"/>
  </r>
  <r>
    <x v="14"/>
    <s v="Virginia Western Community College "/>
    <m/>
    <n v="233949"/>
    <x v="7"/>
    <s v="sem"/>
    <s v="sem"/>
    <m/>
    <m/>
    <n v="64855"/>
    <n v="63610"/>
    <n v="16210"/>
    <n v="16665"/>
    <n v="66680"/>
    <n v="66570"/>
    <n v="147745"/>
    <n v="4924.833333333333"/>
    <n v="146845"/>
    <n v="4894.833333333333"/>
    <n v="36689"/>
    <n v="35649"/>
    <n v="147745"/>
    <n v="146845"/>
    <m/>
    <m/>
    <m/>
    <m/>
    <m/>
    <m/>
    <m/>
    <m/>
    <n v="0"/>
    <n v="0"/>
    <n v="0"/>
    <n v="0"/>
    <m/>
    <m/>
    <n v="0"/>
    <n v="0"/>
  </r>
  <r>
    <x v="14"/>
    <s v="Wytheville Community College "/>
    <m/>
    <n v="234377"/>
    <x v="7"/>
    <s v="sem"/>
    <s v="sem"/>
    <m/>
    <m/>
    <n v="30591"/>
    <n v="28458"/>
    <n v="11004"/>
    <n v="10541"/>
    <n v="31021"/>
    <n v="30401"/>
    <n v="72616"/>
    <n v="2420.5333333333333"/>
    <n v="69400"/>
    <n v="2313.3333333333335"/>
    <n v="22857"/>
    <n v="24178"/>
    <n v="72616"/>
    <n v="69400"/>
    <m/>
    <m/>
    <m/>
    <m/>
    <m/>
    <m/>
    <m/>
    <m/>
    <n v="0"/>
    <n v="0"/>
    <n v="0"/>
    <n v="0"/>
    <m/>
    <m/>
    <n v="0"/>
    <n v="0"/>
  </r>
  <r>
    <x v="14"/>
    <s v="D.S. Lancaster Community College "/>
    <m/>
    <n v="231873"/>
    <x v="8"/>
    <s v="sem"/>
    <s v="sem"/>
    <m/>
    <m/>
    <n v="11099"/>
    <n v="11160"/>
    <n v="2749"/>
    <n v="2900"/>
    <n v="12784"/>
    <n v="11931"/>
    <n v="26632"/>
    <n v="887.73333333333335"/>
    <n v="25991"/>
    <n v="866.36666666666667"/>
    <n v="8949"/>
    <n v="9103"/>
    <n v="26632"/>
    <n v="25991"/>
    <m/>
    <m/>
    <m/>
    <m/>
    <m/>
    <m/>
    <m/>
    <m/>
    <n v="0"/>
    <n v="0"/>
    <n v="0"/>
    <n v="0"/>
    <m/>
    <m/>
    <n v="0"/>
    <n v="0"/>
  </r>
  <r>
    <x v="14"/>
    <s v="Eastern Shore Community College  "/>
    <m/>
    <n v="232052"/>
    <x v="8"/>
    <s v="sem"/>
    <s v="sem"/>
    <m/>
    <m/>
    <n v="9373"/>
    <n v="8578"/>
    <n v="1746"/>
    <n v="1516"/>
    <n v="9093"/>
    <n v="8341"/>
    <n v="20212"/>
    <n v="673.73333333333335"/>
    <n v="18435"/>
    <n v="614.5"/>
    <n v="5181"/>
    <n v="4877"/>
    <n v="20212"/>
    <n v="18435"/>
    <m/>
    <m/>
    <m/>
    <m/>
    <m/>
    <m/>
    <m/>
    <m/>
    <n v="0"/>
    <n v="0"/>
    <n v="0"/>
    <n v="0"/>
    <m/>
    <m/>
    <n v="0"/>
    <n v="0"/>
  </r>
  <r>
    <x v="14"/>
    <s v="Mountain Empire Community College"/>
    <s v="Reclassified: Met the criteria for Two-Year 2 in 2010-11, 2011-12, and 2012-13."/>
    <n v="232788"/>
    <x v="7"/>
    <s v="sem"/>
    <s v="sem"/>
    <m/>
    <m/>
    <n v="27184"/>
    <n v="25521"/>
    <n v="8105"/>
    <n v="7806"/>
    <n v="29806"/>
    <n v="28344"/>
    <n v="65095"/>
    <n v="2169.8333333333335"/>
    <n v="61671"/>
    <n v="2055.6999999999998"/>
    <n v="20685"/>
    <n v="19970"/>
    <n v="65095"/>
    <n v="61671"/>
    <m/>
    <m/>
    <m/>
    <m/>
    <m/>
    <m/>
    <m/>
    <m/>
    <n v="0"/>
    <n v="0"/>
    <n v="0"/>
    <n v="0"/>
    <m/>
    <m/>
    <n v="0"/>
    <n v="0"/>
  </r>
  <r>
    <x v="14"/>
    <s v="Paul D. Camp Community College  "/>
    <m/>
    <n v="233037"/>
    <x v="8"/>
    <s v="sem"/>
    <s v="sem"/>
    <m/>
    <m/>
    <n v="13573"/>
    <n v="13066"/>
    <n v="5713"/>
    <n v="5860"/>
    <n v="13923"/>
    <n v="11864"/>
    <n v="33209"/>
    <n v="1106.9666666666667"/>
    <n v="30790"/>
    <n v="1026.3333333333333"/>
    <n v="8874"/>
    <n v="9500"/>
    <n v="33209"/>
    <n v="30790"/>
    <m/>
    <m/>
    <m/>
    <m/>
    <m/>
    <m/>
    <m/>
    <m/>
    <n v="0"/>
    <n v="0"/>
    <n v="0"/>
    <n v="0"/>
    <m/>
    <m/>
    <n v="0"/>
    <n v="0"/>
  </r>
  <r>
    <x v="14"/>
    <s v="Rappahannock Community College  "/>
    <s v="Met the criteria for Two-Year 2 in 2011-12 and 2012-13."/>
    <n v="233310"/>
    <x v="8"/>
    <s v="sem"/>
    <s v="sem"/>
    <m/>
    <m/>
    <n v="26314"/>
    <n v="26560"/>
    <n v="6466"/>
    <n v="7115"/>
    <n v="28026"/>
    <n v="28562"/>
    <n v="60806"/>
    <n v="2026.8666666666666"/>
    <n v="62237"/>
    <n v="2074.5666666666666"/>
    <n v="39065"/>
    <n v="41490"/>
    <n v="60806"/>
    <n v="62237"/>
    <m/>
    <m/>
    <m/>
    <m/>
    <m/>
    <m/>
    <m/>
    <m/>
    <n v="0"/>
    <n v="0"/>
    <n v="0"/>
    <n v="0"/>
    <m/>
    <m/>
    <n v="0"/>
    <n v="0"/>
  </r>
  <r>
    <x v="14"/>
    <s v="Richard Bland College "/>
    <m/>
    <n v="233338"/>
    <x v="8"/>
    <s v="sem"/>
    <s v="sem"/>
    <m/>
    <m/>
    <n v="15096"/>
    <n v="15080"/>
    <n v="2853"/>
    <n v="2691"/>
    <n v="17304"/>
    <n v="16747"/>
    <n v="35253"/>
    <n v="1175.0999999999999"/>
    <n v="34518"/>
    <n v="1150.5999999999999"/>
    <n v="4287"/>
    <n v="4931"/>
    <n v="35253"/>
    <n v="34518"/>
    <m/>
    <m/>
    <m/>
    <m/>
    <m/>
    <m/>
    <m/>
    <m/>
    <n v="0"/>
    <n v="0"/>
    <n v="0"/>
    <n v="0"/>
    <m/>
    <m/>
    <n v="0"/>
    <n v="0"/>
  </r>
  <r>
    <x v="14"/>
    <s v="Virginia Highlands Community College "/>
    <m/>
    <n v="233903"/>
    <x v="8"/>
    <s v="sem"/>
    <s v="sem"/>
    <m/>
    <m/>
    <n v="23290"/>
    <n v="22800"/>
    <n v="5333"/>
    <n v="5927"/>
    <n v="26350"/>
    <n v="23828"/>
    <n v="54973"/>
    <n v="1832.4333333333334"/>
    <n v="52555"/>
    <n v="1751.8333333333333"/>
    <n v="15623"/>
    <n v="16077"/>
    <n v="54973"/>
    <n v="52555"/>
    <m/>
    <m/>
    <m/>
    <m/>
    <m/>
    <m/>
    <m/>
    <m/>
    <n v="0"/>
    <n v="0"/>
    <n v="0"/>
    <n v="0"/>
    <m/>
    <m/>
    <n v="0"/>
    <n v="0"/>
  </r>
  <r>
    <x v="14"/>
    <m/>
    <s v="all 8's"/>
    <m/>
    <x v="14"/>
    <m/>
    <m/>
    <m/>
    <m/>
    <n v="916791"/>
    <m/>
    <n v="337767"/>
    <m/>
    <n v="961980"/>
    <m/>
    <n v="2216538"/>
    <n v="73884.600000000006"/>
    <n v="0"/>
    <n v="0"/>
    <n v="81589"/>
    <n v="0"/>
    <n v="2216538"/>
    <n v="0"/>
    <m/>
    <m/>
    <m/>
    <m/>
    <m/>
    <m/>
    <m/>
    <m/>
    <n v="0"/>
    <n v="0"/>
    <n v="0"/>
    <n v="0"/>
    <m/>
    <m/>
    <n v="0"/>
    <n v="0"/>
  </r>
  <r>
    <x v="14"/>
    <m/>
    <s v="all 9's"/>
    <m/>
    <x v="15"/>
    <m/>
    <m/>
    <m/>
    <m/>
    <n v="591242"/>
    <m/>
    <n v="169147"/>
    <m/>
    <n v="636010"/>
    <m/>
    <n v="1396399"/>
    <n v="46546.633333333331"/>
    <n v="0"/>
    <n v="0"/>
    <n v="371173"/>
    <m/>
    <n v="1396399"/>
    <n v="0"/>
    <m/>
    <m/>
    <m/>
    <m/>
    <m/>
    <m/>
    <m/>
    <m/>
    <n v="0"/>
    <n v="0"/>
    <n v="0"/>
    <n v="0"/>
    <m/>
    <m/>
    <n v="0"/>
    <n v="0"/>
  </r>
  <r>
    <x v="14"/>
    <m/>
    <s v="All'10's except R.B."/>
    <m/>
    <x v="16"/>
    <m/>
    <m/>
    <m/>
    <m/>
    <n v="110833"/>
    <m/>
    <n v="30112"/>
    <m/>
    <n v="119982"/>
    <m/>
    <n v="260927"/>
    <n v="8697.5666666666675"/>
    <n v="0"/>
    <n v="0"/>
    <n v="98377"/>
    <m/>
    <n v="260927"/>
    <n v="0"/>
    <m/>
    <m/>
    <m/>
    <m/>
    <m/>
    <m/>
    <m/>
    <m/>
    <n v="0"/>
    <n v="0"/>
    <n v="0"/>
    <n v="0"/>
    <m/>
    <m/>
    <n v="0"/>
    <n v="0"/>
  </r>
  <r>
    <x v="14"/>
    <s v="Richard Bland College B"/>
    <m/>
    <n v="233338"/>
    <x v="16"/>
    <s v="sem"/>
    <s v="sem"/>
    <m/>
    <m/>
    <n v="26314"/>
    <m/>
    <n v="6466"/>
    <m/>
    <n v="28026"/>
    <m/>
    <n v="60806"/>
    <n v="2026.8666666666666"/>
    <n v="0"/>
    <n v="0"/>
    <n v="39065"/>
    <m/>
    <n v="60806"/>
    <n v="0"/>
    <m/>
    <m/>
    <m/>
    <m/>
    <m/>
    <m/>
    <m/>
    <m/>
    <n v="0"/>
    <n v="0"/>
    <n v="0"/>
    <n v="0"/>
    <m/>
    <m/>
    <n v="0"/>
    <n v="0"/>
  </r>
  <r>
    <x v="14"/>
    <s v="All Community Colleges except R. Bland"/>
    <m/>
    <s v="All CC - Bland"/>
    <x v="12"/>
    <s v="sem"/>
    <s v="sem"/>
    <m/>
    <m/>
    <n v="1607648"/>
    <m/>
    <n v="533413"/>
    <m/>
    <n v="1707250"/>
    <m/>
    <n v="3848311"/>
    <n v="128277.03333333334"/>
    <n v="0"/>
    <n v="0"/>
    <n v="516361"/>
    <m/>
    <n v="3848311"/>
    <n v="0"/>
    <m/>
    <m/>
    <m/>
    <m/>
    <m/>
    <m/>
    <m/>
    <m/>
    <n v="0"/>
    <n v="0"/>
    <n v="0"/>
    <n v="0"/>
    <m/>
    <m/>
    <n v="0"/>
    <n v="0"/>
  </r>
  <r>
    <x v="15"/>
    <s v="West Virginia University"/>
    <m/>
    <n v="238032"/>
    <x v="0"/>
    <s v="sem"/>
    <s v="sem"/>
    <m/>
    <m/>
    <n v="292311"/>
    <n v="296949"/>
    <n v="40962"/>
    <n v="41146"/>
    <n v="322365"/>
    <n v="323322"/>
    <n v="655638"/>
    <n v="21854.6"/>
    <n v="661417"/>
    <n v="22047.233333333334"/>
    <n v="3023"/>
    <n v="3343"/>
    <n v="655638"/>
    <n v="661417"/>
    <m/>
    <m/>
    <m/>
    <m/>
    <m/>
    <m/>
    <m/>
    <m/>
    <n v="0"/>
    <n v="0"/>
    <n v="0"/>
    <n v="0"/>
    <m/>
    <m/>
    <n v="0"/>
    <n v="0"/>
  </r>
  <r>
    <x v="15"/>
    <s v="Marshall University "/>
    <m/>
    <n v="237525"/>
    <x v="2"/>
    <s v="sem"/>
    <s v="sem"/>
    <m/>
    <m/>
    <n v="119513"/>
    <n v="116953"/>
    <n v="19524"/>
    <n v="16461"/>
    <n v="131409"/>
    <n v="130646"/>
    <n v="270446"/>
    <n v="9014.8666666666668"/>
    <n v="264060"/>
    <n v="8802"/>
    <n v="4055"/>
    <n v="4215"/>
    <n v="270446"/>
    <n v="264060"/>
    <m/>
    <m/>
    <m/>
    <m/>
    <m/>
    <m/>
    <m/>
    <m/>
    <n v="0"/>
    <n v="0"/>
    <n v="0"/>
    <n v="0"/>
    <m/>
    <m/>
    <n v="0"/>
    <n v="0"/>
  </r>
  <r>
    <x v="15"/>
    <s v="Fairmont State University"/>
    <m/>
    <n v="237367"/>
    <x v="4"/>
    <s v="sem"/>
    <s v="sem"/>
    <m/>
    <m/>
    <n v="54393"/>
    <n v="52632"/>
    <n v="7303"/>
    <n v="6860"/>
    <n v="57398"/>
    <n v="56311"/>
    <n v="119094"/>
    <n v="3969.8"/>
    <n v="115803"/>
    <n v="3860.1"/>
    <n v="55"/>
    <n v="36"/>
    <n v="119094"/>
    <n v="115803"/>
    <m/>
    <m/>
    <m/>
    <m/>
    <m/>
    <m/>
    <m/>
    <m/>
    <n v="0"/>
    <n v="0"/>
    <n v="0"/>
    <n v="0"/>
    <m/>
    <m/>
    <n v="0"/>
    <n v="0"/>
  </r>
  <r>
    <x v="15"/>
    <s v="Shepherd University "/>
    <m/>
    <n v="237792"/>
    <x v="4"/>
    <s v="sem"/>
    <s v="sem"/>
    <m/>
    <m/>
    <n v="52147"/>
    <n v="51726.5"/>
    <n v="4462"/>
    <n v="4213"/>
    <n v="56757.5"/>
    <n v="55886.5"/>
    <n v="113366.5"/>
    <n v="3778.8833333333332"/>
    <n v="111826"/>
    <n v="3727.5333333333333"/>
    <n v="53"/>
    <n v="106"/>
    <n v="113366.5"/>
    <n v="111826"/>
    <m/>
    <m/>
    <m/>
    <m/>
    <m/>
    <m/>
    <m/>
    <m/>
    <n v="0"/>
    <n v="0"/>
    <n v="0"/>
    <n v="0"/>
    <m/>
    <m/>
    <n v="0"/>
    <n v="0"/>
  </r>
  <r>
    <x v="15"/>
    <s v="Bluefield State College "/>
    <m/>
    <n v="237215"/>
    <x v="5"/>
    <s v="sem"/>
    <s v="sem"/>
    <m/>
    <m/>
    <n v="24279"/>
    <n v="24278"/>
    <n v="3834"/>
    <n v="3108"/>
    <n v="25568"/>
    <n v="25885"/>
    <n v="53681"/>
    <n v="1789.3666666666666"/>
    <n v="53271"/>
    <n v="1775.7"/>
    <n v="275"/>
    <n v="349"/>
    <n v="53681"/>
    <n v="53271"/>
    <m/>
    <m/>
    <m/>
    <m/>
    <m/>
    <m/>
    <m/>
    <m/>
    <n v="0"/>
    <n v="0"/>
    <n v="0"/>
    <n v="0"/>
    <m/>
    <m/>
    <n v="0"/>
    <n v="0"/>
  </r>
  <r>
    <x v="15"/>
    <s v="Concord University "/>
    <m/>
    <n v="237330"/>
    <x v="5"/>
    <s v="sem"/>
    <s v="sem"/>
    <m/>
    <m/>
    <n v="37071"/>
    <n v="34587"/>
    <n v="4258"/>
    <n v="4041"/>
    <n v="39794"/>
    <n v="37969"/>
    <n v="81123"/>
    <n v="2704.1"/>
    <n v="76597"/>
    <n v="2553.2333333333331"/>
    <n v="916"/>
    <n v="739"/>
    <n v="81123"/>
    <n v="76597"/>
    <m/>
    <m/>
    <m/>
    <m/>
    <m/>
    <m/>
    <m/>
    <m/>
    <n v="0"/>
    <n v="0"/>
    <n v="0"/>
    <n v="0"/>
    <m/>
    <m/>
    <n v="0"/>
    <n v="0"/>
  </r>
  <r>
    <x v="15"/>
    <s v="Glenville State College "/>
    <m/>
    <n v="237385"/>
    <x v="5"/>
    <s v="sem"/>
    <s v="sem"/>
    <m/>
    <m/>
    <n v="20427.099999999999"/>
    <n v="19207"/>
    <n v="3115"/>
    <n v="2725"/>
    <n v="21475.1"/>
    <n v="21524.1"/>
    <n v="45017.2"/>
    <n v="1500.5733333333333"/>
    <n v="43456.1"/>
    <n v="1448.5366666666666"/>
    <n v="1366"/>
    <n v="1840"/>
    <n v="45017.2"/>
    <n v="43456.1"/>
    <m/>
    <m/>
    <m/>
    <m/>
    <m/>
    <m/>
    <m/>
    <m/>
    <n v="0"/>
    <n v="0"/>
    <n v="0"/>
    <n v="0"/>
    <m/>
    <m/>
    <n v="0"/>
    <n v="0"/>
  </r>
  <r>
    <x v="15"/>
    <s v="West Liberty University"/>
    <m/>
    <n v="237932"/>
    <x v="5"/>
    <s v="sem"/>
    <s v="sem"/>
    <m/>
    <m/>
    <n v="35259"/>
    <n v="35783"/>
    <n v="2100"/>
    <n v="2472"/>
    <n v="39454"/>
    <n v="39287"/>
    <n v="76813"/>
    <n v="2560.4333333333334"/>
    <n v="77542"/>
    <n v="2584.7333333333331"/>
    <n v="1049"/>
    <n v="1473"/>
    <n v="76813"/>
    <n v="77542"/>
    <m/>
    <m/>
    <m/>
    <m/>
    <m/>
    <m/>
    <m/>
    <m/>
    <n v="0"/>
    <n v="0"/>
    <n v="0"/>
    <n v="0"/>
    <m/>
    <m/>
    <n v="0"/>
    <n v="0"/>
  </r>
  <r>
    <x v="15"/>
    <s v="West Virginia State University "/>
    <m/>
    <n v="237899"/>
    <x v="5"/>
    <s v="sem"/>
    <s v="sem"/>
    <m/>
    <m/>
    <n v="33558"/>
    <n v="30993"/>
    <n v="2737"/>
    <n v="2131"/>
    <n v="33566"/>
    <n v="31490"/>
    <n v="69861"/>
    <n v="2328.6999999999998"/>
    <n v="64614"/>
    <n v="2153.8000000000002"/>
    <n v="3077"/>
    <n v="2772"/>
    <n v="69861"/>
    <n v="64614"/>
    <m/>
    <m/>
    <m/>
    <m/>
    <m/>
    <m/>
    <m/>
    <m/>
    <n v="0"/>
    <n v="0"/>
    <n v="0"/>
    <n v="0"/>
    <m/>
    <m/>
    <n v="0"/>
    <n v="0"/>
  </r>
  <r>
    <x v="15"/>
    <s v="West Virginia University Institute of Technology"/>
    <m/>
    <n v="237950"/>
    <x v="5"/>
    <s v="sem"/>
    <s v="sem"/>
    <m/>
    <m/>
    <n v="15230"/>
    <n v="13594"/>
    <n v="1090"/>
    <n v="904"/>
    <n v="16657"/>
    <n v="14289"/>
    <n v="32977"/>
    <n v="1099.2333333333333"/>
    <n v="28787"/>
    <n v="959.56666666666672"/>
    <n v="991"/>
    <n v="738"/>
    <n v="32977"/>
    <n v="28787"/>
    <m/>
    <m/>
    <m/>
    <m/>
    <m/>
    <m/>
    <m/>
    <m/>
    <n v="0"/>
    <n v="0"/>
    <n v="0"/>
    <n v="0"/>
    <m/>
    <m/>
    <n v="0"/>
    <n v="0"/>
  </r>
  <r>
    <x v="15"/>
    <s v="Potomac State College of West Virginia University"/>
    <m/>
    <n v="237701"/>
    <x v="11"/>
    <s v="sem"/>
    <s v="sem"/>
    <m/>
    <m/>
    <n v="20574"/>
    <n v="19111"/>
    <n v="1918"/>
    <n v="1719"/>
    <n v="22570"/>
    <n v="22771"/>
    <n v="45062"/>
    <n v="1502.0666666666666"/>
    <n v="43601"/>
    <n v="1453.3666666666666"/>
    <n v="2317"/>
    <n v="2043"/>
    <n v="45062"/>
    <n v="43601"/>
    <m/>
    <m/>
    <m/>
    <m/>
    <m/>
    <m/>
    <m/>
    <m/>
    <n v="0"/>
    <n v="0"/>
    <n v="0"/>
    <n v="0"/>
    <m/>
    <m/>
    <n v="0"/>
    <n v="0"/>
  </r>
  <r>
    <x v="15"/>
    <s v="West Virginia University at Parkersburg"/>
    <m/>
    <n v="237686"/>
    <x v="11"/>
    <s v="sem"/>
    <s v="sem"/>
    <m/>
    <m/>
    <n v="47232"/>
    <n v="40909"/>
    <n v="10936"/>
    <n v="8115"/>
    <n v="45336"/>
    <n v="41550"/>
    <n v="103504"/>
    <n v="3450.1333333333332"/>
    <n v="90574"/>
    <n v="3019.1333333333332"/>
    <n v="3426"/>
    <n v="3385"/>
    <n v="103504"/>
    <n v="90574"/>
    <m/>
    <m/>
    <m/>
    <m/>
    <m/>
    <m/>
    <m/>
    <m/>
    <n v="0"/>
    <n v="0"/>
    <n v="0"/>
    <n v="0"/>
    <m/>
    <m/>
    <n v="0"/>
    <n v="0"/>
  </r>
  <r>
    <x v="15"/>
    <s v="New River Community &amp; Technical College"/>
    <s v="Reclassified: met criteria for Two-Year 2 in 2010-11, 2011-12, and 2012-13."/>
    <n v="447582"/>
    <x v="7"/>
    <s v="sem"/>
    <s v="sem"/>
    <m/>
    <m/>
    <n v="28725"/>
    <n v="28820"/>
    <n v="4482"/>
    <n v="6362"/>
    <n v="30326.5"/>
    <n v="29864"/>
    <n v="63533.5"/>
    <n v="2117.7833333333333"/>
    <n v="65046"/>
    <n v="2168.1999999999998"/>
    <n v="1939"/>
    <n v="1650"/>
    <n v="63533.5"/>
    <n v="65046"/>
    <m/>
    <m/>
    <m/>
    <m/>
    <m/>
    <m/>
    <m/>
    <m/>
    <n v="0"/>
    <n v="0"/>
    <n v="0"/>
    <n v="0"/>
    <m/>
    <m/>
    <n v="0"/>
    <n v="0"/>
  </r>
  <r>
    <x v="15"/>
    <s v="Pierpont Community &amp; Technical College"/>
    <s v="Reclassified: met criteria for Two-Year 2 in 2010-11, 2011-12, and 2012-13."/>
    <n v="443492"/>
    <x v="7"/>
    <s v="sem"/>
    <s v="sem"/>
    <m/>
    <m/>
    <n v="30478"/>
    <n v="30823"/>
    <n v="4727"/>
    <n v="4272"/>
    <n v="33094"/>
    <n v="32273"/>
    <n v="68299"/>
    <n v="2276.6333333333332"/>
    <n v="67368"/>
    <n v="2245.6"/>
    <n v="3921"/>
    <n v="3833"/>
    <n v="68299"/>
    <n v="67368"/>
    <m/>
    <m/>
    <m/>
    <m/>
    <m/>
    <m/>
    <m/>
    <m/>
    <n v="0"/>
    <n v="0"/>
    <n v="0"/>
    <n v="0"/>
    <m/>
    <m/>
    <n v="0"/>
    <n v="0"/>
  </r>
  <r>
    <x v="15"/>
    <s v="West Virginia Northern Community College"/>
    <s v="Met the criteria for Two-Year 3 in 2012-13."/>
    <n v="238014"/>
    <x v="7"/>
    <s v="sem"/>
    <s v="sem"/>
    <m/>
    <m/>
    <n v="32391.200000000001"/>
    <n v="25473"/>
    <n v="9928.5"/>
    <n v="7144"/>
    <n v="29346"/>
    <n v="24375.3"/>
    <n v="71665.7"/>
    <n v="2388.8566666666666"/>
    <n v="56992.3"/>
    <n v="1899.7433333333333"/>
    <n v="3170.5"/>
    <n v="2920"/>
    <n v="71665.7"/>
    <n v="56992.3"/>
    <m/>
    <m/>
    <m/>
    <m/>
    <m/>
    <m/>
    <m/>
    <m/>
    <n v="0"/>
    <n v="0"/>
    <n v="0"/>
    <n v="0"/>
    <m/>
    <m/>
    <n v="0"/>
    <n v="0"/>
  </r>
  <r>
    <x v="15"/>
    <s v="Blue Ridge Community &amp; Technical College"/>
    <m/>
    <n v="446774"/>
    <x v="8"/>
    <s v="sem"/>
    <s v="sem"/>
    <m/>
    <m/>
    <n v="24794.400000000001"/>
    <n v="27210.1"/>
    <n v="4480"/>
    <n v="3371.9"/>
    <n v="28410.3"/>
    <n v="27962.9"/>
    <n v="57684.7"/>
    <n v="1922.8233333333333"/>
    <n v="58544.9"/>
    <n v="1951.4966666666667"/>
    <n v="1299.3"/>
    <n v="1075.5999999999999"/>
    <n v="57684.7"/>
    <n v="58544.9"/>
    <m/>
    <m/>
    <m/>
    <m/>
    <m/>
    <m/>
    <m/>
    <m/>
    <n v="0"/>
    <n v="0"/>
    <n v="0"/>
    <n v="0"/>
    <m/>
    <m/>
    <n v="0"/>
    <n v="0"/>
  </r>
  <r>
    <x v="15"/>
    <s v="Bridgemont Community &amp; Technical College"/>
    <m/>
    <n v="445674"/>
    <x v="8"/>
    <s v="sem"/>
    <s v="sem"/>
    <m/>
    <m/>
    <n v="7919.5"/>
    <n v="7584"/>
    <n v="415"/>
    <n v="528"/>
    <n v="9297.2999999999993"/>
    <n v="9012"/>
    <n v="17631.8"/>
    <n v="587.72666666666669"/>
    <n v="17124"/>
    <n v="570.79999999999995"/>
    <n v="603"/>
    <n v="998"/>
    <n v="17631.8"/>
    <n v="17124"/>
    <m/>
    <m/>
    <m/>
    <m/>
    <m/>
    <m/>
    <m/>
    <m/>
    <n v="0"/>
    <n v="0"/>
    <n v="0"/>
    <n v="0"/>
    <m/>
    <m/>
    <n v="0"/>
    <n v="0"/>
  </r>
  <r>
    <x v="15"/>
    <s v="Eastern West Virginia Community &amp; Technical College"/>
    <m/>
    <n v="438708"/>
    <x v="8"/>
    <s v="sem"/>
    <s v="sem"/>
    <m/>
    <m/>
    <n v="5136"/>
    <n v="6250"/>
    <n v="942"/>
    <n v="1169"/>
    <n v="6472"/>
    <n v="6777"/>
    <n v="12550"/>
    <n v="418.33333333333331"/>
    <n v="14196"/>
    <n v="473.2"/>
    <n v="1132"/>
    <n v="1093"/>
    <n v="12550"/>
    <n v="14196"/>
    <m/>
    <m/>
    <m/>
    <m/>
    <m/>
    <m/>
    <m/>
    <m/>
    <n v="0"/>
    <n v="0"/>
    <n v="0"/>
    <n v="0"/>
    <m/>
    <m/>
    <n v="0"/>
    <n v="0"/>
  </r>
  <r>
    <x v="15"/>
    <s v="Kanawha Valley Community &amp; Technical College"/>
    <m/>
    <n v="445018"/>
    <x v="8"/>
    <s v="sem"/>
    <s v="sem"/>
    <m/>
    <m/>
    <n v="17884"/>
    <n v="16500.599999999999"/>
    <n v="1872"/>
    <n v="1627"/>
    <n v="17658"/>
    <n v="16324"/>
    <n v="37414"/>
    <n v="1247.1333333333334"/>
    <n v="34451.599999999999"/>
    <n v="1148.3866666666665"/>
    <n v="166"/>
    <n v="182"/>
    <n v="37414"/>
    <n v="34451.599999999999"/>
    <m/>
    <m/>
    <m/>
    <m/>
    <m/>
    <m/>
    <m/>
    <m/>
    <n v="0"/>
    <n v="0"/>
    <n v="0"/>
    <n v="0"/>
    <m/>
    <m/>
    <n v="0"/>
    <n v="0"/>
  </r>
  <r>
    <x v="15"/>
    <s v="Mountwest Community &amp; Technical College"/>
    <m/>
    <n v="444954"/>
    <x v="8"/>
    <s v="sem"/>
    <s v="sem"/>
    <m/>
    <m/>
    <n v="26117.8"/>
    <n v="23594.400000000001"/>
    <n v="5014"/>
    <n v="5964.2"/>
    <n v="27935.599999999999"/>
    <n v="26481"/>
    <n v="59067.399999999994"/>
    <n v="1968.9133333333332"/>
    <n v="56039.600000000006"/>
    <n v="1867.9866666666669"/>
    <n v="1376"/>
    <n v="1854.2"/>
    <n v="59067.399999999994"/>
    <n v="56039.600000000006"/>
    <m/>
    <m/>
    <m/>
    <m/>
    <m/>
    <m/>
    <m/>
    <m/>
    <n v="0"/>
    <n v="0"/>
    <n v="0"/>
    <n v="0"/>
    <m/>
    <m/>
    <n v="0"/>
    <n v="0"/>
  </r>
  <r>
    <x v="15"/>
    <s v="Southern West Virginia Community &amp; Technical College "/>
    <m/>
    <n v="237817"/>
    <x v="8"/>
    <s v="sem"/>
    <s v="sem"/>
    <m/>
    <m/>
    <n v="21340"/>
    <n v="20922"/>
    <n v="2679"/>
    <n v="1980"/>
    <n v="25278"/>
    <n v="24143"/>
    <n v="49297"/>
    <n v="1643.2333333333333"/>
    <n v="47045"/>
    <n v="1568.1666666666667"/>
    <n v="3273"/>
    <n v="1688"/>
    <n v="49297"/>
    <n v="47045"/>
    <m/>
    <m/>
    <m/>
    <m/>
    <m/>
    <m/>
    <m/>
    <m/>
    <n v="0"/>
    <n v="0"/>
    <n v="0"/>
    <n v="0"/>
    <m/>
    <m/>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3" cacheId="0" dataOnRows="1" applyNumberFormats="0" applyBorderFormats="0" applyFontFormats="0" applyPatternFormats="0" applyAlignmentFormats="0" applyWidthHeightFormats="1" dataCaption="Data" updatedVersion="4" minRefreshableVersion="3" asteriskTotals="1" showMultipleLabel="0" showMemberPropertyTips="0" useAutoFormatting="1" colGrandTotals="0" itemPrintTitles="1" createdVersion="3" indent="0" compact="0" compactData="0" gridDropZones="1">
  <location ref="A2:AA208" firstHeaderRow="1" firstDataRow="3" firstDataCol="2"/>
  <pivotFields count="64">
    <pivotField axis="axisRow" compact="0" outline="0" subtotalTop="0" showAll="0" includeNewItemsInFilter="1" sortType="ascending" rankBy="0">
      <items count="17">
        <item x="0"/>
        <item x="1"/>
        <item x="2"/>
        <item x="3"/>
        <item x="4"/>
        <item x="5"/>
        <item x="6"/>
        <item x="7"/>
        <item x="8"/>
        <item x="9"/>
        <item x="10"/>
        <item x="11"/>
        <item x="12"/>
        <item x="13"/>
        <item x="14"/>
        <item x="15"/>
        <item t="default"/>
      </items>
    </pivotField>
    <pivotField compact="0" outline="0" subtotalTop="0" showAll="0" includeNewItemsInFilter="1"/>
    <pivotField compact="0" outline="0" showAll="0" defaultSubtotal="0"/>
    <pivotField compact="0" outline="0" subtotalTop="0" showAll="0" includeNewItemsInFilter="1"/>
    <pivotField name="Category" axis="axisCol" compact="0" numFmtId="164" outline="0" subtotalTop="0" showAll="0" includeNewItemsInFilter="1">
      <items count="20">
        <item x="0"/>
        <item x="1"/>
        <item x="2"/>
        <item x="3"/>
        <item x="4"/>
        <item x="5"/>
        <item n="7" x="11"/>
        <item n="8" x="6"/>
        <item n="9" x="7"/>
        <item n="10" x="8"/>
        <item n="11" x="12"/>
        <item n="12" x="9"/>
        <item n="13" x="10"/>
        <item m="1" x="17"/>
        <item h="1" m="1" x="18"/>
        <item x="13"/>
        <item x="14"/>
        <item x="15"/>
        <item x="16"/>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numFmtId="3"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numFmtId="3" outline="0" showAll="0" defaultSubtotal="0"/>
    <pivotField compact="0" numFmtId="3"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numFmtId="3" outline="0" subtotalTop="0" showAll="0" includeNewItemsInFilter="1"/>
    <pivotField compact="0" outline="0" subtotalTop="0" showAll="0" includeNewItemsInFilter="1"/>
    <pivotField dataField="1" compact="0" numFmtId="3" outline="0" subtotalTop="0" showAll="0" includeNewItemsInFilter="1"/>
    <pivotField compact="0" outline="0" subtotalTop="0" showAll="0" includeNewItemsInFilter="1"/>
    <pivotField compact="0" outline="0" subtotalTop="0" showAll="0" includeNewItemsInFilter="1"/>
    <pivotField compact="0" numFmtId="3" outline="0" showAll="0" defaultSubtotal="0"/>
    <pivotField compact="0" numFmtId="3"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numFmtId="3" outline="0" subtotalTop="0" showAll="0" includeNewItemsInFilter="1"/>
    <pivotField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axis="axisCol" compact="0" outline="0" subtotalTop="0" showAll="0" includeNewItemsInFilter="1">
      <items count="10">
        <item n="Four-Year" x="2"/>
        <item n="Two-Year" x="3"/>
        <item n="11" x="1"/>
        <item n="Technical" x="4"/>
        <item h="1" x="0"/>
        <item x="5"/>
        <item x="6"/>
        <item x="7"/>
        <item x="8"/>
        <item t="default"/>
      </items>
    </pivotField>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2">
    <field x="0"/>
    <field x="-2"/>
  </rowFields>
  <rowItems count="204">
    <i>
      <x/>
      <x/>
    </i>
    <i r="1" i="1">
      <x v="1"/>
    </i>
    <i r="1" i="2">
      <x v="2"/>
    </i>
    <i r="1" i="3">
      <x v="3"/>
    </i>
    <i r="1" i="4">
      <x v="4"/>
    </i>
    <i r="1" i="5">
      <x v="5"/>
    </i>
    <i r="1" i="6">
      <x v="6"/>
    </i>
    <i r="1" i="7">
      <x v="7"/>
    </i>
    <i r="1" i="8">
      <x v="8"/>
    </i>
    <i r="1" i="9">
      <x v="9"/>
    </i>
    <i r="1" i="10">
      <x v="10"/>
    </i>
    <i r="1" i="11">
      <x v="11"/>
    </i>
    <i>
      <x v="1"/>
      <x/>
    </i>
    <i r="1" i="1">
      <x v="1"/>
    </i>
    <i r="1" i="2">
      <x v="2"/>
    </i>
    <i r="1" i="3">
      <x v="3"/>
    </i>
    <i r="1" i="4">
      <x v="4"/>
    </i>
    <i r="1" i="5">
      <x v="5"/>
    </i>
    <i r="1" i="6">
      <x v="6"/>
    </i>
    <i r="1" i="7">
      <x v="7"/>
    </i>
    <i r="1" i="8">
      <x v="8"/>
    </i>
    <i r="1" i="9">
      <x v="9"/>
    </i>
    <i r="1" i="10">
      <x v="10"/>
    </i>
    <i r="1" i="11">
      <x v="11"/>
    </i>
    <i>
      <x v="2"/>
      <x/>
    </i>
    <i r="1" i="1">
      <x v="1"/>
    </i>
    <i r="1" i="2">
      <x v="2"/>
    </i>
    <i r="1" i="3">
      <x v="3"/>
    </i>
    <i r="1" i="4">
      <x v="4"/>
    </i>
    <i r="1" i="5">
      <x v="5"/>
    </i>
    <i r="1" i="6">
      <x v="6"/>
    </i>
    <i r="1" i="7">
      <x v="7"/>
    </i>
    <i r="1" i="8">
      <x v="8"/>
    </i>
    <i r="1" i="9">
      <x v="9"/>
    </i>
    <i r="1" i="10">
      <x v="10"/>
    </i>
    <i r="1" i="11">
      <x v="11"/>
    </i>
    <i>
      <x v="3"/>
      <x/>
    </i>
    <i r="1" i="1">
      <x v="1"/>
    </i>
    <i r="1" i="2">
      <x v="2"/>
    </i>
    <i r="1" i="3">
      <x v="3"/>
    </i>
    <i r="1" i="4">
      <x v="4"/>
    </i>
    <i r="1" i="5">
      <x v="5"/>
    </i>
    <i r="1" i="6">
      <x v="6"/>
    </i>
    <i r="1" i="7">
      <x v="7"/>
    </i>
    <i r="1" i="8">
      <x v="8"/>
    </i>
    <i r="1" i="9">
      <x v="9"/>
    </i>
    <i r="1" i="10">
      <x v="10"/>
    </i>
    <i r="1" i="11">
      <x v="11"/>
    </i>
    <i>
      <x v="4"/>
      <x/>
    </i>
    <i r="1" i="1">
      <x v="1"/>
    </i>
    <i r="1" i="2">
      <x v="2"/>
    </i>
    <i r="1" i="3">
      <x v="3"/>
    </i>
    <i r="1" i="4">
      <x v="4"/>
    </i>
    <i r="1" i="5">
      <x v="5"/>
    </i>
    <i r="1" i="6">
      <x v="6"/>
    </i>
    <i r="1" i="7">
      <x v="7"/>
    </i>
    <i r="1" i="8">
      <x v="8"/>
    </i>
    <i r="1" i="9">
      <x v="9"/>
    </i>
    <i r="1" i="10">
      <x v="10"/>
    </i>
    <i r="1" i="11">
      <x v="11"/>
    </i>
    <i>
      <x v="5"/>
      <x/>
    </i>
    <i r="1" i="1">
      <x v="1"/>
    </i>
    <i r="1" i="2">
      <x v="2"/>
    </i>
    <i r="1" i="3">
      <x v="3"/>
    </i>
    <i r="1" i="4">
      <x v="4"/>
    </i>
    <i r="1" i="5">
      <x v="5"/>
    </i>
    <i r="1" i="6">
      <x v="6"/>
    </i>
    <i r="1" i="7">
      <x v="7"/>
    </i>
    <i r="1" i="8">
      <x v="8"/>
    </i>
    <i r="1" i="9">
      <x v="9"/>
    </i>
    <i r="1" i="10">
      <x v="10"/>
    </i>
    <i r="1" i="11">
      <x v="11"/>
    </i>
    <i>
      <x v="6"/>
      <x/>
    </i>
    <i r="1" i="1">
      <x v="1"/>
    </i>
    <i r="1" i="2">
      <x v="2"/>
    </i>
    <i r="1" i="3">
      <x v="3"/>
    </i>
    <i r="1" i="4">
      <x v="4"/>
    </i>
    <i r="1" i="5">
      <x v="5"/>
    </i>
    <i r="1" i="6">
      <x v="6"/>
    </i>
    <i r="1" i="7">
      <x v="7"/>
    </i>
    <i r="1" i="8">
      <x v="8"/>
    </i>
    <i r="1" i="9">
      <x v="9"/>
    </i>
    <i r="1" i="10">
      <x v="10"/>
    </i>
    <i r="1" i="11">
      <x v="11"/>
    </i>
    <i>
      <x v="7"/>
      <x/>
    </i>
    <i r="1" i="1">
      <x v="1"/>
    </i>
    <i r="1" i="2">
      <x v="2"/>
    </i>
    <i r="1" i="3">
      <x v="3"/>
    </i>
    <i r="1" i="4">
      <x v="4"/>
    </i>
    <i r="1" i="5">
      <x v="5"/>
    </i>
    <i r="1" i="6">
      <x v="6"/>
    </i>
    <i r="1" i="7">
      <x v="7"/>
    </i>
    <i r="1" i="8">
      <x v="8"/>
    </i>
    <i r="1" i="9">
      <x v="9"/>
    </i>
    <i r="1" i="10">
      <x v="10"/>
    </i>
    <i r="1" i="11">
      <x v="11"/>
    </i>
    <i>
      <x v="8"/>
      <x/>
    </i>
    <i r="1" i="1">
      <x v="1"/>
    </i>
    <i r="1" i="2">
      <x v="2"/>
    </i>
    <i r="1" i="3">
      <x v="3"/>
    </i>
    <i r="1" i="4">
      <x v="4"/>
    </i>
    <i r="1" i="5">
      <x v="5"/>
    </i>
    <i r="1" i="6">
      <x v="6"/>
    </i>
    <i r="1" i="7">
      <x v="7"/>
    </i>
    <i r="1" i="8">
      <x v="8"/>
    </i>
    <i r="1" i="9">
      <x v="9"/>
    </i>
    <i r="1" i="10">
      <x v="10"/>
    </i>
    <i r="1" i="11">
      <x v="11"/>
    </i>
    <i>
      <x v="9"/>
      <x/>
    </i>
    <i r="1" i="1">
      <x v="1"/>
    </i>
    <i r="1" i="2">
      <x v="2"/>
    </i>
    <i r="1" i="3">
      <x v="3"/>
    </i>
    <i r="1" i="4">
      <x v="4"/>
    </i>
    <i r="1" i="5">
      <x v="5"/>
    </i>
    <i r="1" i="6">
      <x v="6"/>
    </i>
    <i r="1" i="7">
      <x v="7"/>
    </i>
    <i r="1" i="8">
      <x v="8"/>
    </i>
    <i r="1" i="9">
      <x v="9"/>
    </i>
    <i r="1" i="10">
      <x v="10"/>
    </i>
    <i r="1" i="11">
      <x v="11"/>
    </i>
    <i>
      <x v="10"/>
      <x/>
    </i>
    <i r="1" i="1">
      <x v="1"/>
    </i>
    <i r="1" i="2">
      <x v="2"/>
    </i>
    <i r="1" i="3">
      <x v="3"/>
    </i>
    <i r="1" i="4">
      <x v="4"/>
    </i>
    <i r="1" i="5">
      <x v="5"/>
    </i>
    <i r="1" i="6">
      <x v="6"/>
    </i>
    <i r="1" i="7">
      <x v="7"/>
    </i>
    <i r="1" i="8">
      <x v="8"/>
    </i>
    <i r="1" i="9">
      <x v="9"/>
    </i>
    <i r="1" i="10">
      <x v="10"/>
    </i>
    <i r="1" i="11">
      <x v="11"/>
    </i>
    <i>
      <x v="11"/>
      <x/>
    </i>
    <i r="1" i="1">
      <x v="1"/>
    </i>
    <i r="1" i="2">
      <x v="2"/>
    </i>
    <i r="1" i="3">
      <x v="3"/>
    </i>
    <i r="1" i="4">
      <x v="4"/>
    </i>
    <i r="1" i="5">
      <x v="5"/>
    </i>
    <i r="1" i="6">
      <x v="6"/>
    </i>
    <i r="1" i="7">
      <x v="7"/>
    </i>
    <i r="1" i="8">
      <x v="8"/>
    </i>
    <i r="1" i="9">
      <x v="9"/>
    </i>
    <i r="1" i="10">
      <x v="10"/>
    </i>
    <i r="1" i="11">
      <x v="11"/>
    </i>
    <i>
      <x v="12"/>
      <x/>
    </i>
    <i r="1" i="1">
      <x v="1"/>
    </i>
    <i r="1" i="2">
      <x v="2"/>
    </i>
    <i r="1" i="3">
      <x v="3"/>
    </i>
    <i r="1" i="4">
      <x v="4"/>
    </i>
    <i r="1" i="5">
      <x v="5"/>
    </i>
    <i r="1" i="6">
      <x v="6"/>
    </i>
    <i r="1" i="7">
      <x v="7"/>
    </i>
    <i r="1" i="8">
      <x v="8"/>
    </i>
    <i r="1" i="9">
      <x v="9"/>
    </i>
    <i r="1" i="10">
      <x v="10"/>
    </i>
    <i r="1" i="11">
      <x v="11"/>
    </i>
    <i>
      <x v="13"/>
      <x/>
    </i>
    <i r="1" i="1">
      <x v="1"/>
    </i>
    <i r="1" i="2">
      <x v="2"/>
    </i>
    <i r="1" i="3">
      <x v="3"/>
    </i>
    <i r="1" i="4">
      <x v="4"/>
    </i>
    <i r="1" i="5">
      <x v="5"/>
    </i>
    <i r="1" i="6">
      <x v="6"/>
    </i>
    <i r="1" i="7">
      <x v="7"/>
    </i>
    <i r="1" i="8">
      <x v="8"/>
    </i>
    <i r="1" i="9">
      <x v="9"/>
    </i>
    <i r="1" i="10">
      <x v="10"/>
    </i>
    <i r="1" i="11">
      <x v="11"/>
    </i>
    <i>
      <x v="14"/>
      <x/>
    </i>
    <i r="1" i="1">
      <x v="1"/>
    </i>
    <i r="1" i="2">
      <x v="2"/>
    </i>
    <i r="1" i="3">
      <x v="3"/>
    </i>
    <i r="1" i="4">
      <x v="4"/>
    </i>
    <i r="1" i="5">
      <x v="5"/>
    </i>
    <i r="1" i="6">
      <x v="6"/>
    </i>
    <i r="1" i="7">
      <x v="7"/>
    </i>
    <i r="1" i="8">
      <x v="8"/>
    </i>
    <i r="1" i="9">
      <x v="9"/>
    </i>
    <i r="1" i="10">
      <x v="10"/>
    </i>
    <i r="1" i="11">
      <x v="11"/>
    </i>
    <i>
      <x v="15"/>
      <x/>
    </i>
    <i r="1" i="1">
      <x v="1"/>
    </i>
    <i r="1" i="2">
      <x v="2"/>
    </i>
    <i r="1" i="3">
      <x v="3"/>
    </i>
    <i r="1" i="4">
      <x v="4"/>
    </i>
    <i r="1" i="5">
      <x v="5"/>
    </i>
    <i r="1" i="6">
      <x v="6"/>
    </i>
    <i r="1" i="7">
      <x v="7"/>
    </i>
    <i r="1" i="8">
      <x v="8"/>
    </i>
    <i r="1" i="9">
      <x v="9"/>
    </i>
    <i r="1" i="10">
      <x v="10"/>
    </i>
    <i r="1" i="11">
      <x v="11"/>
    </i>
    <i t="grand">
      <x/>
    </i>
    <i t="grand" i="1">
      <x/>
    </i>
    <i t="grand" i="2">
      <x/>
    </i>
    <i t="grand" i="3">
      <x/>
    </i>
    <i t="grand" i="4">
      <x/>
    </i>
    <i t="grand" i="5">
      <x/>
    </i>
    <i t="grand" i="6">
      <x/>
    </i>
    <i t="grand" i="7">
      <x/>
    </i>
    <i t="grand" i="8">
      <x/>
    </i>
    <i t="grand" i="9">
      <x/>
    </i>
    <i t="grand" i="10">
      <x/>
    </i>
    <i t="grand" i="11">
      <x/>
    </i>
  </rowItems>
  <colFields count="2">
    <field x="60"/>
    <field x="4"/>
  </colFields>
  <colItems count="25">
    <i>
      <x/>
      <x/>
    </i>
    <i r="1">
      <x v="1"/>
    </i>
    <i r="1">
      <x v="2"/>
    </i>
    <i r="1">
      <x v="3"/>
    </i>
    <i r="1">
      <x v="4"/>
    </i>
    <i r="1">
      <x v="5"/>
    </i>
    <i t="default">
      <x/>
    </i>
    <i>
      <x v="1"/>
      <x v="6"/>
    </i>
    <i r="1">
      <x v="7"/>
    </i>
    <i r="1">
      <x v="8"/>
    </i>
    <i r="1">
      <x v="9"/>
    </i>
    <i t="default">
      <x v="1"/>
    </i>
    <i>
      <x v="2"/>
      <x v="10"/>
    </i>
    <i t="default">
      <x v="2"/>
    </i>
    <i>
      <x v="3"/>
      <x v="11"/>
    </i>
    <i r="1">
      <x v="12"/>
    </i>
    <i t="default">
      <x v="3"/>
    </i>
    <i>
      <x v="5"/>
      <x v="15"/>
    </i>
    <i t="default">
      <x v="5"/>
    </i>
    <i>
      <x v="6"/>
      <x v="16"/>
    </i>
    <i t="default">
      <x v="6"/>
    </i>
    <i>
      <x v="7"/>
      <x v="17"/>
    </i>
    <i t="default">
      <x v="7"/>
    </i>
    <i>
      <x v="8"/>
      <x v="18"/>
    </i>
    <i t="default">
      <x v="8"/>
    </i>
  </colItems>
  <dataFields count="12">
    <dataField name="Undergrad Student Credit Hour  FTE - Old" fld="16" baseField="0" baseItem="0" numFmtId="3"/>
    <dataField name="Undergrad Student Credit Hour FTE - New" fld="18" baseField="0" baseItem="0" numFmtId="3"/>
    <dataField name=" % Change Undergrad SCH FTE" fld="53" baseField="0" baseItem="0" numFmtId="166"/>
    <dataField name=" Undergrad Contact Hour FTE - Old" fld="32" baseField="0" baseItem="0" numFmtId="3"/>
    <dataField name=" Undergrad Contact Hour FTE - New" fld="34" baseField="0" baseItem="0" numFmtId="3"/>
    <dataField name=" % Change Undergrad CH FTE" fld="55" baseField="0" baseItem="0" numFmtId="166"/>
    <dataField name="Graduate FTE - Old" fld="48" baseField="0" baseItem="0" numFmtId="3"/>
    <dataField name="Graduate FTE - New" fld="50" baseField="0" baseItem="0" numFmtId="3"/>
    <dataField name=" % Change Graduate  FTE" fld="54" baseField="0" baseItem="0" numFmtId="166"/>
    <dataField name="Grand Total FTE - Old" fld="51" baseField="0" baseItem="0" numFmtId="3"/>
    <dataField name="Grand Total FTE - New" fld="52" baseField="0" baseItem="0" numFmtId="3"/>
    <dataField name=" % Change Grand Total FTE" fld="61" baseField="0" baseItem="0" numFmtId="166"/>
  </dataFields>
  <formats count="217">
    <format dxfId="499">
      <pivotArea type="all" dataOnly="0" outline="0" fieldPosition="0"/>
    </format>
    <format dxfId="498">
      <pivotArea type="all" dataOnly="0" outline="0" fieldPosition="0"/>
    </format>
    <format dxfId="497">
      <pivotArea type="all" dataOnly="0" outline="0" fieldPosition="0"/>
    </format>
    <format dxfId="496">
      <pivotArea type="all" dataOnly="0" outline="0" fieldPosition="0"/>
    </format>
    <format dxfId="495">
      <pivotArea dataOnly="0" outline="0" fieldPosition="0">
        <references count="1">
          <reference field="4294967294" count="1">
            <x v="2"/>
          </reference>
        </references>
      </pivotArea>
    </format>
    <format dxfId="494">
      <pivotArea dataOnly="0" outline="0" fieldPosition="0">
        <references count="1">
          <reference field="4294967294" count="1">
            <x v="5"/>
          </reference>
        </references>
      </pivotArea>
    </format>
    <format dxfId="493">
      <pivotArea dataOnly="0" outline="0" fieldPosition="0">
        <references count="1">
          <reference field="4294967294" count="1">
            <x v="8"/>
          </reference>
        </references>
      </pivotArea>
    </format>
    <format dxfId="492">
      <pivotArea dataOnly="0" outline="0" fieldPosition="0">
        <references count="1">
          <reference field="4294967294" count="1">
            <x v="2"/>
          </reference>
        </references>
      </pivotArea>
    </format>
    <format dxfId="491">
      <pivotArea dataOnly="0" outline="0" fieldPosition="0">
        <references count="1">
          <reference field="4294967294" count="1">
            <x v="5"/>
          </reference>
        </references>
      </pivotArea>
    </format>
    <format dxfId="490">
      <pivotArea dataOnly="0" outline="0" fieldPosition="0">
        <references count="1">
          <reference field="4294967294" count="1">
            <x v="8"/>
          </reference>
        </references>
      </pivotArea>
    </format>
    <format dxfId="489">
      <pivotArea outline="0" fieldPosition="0">
        <references count="2">
          <reference field="0" count="1" selected="0">
            <x v="4"/>
          </reference>
          <reference field="4" count="4" selected="0">
            <x v="2"/>
            <x v="3"/>
            <x v="4"/>
            <x v="5"/>
          </reference>
        </references>
      </pivotArea>
    </format>
    <format dxfId="488">
      <pivotArea dataOnly="0" labelOnly="1" outline="0" fieldPosition="0">
        <references count="1">
          <reference field="0" count="1">
            <x v="4"/>
          </reference>
        </references>
      </pivotArea>
    </format>
    <format dxfId="487">
      <pivotArea dataOnly="0" outline="0" fieldPosition="0">
        <references count="1">
          <reference field="4294967294" count="3">
            <x v="2"/>
            <x v="5"/>
            <x v="8"/>
          </reference>
        </references>
      </pivotArea>
    </format>
    <format dxfId="486">
      <pivotArea field="0" dataOnly="0" grandRow="1" outline="0" axis="axisRow" fieldPosition="0">
        <references count="1">
          <reference field="4294967294" count="1" selected="0">
            <x v="2"/>
          </reference>
        </references>
      </pivotArea>
    </format>
    <format dxfId="485">
      <pivotArea field="0" dataOnly="0" grandRow="1" outline="0" axis="axisRow" fieldPosition="0">
        <references count="1">
          <reference field="4294967294" count="1" selected="0">
            <x v="2"/>
          </reference>
        </references>
      </pivotArea>
    </format>
    <format dxfId="484">
      <pivotArea field="0" dataOnly="0" grandRow="1" outline="0" axis="axisRow" fieldPosition="0">
        <references count="1">
          <reference field="4294967294" count="1" selected="0">
            <x v="2"/>
          </reference>
        </references>
      </pivotArea>
    </format>
    <format dxfId="483">
      <pivotArea field="0" dataOnly="0" grandRow="1" outline="0" axis="axisRow" fieldPosition="0">
        <references count="1">
          <reference field="4294967294" count="1" selected="0">
            <x v="5"/>
          </reference>
        </references>
      </pivotArea>
    </format>
    <format dxfId="482">
      <pivotArea field="0" dataOnly="0" grandRow="1" outline="0" axis="axisRow" fieldPosition="0">
        <references count="1">
          <reference field="4294967294" count="1" selected="0">
            <x v="8"/>
          </reference>
        </references>
      </pivotArea>
    </format>
    <format dxfId="481">
      <pivotArea field="0" dataOnly="0" grandRow="1" outline="0" axis="axisRow" fieldPosition="0">
        <references count="1">
          <reference field="4294967294" count="1" selected="0">
            <x v="2"/>
          </reference>
        </references>
      </pivotArea>
    </format>
    <format dxfId="480">
      <pivotArea field="0" dataOnly="0" grandRow="1" outline="0" axis="axisRow" fieldPosition="0">
        <references count="1">
          <reference field="4294967294" count="1" selected="0">
            <x v="2"/>
          </reference>
        </references>
      </pivotArea>
    </format>
    <format dxfId="479">
      <pivotArea field="0" dataOnly="0" grandRow="1" outline="0" axis="axisRow" fieldPosition="0">
        <references count="1">
          <reference field="4294967294" count="1" selected="0">
            <x v="2"/>
          </reference>
        </references>
      </pivotArea>
    </format>
    <format dxfId="478">
      <pivotArea field="0" dataOnly="0" grandRow="1" outline="0" axis="axisRow" fieldPosition="0">
        <references count="1">
          <reference field="4294967294" count="1" selected="0">
            <x v="2"/>
          </reference>
        </references>
      </pivotArea>
    </format>
    <format dxfId="477">
      <pivotArea field="0" dataOnly="0" labelOnly="1" grandRow="1" outline="0" axis="axisRow" fieldPosition="0">
        <references count="1">
          <reference field="4294967294" count="1" selected="0">
            <x v="2"/>
          </reference>
        </references>
      </pivotArea>
    </format>
    <format dxfId="476">
      <pivotArea field="0" dataOnly="0" labelOnly="1" grandRow="1" outline="0" axis="axisRow" fieldPosition="0">
        <references count="1">
          <reference field="4294967294" count="1" selected="0">
            <x v="2"/>
          </reference>
        </references>
      </pivotArea>
    </format>
    <format dxfId="475">
      <pivotArea field="0" dataOnly="0" labelOnly="1" grandRow="1" outline="0" axis="axisRow" fieldPosition="0">
        <references count="1">
          <reference field="4294967294" count="1" selected="0">
            <x v="2"/>
          </reference>
        </references>
      </pivotArea>
    </format>
    <format dxfId="474">
      <pivotArea field="0" dataOnly="0" labelOnly="1" grandRow="1" outline="0" axis="axisRow" fieldPosition="0">
        <references count="1">
          <reference field="4294967294" count="1" selected="0">
            <x v="2"/>
          </reference>
        </references>
      </pivotArea>
    </format>
    <format dxfId="473">
      <pivotArea field="0" dataOnly="0" labelOnly="1" grandRow="1" outline="0" axis="axisRow" fieldPosition="0">
        <references count="1">
          <reference field="4294967294" count="1" selected="0">
            <x v="2"/>
          </reference>
        </references>
      </pivotArea>
    </format>
    <format dxfId="472">
      <pivotArea field="0" dataOnly="0" labelOnly="1" grandRow="1" outline="0" axis="axisRow" fieldPosition="0">
        <references count="1">
          <reference field="4294967294" count="1" selected="0">
            <x v="2"/>
          </reference>
        </references>
      </pivotArea>
    </format>
    <format dxfId="471">
      <pivotArea grandCol="1" outline="0" fieldPosition="0"/>
    </format>
    <format dxfId="470">
      <pivotArea type="topRight" dataOnly="0" labelOnly="1" outline="0" offset="I1" fieldPosition="0"/>
    </format>
    <format dxfId="469">
      <pivotArea dataOnly="0" labelOnly="1" grandCol="1" outline="0" fieldPosition="0"/>
    </format>
    <format dxfId="468">
      <pivotArea dataOnly="0" labelOnly="1" outline="0" fieldPosition="0">
        <references count="1">
          <reference field="4" count="1">
            <x v="6"/>
          </reference>
        </references>
      </pivotArea>
    </format>
    <format dxfId="467">
      <pivotArea dataOnly="0" labelOnly="1" outline="0" fieldPosition="0">
        <references count="1">
          <reference field="4" count="1">
            <x v="7"/>
          </reference>
        </references>
      </pivotArea>
    </format>
    <format dxfId="466">
      <pivotArea dataOnly="0" labelOnly="1" outline="0" fieldPosition="0">
        <references count="1">
          <reference field="4" count="1">
            <x v="8"/>
          </reference>
        </references>
      </pivotArea>
    </format>
    <format dxfId="465">
      <pivotArea dataOnly="0" labelOnly="1" outline="0" fieldPosition="0">
        <references count="1">
          <reference field="4" count="3">
            <x v="9"/>
            <x v="11"/>
            <x v="12"/>
          </reference>
        </references>
      </pivotArea>
    </format>
    <format dxfId="464">
      <pivotArea dataOnly="0" labelOnly="1" outline="0" fieldPosition="0">
        <references count="1">
          <reference field="4" count="1">
            <x v="10"/>
          </reference>
        </references>
      </pivotArea>
    </format>
    <format dxfId="463">
      <pivotArea type="all" dataOnly="0" outline="0" fieldPosition="0"/>
    </format>
    <format dxfId="462">
      <pivotArea dataOnly="0" labelOnly="1" grandCol="1" outline="0" offset="IV256" fieldPosition="0"/>
    </format>
    <format dxfId="461">
      <pivotArea dataOnly="0" labelOnly="1" grandCol="1" outline="0" offset="IV1" fieldPosition="0"/>
    </format>
    <format dxfId="460">
      <pivotArea type="origin" dataOnly="0" labelOnly="1" outline="0" fieldPosition="0"/>
    </format>
    <format dxfId="459">
      <pivotArea field="0" type="button" dataOnly="0" labelOnly="1" outline="0" axis="axisRow" fieldPosition="0"/>
    </format>
    <format dxfId="458">
      <pivotArea dataOnly="0" labelOnly="1" outline="0" fieldPosition="0">
        <references count="1">
          <reference field="0" count="0"/>
        </references>
      </pivotArea>
    </format>
    <format dxfId="457">
      <pivotArea field="-2" type="button" dataOnly="0" labelOnly="1" outline="0" axis="axisRow" fieldPosition="1"/>
    </format>
    <format dxfId="456">
      <pivotArea field="0" dataOnly="0" labelOnly="1" grandRow="1" outline="0" offset="IV256" axis="axisRow" fieldPosition="0">
        <references count="1">
          <reference field="4294967294" count="1" selected="0">
            <x v="0"/>
          </reference>
        </references>
      </pivotArea>
    </format>
    <format dxfId="455">
      <pivotArea field="0" dataOnly="0" labelOnly="1" grandRow="1" outline="0" offset="IV256" axis="axisRow" fieldPosition="0">
        <references count="1">
          <reference field="4294967294" count="1" selected="0">
            <x v="1"/>
          </reference>
        </references>
      </pivotArea>
    </format>
    <format dxfId="454">
      <pivotArea field="0" dataOnly="0" labelOnly="1" grandRow="1" outline="0" offset="IV256" axis="axisRow" fieldPosition="0">
        <references count="1">
          <reference field="4294967294" count="1" selected="0">
            <x v="2"/>
          </reference>
        </references>
      </pivotArea>
    </format>
    <format dxfId="453">
      <pivotArea field="0" dataOnly="0" labelOnly="1" grandRow="1" outline="0" offset="IV256" axis="axisRow" fieldPosition="0">
        <references count="1">
          <reference field="4294967294" count="1" selected="0">
            <x v="3"/>
          </reference>
        </references>
      </pivotArea>
    </format>
    <format dxfId="452">
      <pivotArea field="0" dataOnly="0" labelOnly="1" grandRow="1" outline="0" offset="IV256" axis="axisRow" fieldPosition="0">
        <references count="1">
          <reference field="4294967294" count="1" selected="0">
            <x v="4"/>
          </reference>
        </references>
      </pivotArea>
    </format>
    <format dxfId="451">
      <pivotArea field="0" dataOnly="0" labelOnly="1" grandRow="1" outline="0" offset="IV256" axis="axisRow" fieldPosition="0">
        <references count="1">
          <reference field="4294967294" count="1" selected="0">
            <x v="5"/>
          </reference>
        </references>
      </pivotArea>
    </format>
    <format dxfId="450">
      <pivotArea field="0" dataOnly="0" labelOnly="1" grandRow="1" outline="0" offset="IV256" axis="axisRow" fieldPosition="0">
        <references count="1">
          <reference field="4294967294" count="1" selected="0">
            <x v="6"/>
          </reference>
        </references>
      </pivotArea>
    </format>
    <format dxfId="449">
      <pivotArea field="0" dataOnly="0" labelOnly="1" grandRow="1" outline="0" offset="IV256" axis="axisRow" fieldPosition="0">
        <references count="1">
          <reference field="4294967294" count="1" selected="0">
            <x v="7"/>
          </reference>
        </references>
      </pivotArea>
    </format>
    <format dxfId="448">
      <pivotArea field="0" dataOnly="0" labelOnly="1" grandRow="1" outline="0" offset="IV256" axis="axisRow" fieldPosition="0">
        <references count="1">
          <reference field="4294967294" count="1" selected="0">
            <x v="8"/>
          </reference>
        </references>
      </pivotArea>
    </format>
    <format dxfId="447">
      <pivotArea field="0" dataOnly="0" labelOnly="1" grandRow="1" outline="0" offset="IV256" axis="axisRow" fieldPosition="0">
        <references count="1">
          <reference field="4294967294" count="1" selected="0">
            <x v="10"/>
          </reference>
        </references>
      </pivotArea>
    </format>
    <format dxfId="446">
      <pivotArea field="0" dataOnly="0" labelOnly="1" grandRow="1" outline="0" offset="IV256" axis="axisRow" fieldPosition="0">
        <references count="1">
          <reference field="4294967294" count="1" selected="0">
            <x v="11"/>
          </reference>
        </references>
      </pivotArea>
    </format>
    <format dxfId="445">
      <pivotArea dataOnly="0" labelOnly="1" outline="0" fieldPosition="0">
        <references count="2">
          <reference field="4294967294" count="0"/>
          <reference field="0" count="1" selected="0">
            <x v="4"/>
          </reference>
        </references>
      </pivotArea>
    </format>
    <format dxfId="444">
      <pivotArea type="topRight" dataOnly="0" labelOnly="1" outline="0" offset="E1" fieldPosition="0"/>
    </format>
    <format dxfId="443">
      <pivotArea type="all" dataOnly="0" outline="0" fieldPosition="0"/>
    </format>
    <format dxfId="442">
      <pivotArea type="topRight" dataOnly="0" labelOnly="1" outline="0" offset="F1" fieldPosition="0"/>
    </format>
    <format dxfId="441">
      <pivotArea type="topRight" dataOnly="0" labelOnly="1" outline="0" offset="J1" fieldPosition="0"/>
    </format>
    <format dxfId="440">
      <pivotArea type="topRight" dataOnly="0" labelOnly="1" outline="0" offset="K1" fieldPosition="0"/>
    </format>
    <format dxfId="439">
      <pivotArea type="origin" dataOnly="0" labelOnly="1" outline="0" offset="A2:B2" fieldPosition="0"/>
    </format>
    <format dxfId="438">
      <pivotArea dataOnly="0" labelOnly="1" outline="0" offset="IV1" fieldPosition="0">
        <references count="1">
          <reference field="0" count="1">
            <x v="4"/>
          </reference>
        </references>
      </pivotArea>
    </format>
    <format dxfId="437">
      <pivotArea type="origin" dataOnly="0" labelOnly="1" outline="0" fieldPosition="0"/>
    </format>
    <format dxfId="436">
      <pivotArea field="0" type="button" dataOnly="0" labelOnly="1" outline="0" axis="axisRow" fieldPosition="0"/>
    </format>
    <format dxfId="435">
      <pivotArea dataOnly="0" labelOnly="1" outline="0" fieldPosition="0">
        <references count="1">
          <reference field="0" count="0"/>
        </references>
      </pivotArea>
    </format>
    <format dxfId="434">
      <pivotArea field="0" dataOnly="0" labelOnly="1" grandRow="1" outline="0" offset="A256" axis="axisRow" fieldPosition="0">
        <references count="1">
          <reference field="4294967294" count="1" selected="0">
            <x v="0"/>
          </reference>
        </references>
      </pivotArea>
    </format>
    <format dxfId="433">
      <pivotArea field="0" dataOnly="0" labelOnly="1" grandRow="1" outline="0" offset="A256" axis="axisRow" fieldPosition="0">
        <references count="1">
          <reference field="4294967294" count="1" selected="0">
            <x v="1"/>
          </reference>
        </references>
      </pivotArea>
    </format>
    <format dxfId="432">
      <pivotArea field="0" dataOnly="0" labelOnly="1" grandRow="1" outline="0" offset="A256" axis="axisRow" fieldPosition="0">
        <references count="1">
          <reference field="4294967294" count="1" selected="0">
            <x v="2"/>
          </reference>
        </references>
      </pivotArea>
    </format>
    <format dxfId="431">
      <pivotArea field="0" dataOnly="0" labelOnly="1" grandRow="1" outline="0" offset="A256" axis="axisRow" fieldPosition="0">
        <references count="1">
          <reference field="4294967294" count="1" selected="0">
            <x v="3"/>
          </reference>
        </references>
      </pivotArea>
    </format>
    <format dxfId="430">
      <pivotArea field="0" dataOnly="0" labelOnly="1" grandRow="1" outline="0" offset="A256" axis="axisRow" fieldPosition="0">
        <references count="1">
          <reference field="4294967294" count="1" selected="0">
            <x v="4"/>
          </reference>
        </references>
      </pivotArea>
    </format>
    <format dxfId="429">
      <pivotArea field="0" dataOnly="0" labelOnly="1" grandRow="1" outline="0" offset="A256" axis="axisRow" fieldPosition="0">
        <references count="1">
          <reference field="4294967294" count="1" selected="0">
            <x v="5"/>
          </reference>
        </references>
      </pivotArea>
    </format>
    <format dxfId="428">
      <pivotArea field="0" dataOnly="0" labelOnly="1" grandRow="1" outline="0" offset="A256" axis="axisRow" fieldPosition="0">
        <references count="1">
          <reference field="4294967294" count="1" selected="0">
            <x v="6"/>
          </reference>
        </references>
      </pivotArea>
    </format>
    <format dxfId="427">
      <pivotArea field="0" dataOnly="0" labelOnly="1" grandRow="1" outline="0" offset="A256" axis="axisRow" fieldPosition="0">
        <references count="1">
          <reference field="4294967294" count="1" selected="0">
            <x v="7"/>
          </reference>
        </references>
      </pivotArea>
    </format>
    <format dxfId="426">
      <pivotArea field="0" dataOnly="0" labelOnly="1" grandRow="1" outline="0" offset="A256" axis="axisRow" fieldPosition="0">
        <references count="1">
          <reference field="4294967294" count="1" selected="0">
            <x v="8"/>
          </reference>
        </references>
      </pivotArea>
    </format>
    <format dxfId="425">
      <pivotArea field="0" dataOnly="0" labelOnly="1" grandRow="1" outline="0" offset="A256" axis="axisRow" fieldPosition="0">
        <references count="1">
          <reference field="4294967294" count="1" selected="0">
            <x v="10"/>
          </reference>
        </references>
      </pivotArea>
    </format>
    <format dxfId="424">
      <pivotArea field="0" dataOnly="0" labelOnly="1" grandRow="1" outline="0" offset="A256" axis="axisRow" fieldPosition="0">
        <references count="1">
          <reference field="4294967294" count="1" selected="0">
            <x v="11"/>
          </reference>
        </references>
      </pivotArea>
    </format>
    <format dxfId="423">
      <pivotArea dataOnly="0" labelOnly="1" outline="0" offset="IV256" fieldPosition="0">
        <references count="1">
          <reference field="0" count="1">
            <x v="4"/>
          </reference>
        </references>
      </pivotArea>
    </format>
    <format dxfId="422">
      <pivotArea dataOnly="0" labelOnly="1" outline="0" fieldPosition="0">
        <references count="2">
          <reference field="4294967294" count="1">
            <x v="11"/>
          </reference>
          <reference field="0" count="1" selected="0">
            <x v="4"/>
          </reference>
        </references>
      </pivotArea>
    </format>
    <format dxfId="421">
      <pivotArea dataOnly="0" labelOnly="1" outline="0" fieldPosition="0">
        <references count="2">
          <reference field="4294967294" count="1">
            <x v="11"/>
          </reference>
          <reference field="0" count="1" selected="0">
            <x v="4"/>
          </reference>
        </references>
      </pivotArea>
    </format>
    <format dxfId="420">
      <pivotArea dataOnly="0" labelOnly="1" outline="0" offset="IV256" fieldPosition="0">
        <references count="1">
          <reference field="60" count="1" defaultSubtotal="1">
            <x v="0"/>
          </reference>
        </references>
      </pivotArea>
    </format>
    <format dxfId="419">
      <pivotArea dataOnly="0" labelOnly="1" outline="0" offset="IV256" fieldPosition="0">
        <references count="1">
          <reference field="60" count="1" defaultSubtotal="1">
            <x v="1"/>
          </reference>
        </references>
      </pivotArea>
    </format>
    <format dxfId="418">
      <pivotArea dataOnly="0" labelOnly="1" outline="0" offset="IV256" fieldPosition="0">
        <references count="1">
          <reference field="60" count="1" defaultSubtotal="1">
            <x v="3"/>
          </reference>
        </references>
      </pivotArea>
    </format>
    <format dxfId="417">
      <pivotArea dataOnly="0" labelOnly="1" outline="0" fieldPosition="0">
        <references count="2">
          <reference field="4" count="6">
            <x v="0"/>
            <x v="1"/>
            <x v="2"/>
            <x v="3"/>
            <x v="4"/>
            <x v="5"/>
          </reference>
          <reference field="60" count="1" selected="0">
            <x v="0"/>
          </reference>
        </references>
      </pivotArea>
    </format>
    <format dxfId="416">
      <pivotArea dataOnly="0" labelOnly="1" outline="0" fieldPosition="0">
        <references count="2">
          <reference field="4" count="4">
            <x v="6"/>
            <x v="7"/>
            <x v="8"/>
            <x v="9"/>
          </reference>
          <reference field="60" count="1" selected="0">
            <x v="1"/>
          </reference>
        </references>
      </pivotArea>
    </format>
    <format dxfId="415">
      <pivotArea dataOnly="0" labelOnly="1" outline="0" fieldPosition="0">
        <references count="2">
          <reference field="4" count="3">
            <x v="11"/>
            <x v="12"/>
            <x v="13"/>
          </reference>
          <reference field="60" count="1" selected="0">
            <x v="3"/>
          </reference>
        </references>
      </pivotArea>
    </format>
    <format dxfId="414">
      <pivotArea dataOnly="0" labelOnly="1" outline="0" fieldPosition="0">
        <references count="1">
          <reference field="60" count="1" defaultSubtotal="1">
            <x v="0"/>
          </reference>
        </references>
      </pivotArea>
    </format>
    <format dxfId="413">
      <pivotArea dataOnly="0" labelOnly="1" outline="0" fieldPosition="0">
        <references count="1">
          <reference field="60" count="1" defaultSubtotal="1">
            <x v="1"/>
          </reference>
        </references>
      </pivotArea>
    </format>
    <format dxfId="412">
      <pivotArea dataOnly="0" labelOnly="1" outline="0" fieldPosition="0">
        <references count="1">
          <reference field="60" count="1" defaultSubtotal="1">
            <x v="3"/>
          </reference>
        </references>
      </pivotArea>
    </format>
    <format dxfId="411">
      <pivotArea field="0" dataOnly="0" labelOnly="1" grandRow="1" outline="0" axis="axisRow" fieldPosition="0">
        <references count="1">
          <reference field="4294967294" count="1" selected="0">
            <x v="0"/>
          </reference>
        </references>
      </pivotArea>
    </format>
    <format dxfId="410">
      <pivotArea field="0" dataOnly="0" labelOnly="1" grandRow="1" outline="0" axis="axisRow" fieldPosition="0">
        <references count="1">
          <reference field="4294967294" count="1" selected="0">
            <x v="1"/>
          </reference>
        </references>
      </pivotArea>
    </format>
    <format dxfId="409">
      <pivotArea field="0" dataOnly="0" labelOnly="1" grandRow="1" outline="0" axis="axisRow" fieldPosition="0">
        <references count="1">
          <reference field="4294967294" count="1" selected="0">
            <x v="2"/>
          </reference>
        </references>
      </pivotArea>
    </format>
    <format dxfId="408">
      <pivotArea field="0" dataOnly="0" labelOnly="1" grandRow="1" outline="0" axis="axisRow" fieldPosition="0">
        <references count="1">
          <reference field="4294967294" count="1" selected="0">
            <x v="3"/>
          </reference>
        </references>
      </pivotArea>
    </format>
    <format dxfId="407">
      <pivotArea field="0" dataOnly="0" labelOnly="1" grandRow="1" outline="0" axis="axisRow" fieldPosition="0">
        <references count="1">
          <reference field="4294967294" count="1" selected="0">
            <x v="4"/>
          </reference>
        </references>
      </pivotArea>
    </format>
    <format dxfId="406">
      <pivotArea field="0" dataOnly="0" labelOnly="1" grandRow="1" outline="0" axis="axisRow" fieldPosition="0">
        <references count="1">
          <reference field="4294967294" count="1" selected="0">
            <x v="5"/>
          </reference>
        </references>
      </pivotArea>
    </format>
    <format dxfId="405">
      <pivotArea field="0" dataOnly="0" labelOnly="1" grandRow="1" outline="0" axis="axisRow" fieldPosition="0">
        <references count="1">
          <reference field="4294967294" count="1" selected="0">
            <x v="6"/>
          </reference>
        </references>
      </pivotArea>
    </format>
    <format dxfId="404">
      <pivotArea field="0" dataOnly="0" labelOnly="1" grandRow="1" outline="0" axis="axisRow" fieldPosition="0">
        <references count="1">
          <reference field="4294967294" count="1" selected="0">
            <x v="7"/>
          </reference>
        </references>
      </pivotArea>
    </format>
    <format dxfId="403">
      <pivotArea field="0" dataOnly="0" labelOnly="1" grandRow="1" outline="0" axis="axisRow" fieldPosition="0">
        <references count="1">
          <reference field="4294967294" count="1" selected="0">
            <x v="8"/>
          </reference>
        </references>
      </pivotArea>
    </format>
    <format dxfId="402">
      <pivotArea field="0" dataOnly="0" labelOnly="1" grandRow="1" outline="0" axis="axisRow" fieldPosition="0">
        <references count="1">
          <reference field="4294967294" count="1" selected="0">
            <x v="9"/>
          </reference>
        </references>
      </pivotArea>
    </format>
    <format dxfId="401">
      <pivotArea field="0" dataOnly="0" labelOnly="1" grandRow="1" outline="0" axis="axisRow" fieldPosition="0">
        <references count="1">
          <reference field="4294967294" count="1" selected="0">
            <x v="10"/>
          </reference>
        </references>
      </pivotArea>
    </format>
    <format dxfId="400">
      <pivotArea field="0" dataOnly="0" labelOnly="1" grandRow="1" outline="0" axis="axisRow" fieldPosition="0">
        <references count="1">
          <reference field="4294967294" count="1" selected="0">
            <x v="11"/>
          </reference>
        </references>
      </pivotArea>
    </format>
    <format dxfId="399">
      <pivotArea outline="0" collapsedLevelsAreSubtotals="1" fieldPosition="0">
        <references count="4">
          <reference field="4294967294" count="1" selected="0">
            <x v="2"/>
          </reference>
          <reference field="0" count="1" selected="0">
            <x v="4"/>
          </reference>
          <reference field="4" count="1" selected="0">
            <x v="11"/>
          </reference>
          <reference field="60" count="1" selected="0">
            <x v="3"/>
          </reference>
        </references>
      </pivotArea>
    </format>
    <format dxfId="398">
      <pivotArea outline="0" collapsedLevelsAreSubtotals="1" fieldPosition="0">
        <references count="4">
          <reference field="4294967294" count="1" selected="0">
            <x v="2"/>
          </reference>
          <reference field="0" count="1" selected="0">
            <x v="4"/>
          </reference>
          <reference field="4" count="1" selected="0">
            <x v="12"/>
          </reference>
          <reference field="60" count="1" selected="0">
            <x v="3"/>
          </reference>
        </references>
      </pivotArea>
    </format>
    <format dxfId="397">
      <pivotArea field="0" dataOnly="0" labelOnly="1" grandRow="1" outline="0" axis="axisRow" fieldPosition="0">
        <references count="1">
          <reference field="4294967294" count="1" selected="0">
            <x v="0"/>
          </reference>
        </references>
      </pivotArea>
    </format>
    <format dxfId="396">
      <pivotArea field="0" dataOnly="0" labelOnly="1" grandRow="1" outline="0" axis="axisRow" fieldPosition="0">
        <references count="1">
          <reference field="4294967294" count="1" selected="0">
            <x v="1"/>
          </reference>
        </references>
      </pivotArea>
    </format>
    <format dxfId="395">
      <pivotArea field="0" dataOnly="0" labelOnly="1" grandRow="1" outline="0" axis="axisRow" fieldPosition="0">
        <references count="1">
          <reference field="4294967294" count="1" selected="0">
            <x v="2"/>
          </reference>
        </references>
      </pivotArea>
    </format>
    <format dxfId="394">
      <pivotArea field="0" dataOnly="0" labelOnly="1" grandRow="1" outline="0" axis="axisRow" fieldPosition="0">
        <references count="1">
          <reference field="4294967294" count="1" selected="0">
            <x v="3"/>
          </reference>
        </references>
      </pivotArea>
    </format>
    <format dxfId="393">
      <pivotArea field="0" dataOnly="0" labelOnly="1" grandRow="1" outline="0" axis="axisRow" fieldPosition="0">
        <references count="1">
          <reference field="4294967294" count="1" selected="0">
            <x v="4"/>
          </reference>
        </references>
      </pivotArea>
    </format>
    <format dxfId="392">
      <pivotArea field="0" dataOnly="0" labelOnly="1" grandRow="1" outline="0" axis="axisRow" fieldPosition="0">
        <references count="1">
          <reference field="4294967294" count="1" selected="0">
            <x v="5"/>
          </reference>
        </references>
      </pivotArea>
    </format>
    <format dxfId="391">
      <pivotArea field="0" dataOnly="0" labelOnly="1" grandRow="1" outline="0" axis="axisRow" fieldPosition="0">
        <references count="1">
          <reference field="4294967294" count="1" selected="0">
            <x v="6"/>
          </reference>
        </references>
      </pivotArea>
    </format>
    <format dxfId="390">
      <pivotArea field="0" dataOnly="0" labelOnly="1" grandRow="1" outline="0" axis="axisRow" fieldPosition="0">
        <references count="1">
          <reference field="4294967294" count="1" selected="0">
            <x v="7"/>
          </reference>
        </references>
      </pivotArea>
    </format>
    <format dxfId="389">
      <pivotArea field="0" dataOnly="0" labelOnly="1" grandRow="1" outline="0" axis="axisRow" fieldPosition="0">
        <references count="1">
          <reference field="4294967294" count="1" selected="0">
            <x v="8"/>
          </reference>
        </references>
      </pivotArea>
    </format>
    <format dxfId="388">
      <pivotArea field="0" dataOnly="0" labelOnly="1" grandRow="1" outline="0" axis="axisRow" fieldPosition="0">
        <references count="1">
          <reference field="4294967294" count="1" selected="0">
            <x v="9"/>
          </reference>
        </references>
      </pivotArea>
    </format>
    <format dxfId="387">
      <pivotArea field="0" dataOnly="0" labelOnly="1" grandRow="1" outline="0" axis="axisRow" fieldPosition="0">
        <references count="1">
          <reference field="4294967294" count="1" selected="0">
            <x v="10"/>
          </reference>
        </references>
      </pivotArea>
    </format>
    <format dxfId="386">
      <pivotArea field="0" dataOnly="0" labelOnly="1" grandRow="1" outline="0" axis="axisRow" fieldPosition="0">
        <references count="1">
          <reference field="4294967294" count="1" selected="0">
            <x v="11"/>
          </reference>
        </references>
      </pivotArea>
    </format>
    <format dxfId="385">
      <pivotArea field="0" dataOnly="0" labelOnly="1" grandRow="1" outline="0" offset="IV256" axis="axisRow" fieldPosition="0">
        <references count="1">
          <reference field="4294967294" count="1" selected="0">
            <x v="0"/>
          </reference>
        </references>
      </pivotArea>
    </format>
    <format dxfId="384">
      <pivotArea field="0" dataOnly="0" labelOnly="1" grandRow="1" outline="0" offset="IV256" axis="axisRow" fieldPosition="0">
        <references count="1">
          <reference field="4294967294" count="1" selected="0">
            <x v="1"/>
          </reference>
        </references>
      </pivotArea>
    </format>
    <format dxfId="383">
      <pivotArea field="0" dataOnly="0" labelOnly="1" grandRow="1" outline="0" offset="IV256" axis="axisRow" fieldPosition="0">
        <references count="1">
          <reference field="4294967294" count="1" selected="0">
            <x v="2"/>
          </reference>
        </references>
      </pivotArea>
    </format>
    <format dxfId="382">
      <pivotArea field="0" dataOnly="0" labelOnly="1" grandRow="1" outline="0" offset="IV256" axis="axisRow" fieldPosition="0">
        <references count="1">
          <reference field="4294967294" count="1" selected="0">
            <x v="3"/>
          </reference>
        </references>
      </pivotArea>
    </format>
    <format dxfId="381">
      <pivotArea field="0" dataOnly="0" labelOnly="1" grandRow="1" outline="0" offset="IV256" axis="axisRow" fieldPosition="0">
        <references count="1">
          <reference field="4294967294" count="1" selected="0">
            <x v="4"/>
          </reference>
        </references>
      </pivotArea>
    </format>
    <format dxfId="380">
      <pivotArea field="0" dataOnly="0" labelOnly="1" grandRow="1" outline="0" offset="IV256" axis="axisRow" fieldPosition="0">
        <references count="1">
          <reference field="4294967294" count="1" selected="0">
            <x v="5"/>
          </reference>
        </references>
      </pivotArea>
    </format>
    <format dxfId="379">
      <pivotArea field="0" dataOnly="0" labelOnly="1" grandRow="1" outline="0" offset="IV256" axis="axisRow" fieldPosition="0">
        <references count="1">
          <reference field="4294967294" count="1" selected="0">
            <x v="6"/>
          </reference>
        </references>
      </pivotArea>
    </format>
    <format dxfId="378">
      <pivotArea field="0" dataOnly="0" labelOnly="1" grandRow="1" outline="0" offset="IV256" axis="axisRow" fieldPosition="0">
        <references count="1">
          <reference field="4294967294" count="1" selected="0">
            <x v="7"/>
          </reference>
        </references>
      </pivotArea>
    </format>
    <format dxfId="377">
      <pivotArea field="0" dataOnly="0" labelOnly="1" grandRow="1" outline="0" offset="IV256" axis="axisRow" fieldPosition="0">
        <references count="1">
          <reference field="4294967294" count="1" selected="0">
            <x v="8"/>
          </reference>
        </references>
      </pivotArea>
    </format>
    <format dxfId="376">
      <pivotArea field="0" dataOnly="0" labelOnly="1" grandRow="1" outline="0" offset="IV256" axis="axisRow" fieldPosition="0">
        <references count="1">
          <reference field="4294967294" count="1" selected="0">
            <x v="9"/>
          </reference>
        </references>
      </pivotArea>
    </format>
    <format dxfId="375">
      <pivotArea field="0" dataOnly="0" labelOnly="1" grandRow="1" outline="0" offset="IV256" axis="axisRow" fieldPosition="0">
        <references count="1">
          <reference field="4294967294" count="1" selected="0">
            <x v="10"/>
          </reference>
        </references>
      </pivotArea>
    </format>
    <format dxfId="374">
      <pivotArea field="0" dataOnly="0" labelOnly="1" grandRow="1" outline="0" offset="IV256" axis="axisRow" fieldPosition="0">
        <references count="1">
          <reference field="4294967294" count="1" selected="0">
            <x v="11"/>
          </reference>
        </references>
      </pivotArea>
    </format>
    <format dxfId="373">
      <pivotArea outline="0" collapsedLevelsAreSubtotals="1" fieldPosition="0">
        <references count="1">
          <reference field="60" count="3" selected="0" defaultSubtotal="1">
            <x v="0"/>
            <x v="1"/>
            <x v="3"/>
          </reference>
        </references>
      </pivotArea>
    </format>
    <format dxfId="372">
      <pivotArea field="60" type="button" dataOnly="0" labelOnly="1" outline="0" axis="axisCol" fieldPosition="0"/>
    </format>
    <format dxfId="371">
      <pivotArea field="4" type="button" dataOnly="0" labelOnly="1" outline="0" axis="axisCol" fieldPosition="1"/>
    </format>
    <format dxfId="370">
      <pivotArea type="topRight" dataOnly="0" labelOnly="1" outline="0" fieldPosition="0"/>
    </format>
    <format dxfId="369">
      <pivotArea dataOnly="0" labelOnly="1" outline="0" fieldPosition="0">
        <references count="1">
          <reference field="60" count="3">
            <x v="0"/>
            <x v="1"/>
            <x v="3"/>
          </reference>
        </references>
      </pivotArea>
    </format>
    <format dxfId="368">
      <pivotArea dataOnly="0" labelOnly="1" outline="0" fieldPosition="0">
        <references count="1">
          <reference field="60" count="3" defaultSubtotal="1">
            <x v="0"/>
            <x v="1"/>
            <x v="3"/>
          </reference>
        </references>
      </pivotArea>
    </format>
    <format dxfId="367">
      <pivotArea dataOnly="0" labelOnly="1" outline="0" fieldPosition="0">
        <references count="2">
          <reference field="4" count="6">
            <x v="0"/>
            <x v="1"/>
            <x v="2"/>
            <x v="3"/>
            <x v="4"/>
            <x v="5"/>
          </reference>
          <reference field="60" count="1" selected="0">
            <x v="0"/>
          </reference>
        </references>
      </pivotArea>
    </format>
    <format dxfId="366">
      <pivotArea dataOnly="0" labelOnly="1" outline="0" fieldPosition="0">
        <references count="2">
          <reference field="4" count="4">
            <x v="6"/>
            <x v="7"/>
            <x v="8"/>
            <x v="9"/>
          </reference>
          <reference field="60" count="1" selected="0">
            <x v="1"/>
          </reference>
        </references>
      </pivotArea>
    </format>
    <format dxfId="365">
      <pivotArea dataOnly="0" labelOnly="1" outline="0" fieldPosition="0">
        <references count="2">
          <reference field="4" count="2">
            <x v="11"/>
            <x v="12"/>
          </reference>
          <reference field="60" count="1" selected="0">
            <x v="3"/>
          </reference>
        </references>
      </pivotArea>
    </format>
    <format dxfId="364">
      <pivotArea type="topRight" dataOnly="0" labelOnly="1" outline="0" offset="N1" fieldPosition="0"/>
    </format>
    <format dxfId="363">
      <pivotArea type="topRight" dataOnly="0" labelOnly="1" outline="0" offset="O1:W1" fieldPosition="0"/>
    </format>
    <format dxfId="362">
      <pivotArea field="0" grandRow="1" outline="0" collapsedLevelsAreSubtotals="1" axis="axisRow" fieldPosition="0">
        <references count="1">
          <reference field="4294967294" count="1" selected="0">
            <x v="11"/>
          </reference>
        </references>
      </pivotArea>
    </format>
    <format dxfId="361">
      <pivotArea outline="0" collapsedLevelsAreSubtotals="1" fieldPosition="0">
        <references count="4">
          <reference field="4294967294" count="1" selected="0">
            <x v="8"/>
          </reference>
          <reference field="0" count="1" selected="0">
            <x v="4"/>
          </reference>
          <reference field="4" count="1" selected="0">
            <x v="3"/>
          </reference>
          <reference field="60" count="1" selected="0">
            <x v="0"/>
          </reference>
        </references>
      </pivotArea>
    </format>
    <format dxfId="360">
      <pivotArea type="topRight" dataOnly="0" labelOnly="1" outline="0" offset="M1:O1" fieldPosition="0"/>
    </format>
    <format dxfId="359">
      <pivotArea outline="0" collapsedLevelsAreSubtotals="1" fieldPosition="0">
        <references count="2">
          <reference field="4" count="1" selected="0">
            <x v="12"/>
          </reference>
          <reference field="60" count="1" selected="0">
            <x v="3"/>
          </reference>
        </references>
      </pivotArea>
    </format>
    <format dxfId="358">
      <pivotArea outline="0" collapsedLevelsAreSubtotals="1" fieldPosition="0">
        <references count="1">
          <reference field="60" count="1" selected="0" defaultSubtotal="1">
            <x v="3"/>
          </reference>
        </references>
      </pivotArea>
    </format>
    <format dxfId="357">
      <pivotArea type="topRight" dataOnly="0" labelOnly="1" outline="0" offset="N1:O1" fieldPosition="0"/>
    </format>
    <format dxfId="356">
      <pivotArea dataOnly="0" labelOnly="1" outline="0" offset="IV256" fieldPosition="0">
        <references count="1">
          <reference field="60" count="1">
            <x v="3"/>
          </reference>
        </references>
      </pivotArea>
    </format>
    <format dxfId="355">
      <pivotArea dataOnly="0" labelOnly="1" outline="0" fieldPosition="0">
        <references count="1">
          <reference field="60" count="1" defaultSubtotal="1">
            <x v="3"/>
          </reference>
        </references>
      </pivotArea>
    </format>
    <format dxfId="354">
      <pivotArea dataOnly="0" labelOnly="1" outline="0" fieldPosition="0">
        <references count="2">
          <reference field="4" count="1">
            <x v="12"/>
          </reference>
          <reference field="60" count="1" selected="0">
            <x v="3"/>
          </reference>
        </references>
      </pivotArea>
    </format>
    <format dxfId="353">
      <pivotArea outline="0" collapsedLevelsAreSubtotals="1" fieldPosition="0">
        <references count="4">
          <reference field="4294967294" count="1" selected="0">
            <x v="2"/>
          </reference>
          <reference field="0" count="1" selected="0">
            <x v="0"/>
          </reference>
          <reference field="4" count="1" selected="0">
            <x v="0"/>
          </reference>
          <reference field="60" count="1" selected="0">
            <x v="0"/>
          </reference>
        </references>
      </pivotArea>
    </format>
    <format dxfId="352">
      <pivotArea outline="0" collapsedLevelsAreSubtotals="1" fieldPosition="0">
        <references count="4">
          <reference field="4294967294" count="1" selected="0">
            <x v="2"/>
          </reference>
          <reference field="0" count="1" selected="0">
            <x v="0"/>
          </reference>
          <reference field="4" count="1" selected="0">
            <x v="2"/>
          </reference>
          <reference field="60" count="1" selected="0">
            <x v="0"/>
          </reference>
        </references>
      </pivotArea>
    </format>
    <format dxfId="351">
      <pivotArea outline="0" collapsedLevelsAreSubtotals="1" fieldPosition="0">
        <references count="4">
          <reference field="4294967294" count="1" selected="0">
            <x v="8"/>
          </reference>
          <reference field="0" count="1" selected="0">
            <x v="0"/>
          </reference>
          <reference field="4" count="1" selected="0">
            <x v="2"/>
          </reference>
          <reference field="60" count="1" selected="0">
            <x v="0"/>
          </reference>
        </references>
      </pivotArea>
    </format>
    <format dxfId="350">
      <pivotArea outline="0" collapsedLevelsAreSubtotals="1" fieldPosition="0">
        <references count="4">
          <reference field="4294967294" count="1" selected="0">
            <x v="8"/>
          </reference>
          <reference field="0" count="1" selected="0">
            <x v="0"/>
          </reference>
          <reference field="4" count="1" selected="0">
            <x v="0"/>
          </reference>
          <reference field="60" count="1" selected="0">
            <x v="0"/>
          </reference>
        </references>
      </pivotArea>
    </format>
    <format dxfId="349">
      <pivotArea outline="0" collapsedLevelsAreSubtotals="1" fieldPosition="0">
        <references count="4">
          <reference field="4294967294" count="1" selected="0">
            <x v="8"/>
          </reference>
          <reference field="0" count="1" selected="0">
            <x v="2"/>
          </reference>
          <reference field="4" count="1" selected="0">
            <x v="2"/>
          </reference>
          <reference field="60" count="1" selected="0">
            <x v="0"/>
          </reference>
        </references>
      </pivotArea>
    </format>
    <format dxfId="348">
      <pivotArea outline="0" collapsedLevelsAreSubtotals="1" fieldPosition="0">
        <references count="4">
          <reference field="4294967294" count="1" selected="0">
            <x v="8"/>
          </reference>
          <reference field="0" count="1" selected="0">
            <x v="1"/>
          </reference>
          <reference field="4" count="1" selected="0">
            <x v="5"/>
          </reference>
          <reference field="60" count="1" selected="0">
            <x v="0"/>
          </reference>
        </references>
      </pivotArea>
    </format>
    <format dxfId="347">
      <pivotArea outline="0" collapsedLevelsAreSubtotals="1" fieldPosition="0">
        <references count="4">
          <reference field="4294967294" count="1" selected="0">
            <x v="2"/>
          </reference>
          <reference field="0" count="1" selected="0">
            <x v="6"/>
          </reference>
          <reference field="4" count="1" selected="0">
            <x v="8"/>
          </reference>
          <reference field="60" count="1" selected="0">
            <x v="1"/>
          </reference>
        </references>
      </pivotArea>
    </format>
    <format dxfId="346">
      <pivotArea outline="0" collapsedLevelsAreSubtotals="1" fieldPosition="0">
        <references count="4">
          <reference field="4294967294" count="1" selected="0">
            <x v="2"/>
          </reference>
          <reference field="0" count="1" selected="0">
            <x v="6"/>
          </reference>
          <reference field="4" count="1" selected="0">
            <x v="9"/>
          </reference>
          <reference field="60" count="1" selected="0">
            <x v="1"/>
          </reference>
        </references>
      </pivotArea>
    </format>
    <format dxfId="345">
      <pivotArea outline="0" collapsedLevelsAreSubtotals="1" fieldPosition="0">
        <references count="4">
          <reference field="4294967294" count="1" selected="0">
            <x v="8"/>
          </reference>
          <reference field="0" count="1" selected="0">
            <x v="7"/>
          </reference>
          <reference field="4" count="1" selected="0">
            <x v="5"/>
          </reference>
          <reference field="60" count="1" selected="0">
            <x v="0"/>
          </reference>
        </references>
      </pivotArea>
    </format>
    <format dxfId="344">
      <pivotArea outline="0" collapsedLevelsAreSubtotals="1" fieldPosition="0">
        <references count="4">
          <reference field="4294967294" count="1" selected="0">
            <x v="2"/>
          </reference>
          <reference field="0" count="1" selected="0">
            <x v="7"/>
          </reference>
          <reference field="4" count="1" selected="0">
            <x v="7"/>
          </reference>
          <reference field="60" count="1" selected="0">
            <x v="1"/>
          </reference>
        </references>
      </pivotArea>
    </format>
    <format dxfId="343">
      <pivotArea outline="0" collapsedLevelsAreSubtotals="1" fieldPosition="0">
        <references count="4">
          <reference field="4294967294" count="1" selected="0">
            <x v="2"/>
          </reference>
          <reference field="0" count="1" selected="0">
            <x v="0"/>
          </reference>
          <reference field="4" count="3" selected="0">
            <x v="7"/>
            <x v="8"/>
            <x v="9"/>
          </reference>
          <reference field="60" count="1" selected="0">
            <x v="1"/>
          </reference>
        </references>
      </pivotArea>
    </format>
    <format dxfId="342">
      <pivotArea outline="0" collapsedLevelsAreSubtotals="1" fieldPosition="0">
        <references count="4">
          <reference field="4294967294" count="1" selected="0">
            <x v="2"/>
          </reference>
          <reference field="0" count="1" selected="0">
            <x v="1"/>
          </reference>
          <reference field="4" count="1" selected="0">
            <x v="0"/>
          </reference>
          <reference field="60" count="1" selected="0">
            <x v="0"/>
          </reference>
        </references>
      </pivotArea>
    </format>
    <format dxfId="341">
      <pivotArea outline="0" collapsedLevelsAreSubtotals="1" fieldPosition="0">
        <references count="4">
          <reference field="4294967294" count="1" selected="0">
            <x v="2"/>
          </reference>
          <reference field="0" count="1" selected="0">
            <x v="10"/>
          </reference>
          <reference field="4" count="1" selected="0">
            <x v="5"/>
          </reference>
          <reference field="60" count="1" selected="0">
            <x v="0"/>
          </reference>
        </references>
      </pivotArea>
    </format>
    <format dxfId="340">
      <pivotArea outline="0" collapsedLevelsAreSubtotals="1" fieldPosition="0">
        <references count="4">
          <reference field="4294967294" count="1" selected="0">
            <x v="2"/>
          </reference>
          <reference field="0" count="1" selected="0">
            <x v="10"/>
          </reference>
          <reference field="4" count="1" selected="0">
            <x v="8"/>
          </reference>
          <reference field="60" count="1" selected="0">
            <x v="1"/>
          </reference>
        </references>
      </pivotArea>
    </format>
    <format dxfId="339">
      <pivotArea outline="0" collapsedLevelsAreSubtotals="1" fieldPosition="0">
        <references count="4">
          <reference field="4294967294" count="1" selected="0">
            <x v="8"/>
          </reference>
          <reference field="0" count="1" selected="0">
            <x v="10"/>
          </reference>
          <reference field="4" count="1" selected="0">
            <x v="0"/>
          </reference>
          <reference field="60" count="1" selected="0">
            <x v="0"/>
          </reference>
        </references>
      </pivotArea>
    </format>
    <format dxfId="338">
      <pivotArea outline="0" collapsedLevelsAreSubtotals="1" fieldPosition="0">
        <references count="4">
          <reference field="4294967294" count="1" selected="0">
            <x v="5"/>
          </reference>
          <reference field="0" count="1" selected="0">
            <x v="13"/>
          </reference>
          <reference field="4" count="1" selected="0">
            <x v="6"/>
          </reference>
          <reference field="60" count="1" selected="0">
            <x v="1"/>
          </reference>
        </references>
      </pivotArea>
    </format>
    <format dxfId="337">
      <pivotArea outline="0" collapsedLevelsAreSubtotals="1" fieldPosition="0">
        <references count="4">
          <reference field="4294967294" count="1" selected="0">
            <x v="8"/>
          </reference>
          <reference field="0" count="1" selected="0">
            <x v="15"/>
          </reference>
          <reference field="4" count="1" selected="0">
            <x v="5"/>
          </reference>
          <reference field="60" count="1" selected="0">
            <x v="0"/>
          </reference>
        </references>
      </pivotArea>
    </format>
    <format dxfId="336">
      <pivotArea outline="0" collapsedLevelsAreSubtotals="1" fieldPosition="0">
        <references count="4">
          <reference field="4294967294" count="1" selected="0">
            <x v="2"/>
          </reference>
          <reference field="0" count="1" selected="0">
            <x v="6"/>
          </reference>
          <reference field="4" count="1" selected="0">
            <x v="11"/>
          </reference>
          <reference field="60" count="1" selected="0">
            <x v="3"/>
          </reference>
        </references>
      </pivotArea>
    </format>
    <format dxfId="335">
      <pivotArea outline="0" collapsedLevelsAreSubtotals="1" fieldPosition="0">
        <references count="4">
          <reference field="4294967294" count="1" selected="0">
            <x v="2"/>
          </reference>
          <reference field="0" count="1" selected="0">
            <x v="4"/>
          </reference>
          <reference field="4" count="1" selected="0">
            <x v="11"/>
          </reference>
          <reference field="60" count="1" selected="0">
            <x v="3"/>
          </reference>
        </references>
      </pivotArea>
    </format>
    <format dxfId="334">
      <pivotArea outline="0" collapsedLevelsAreSubtotals="1" fieldPosition="0">
        <references count="4">
          <reference field="4294967294" count="1" selected="0">
            <x v="2"/>
          </reference>
          <reference field="0" count="1" selected="0">
            <x v="0"/>
          </reference>
          <reference field="4" count="2" selected="0">
            <x v="11"/>
            <x v="12"/>
          </reference>
          <reference field="60" count="1" selected="0">
            <x v="3"/>
          </reference>
        </references>
      </pivotArea>
    </format>
    <format dxfId="333">
      <pivotArea outline="0" collapsedLevelsAreSubtotals="1" fieldPosition="0">
        <references count="4">
          <reference field="4294967294" count="1" selected="0">
            <x v="2"/>
          </reference>
          <reference field="0" count="1" selected="0">
            <x v="4"/>
          </reference>
          <reference field="4" count="1" selected="0">
            <x v="5"/>
          </reference>
          <reference field="60" count="1" selected="0">
            <x v="0"/>
          </reference>
        </references>
      </pivotArea>
    </format>
    <format dxfId="332">
      <pivotArea outline="0" collapsedLevelsAreSubtotals="1" fieldPosition="0">
        <references count="4">
          <reference field="4294967294" count="1" selected="0">
            <x v="2"/>
          </reference>
          <reference field="0" count="1" selected="0">
            <x v="4"/>
          </reference>
          <reference field="4" count="3" selected="0">
            <x v="6"/>
            <x v="7"/>
            <x v="8"/>
          </reference>
          <reference field="60" count="1" selected="0">
            <x v="1"/>
          </reference>
        </references>
      </pivotArea>
    </format>
    <format dxfId="331">
      <pivotArea outline="0" collapsedLevelsAreSubtotals="1" fieldPosition="0">
        <references count="4">
          <reference field="4294967294" count="1" selected="0">
            <x v="2"/>
          </reference>
          <reference field="0" count="1" selected="0">
            <x v="5"/>
          </reference>
          <reference field="4" count="2" selected="0">
            <x v="7"/>
            <x v="8"/>
          </reference>
          <reference field="60" count="1" selected="0">
            <x v="1"/>
          </reference>
        </references>
      </pivotArea>
    </format>
    <format dxfId="330">
      <pivotArea outline="0" collapsedLevelsAreSubtotals="1" fieldPosition="0">
        <references count="4">
          <reference field="4294967294" count="1" selected="0">
            <x v="2"/>
          </reference>
          <reference field="0" count="1" selected="0">
            <x v="5"/>
          </reference>
          <reference field="4" count="1" selected="0">
            <x v="9"/>
          </reference>
          <reference field="60" count="1" selected="0">
            <x v="1"/>
          </reference>
        </references>
      </pivotArea>
    </format>
    <format dxfId="329">
      <pivotArea outline="0" collapsedLevelsAreSubtotals="1" fieldPosition="0">
        <references count="4">
          <reference field="4294967294" count="1" selected="0">
            <x v="2"/>
          </reference>
          <reference field="0" count="1" selected="0">
            <x v="5"/>
          </reference>
          <reference field="4" count="1" selected="0">
            <x v="9"/>
          </reference>
          <reference field="60" count="1" selected="0">
            <x v="1"/>
          </reference>
        </references>
      </pivotArea>
    </format>
    <format dxfId="328">
      <pivotArea outline="0" collapsedLevelsAreSubtotals="1" fieldPosition="0">
        <references count="4">
          <reference field="4294967294" count="1" selected="0">
            <x v="2"/>
          </reference>
          <reference field="0" count="1" selected="0">
            <x v="7"/>
          </reference>
          <reference field="4" count="1" selected="0">
            <x v="8"/>
          </reference>
          <reference field="60" count="1" selected="0">
            <x v="1"/>
          </reference>
        </references>
      </pivotArea>
    </format>
    <format dxfId="327">
      <pivotArea outline="0" collapsedLevelsAreSubtotals="1" fieldPosition="0">
        <references count="4">
          <reference field="4294967294" count="1" selected="0">
            <x v="2"/>
          </reference>
          <reference field="0" count="1" selected="0">
            <x v="9"/>
          </reference>
          <reference field="4" count="2" selected="0">
            <x v="4"/>
            <x v="5"/>
          </reference>
          <reference field="60" count="1" selected="0">
            <x v="0"/>
          </reference>
        </references>
      </pivotArea>
    </format>
    <format dxfId="326">
      <pivotArea outline="0" collapsedLevelsAreSubtotals="1" fieldPosition="0">
        <references count="4">
          <reference field="4294967294" count="1" selected="0">
            <x v="2"/>
          </reference>
          <reference field="0" count="1" selected="0">
            <x v="9"/>
          </reference>
          <reference field="4" count="2" selected="0">
            <x v="8"/>
            <x v="9"/>
          </reference>
          <reference field="60" count="1" selected="0">
            <x v="1"/>
          </reference>
        </references>
      </pivotArea>
    </format>
    <format dxfId="325">
      <pivotArea outline="0" collapsedLevelsAreSubtotals="1" fieldPosition="0">
        <references count="4">
          <reference field="4294967294" count="1" selected="0">
            <x v="2"/>
          </reference>
          <reference field="0" count="1" selected="0">
            <x v="12"/>
          </reference>
          <reference field="4" count="2" selected="0">
            <x v="7"/>
            <x v="8"/>
          </reference>
          <reference field="60" count="1" selected="0">
            <x v="1"/>
          </reference>
        </references>
      </pivotArea>
    </format>
    <format dxfId="324">
      <pivotArea outline="0" collapsedLevelsAreSubtotals="1" fieldPosition="0">
        <references count="4">
          <reference field="4294967294" count="1" selected="0">
            <x v="2"/>
          </reference>
          <reference field="0" count="1" selected="0">
            <x v="1"/>
          </reference>
          <reference field="4" count="1" selected="0">
            <x v="5"/>
          </reference>
          <reference field="60" count="1" selected="0">
            <x v="0"/>
          </reference>
        </references>
      </pivotArea>
    </format>
    <format dxfId="323">
      <pivotArea outline="0" collapsedLevelsAreSubtotals="1" fieldPosition="0">
        <references count="4">
          <reference field="4294967294" count="1" selected="0">
            <x v="2"/>
          </reference>
          <reference field="0" count="1" selected="0">
            <x v="1"/>
          </reference>
          <reference field="4" count="2" selected="0">
            <x v="8"/>
            <x v="9"/>
          </reference>
          <reference field="60" count="1" selected="0">
            <x v="1"/>
          </reference>
        </references>
      </pivotArea>
    </format>
    <format dxfId="322">
      <pivotArea outline="0" collapsedLevelsAreSubtotals="1" fieldPosition="0">
        <references count="4">
          <reference field="4294967294" count="1" selected="0">
            <x v="2"/>
          </reference>
          <reference field="0" count="1" selected="0">
            <x v="5"/>
          </reference>
          <reference field="4" count="1" selected="0">
            <x v="9"/>
          </reference>
          <reference field="60" count="1" selected="0">
            <x v="1"/>
          </reference>
        </references>
      </pivotArea>
    </format>
    <format dxfId="321">
      <pivotArea outline="0" collapsedLevelsAreSubtotals="1" fieldPosition="0">
        <references count="4">
          <reference field="4294967294" count="1" selected="0">
            <x v="2"/>
          </reference>
          <reference field="0" count="1" selected="0">
            <x v="6"/>
          </reference>
          <reference field="4" count="1" selected="0">
            <x v="2"/>
          </reference>
          <reference field="60" count="1" selected="0">
            <x v="0"/>
          </reference>
        </references>
      </pivotArea>
    </format>
    <format dxfId="320">
      <pivotArea outline="0" collapsedLevelsAreSubtotals="1" fieldPosition="0">
        <references count="4">
          <reference field="4294967294" count="1" selected="0">
            <x v="2"/>
          </reference>
          <reference field="0" count="1" selected="0">
            <x v="6"/>
          </reference>
          <reference field="4" count="1" selected="0">
            <x v="5"/>
          </reference>
          <reference field="60" count="1" selected="0">
            <x v="0"/>
          </reference>
        </references>
      </pivotArea>
    </format>
    <format dxfId="319">
      <pivotArea outline="0" collapsedLevelsAreSubtotals="1" fieldPosition="0">
        <references count="4">
          <reference field="4294967294" count="1" selected="0">
            <x v="8"/>
          </reference>
          <reference field="0" count="1" selected="0">
            <x v="6"/>
          </reference>
          <reference field="4" count="1" selected="0">
            <x v="3"/>
          </reference>
          <reference field="60" count="1" selected="0">
            <x v="0"/>
          </reference>
        </references>
      </pivotArea>
    </format>
    <format dxfId="318">
      <pivotArea outline="0" collapsedLevelsAreSubtotals="1" fieldPosition="0">
        <references count="4">
          <reference field="4294967294" count="1" selected="0">
            <x v="8"/>
          </reference>
          <reference field="0" count="1" selected="0">
            <x v="6"/>
          </reference>
          <reference field="4" count="1" selected="0">
            <x v="1"/>
          </reference>
          <reference field="60" count="1" selected="0">
            <x v="0"/>
          </reference>
        </references>
      </pivotArea>
    </format>
    <format dxfId="317">
      <pivotArea outline="0" collapsedLevelsAreSubtotals="1" fieldPosition="0">
        <references count="4">
          <reference field="4294967294" count="1" selected="0">
            <x v="8"/>
          </reference>
          <reference field="0" count="1" selected="0">
            <x v="10"/>
          </reference>
          <reference field="4" count="1" selected="0">
            <x v="4"/>
          </reference>
          <reference field="60" count="1" selected="0">
            <x v="0"/>
          </reference>
        </references>
      </pivotArea>
    </format>
    <format dxfId="316">
      <pivotArea outline="0" collapsedLevelsAreSubtotals="1" fieldPosition="0">
        <references count="4">
          <reference field="4294967294" count="1" selected="0">
            <x v="8"/>
          </reference>
          <reference field="0" count="1" selected="0">
            <x v="13"/>
          </reference>
          <reference field="4" count="1" selected="0">
            <x v="4"/>
          </reference>
          <reference field="60" count="1" selected="0">
            <x v="0"/>
          </reference>
        </references>
      </pivotArea>
    </format>
    <format dxfId="315">
      <pivotArea outline="0" collapsedLevelsAreSubtotals="1" fieldPosition="0">
        <references count="4">
          <reference field="4294967294" count="1" selected="0">
            <x v="5"/>
          </reference>
          <reference field="0" count="1" selected="0">
            <x v="13"/>
          </reference>
          <reference field="4" count="1" selected="0">
            <x v="9"/>
          </reference>
          <reference field="60" count="1" selected="0">
            <x v="1"/>
          </reference>
        </references>
      </pivotArea>
    </format>
    <format dxfId="314">
      <pivotArea outline="0" collapsedLevelsAreSubtotals="1" fieldPosition="0">
        <references count="4">
          <reference field="4294967294" count="1" selected="0">
            <x v="2"/>
          </reference>
          <reference field="0" count="1" selected="0">
            <x v="13"/>
          </reference>
          <reference field="4" count="1" selected="0">
            <x v="8"/>
          </reference>
          <reference field="60" count="1" selected="0">
            <x v="1"/>
          </reference>
        </references>
      </pivotArea>
    </format>
    <format dxfId="313">
      <pivotArea outline="0" collapsedLevelsAreSubtotals="1" fieldPosition="0">
        <references count="4">
          <reference field="4294967294" count="1" selected="0">
            <x v="2"/>
          </reference>
          <reference field="0" count="1" selected="0">
            <x v="15"/>
          </reference>
          <reference field="4" count="1" selected="0">
            <x v="6"/>
          </reference>
          <reference field="60" count="1" selected="0">
            <x v="1"/>
          </reference>
        </references>
      </pivotArea>
    </format>
    <format dxfId="312">
      <pivotArea outline="0" collapsedLevelsAreSubtotals="1" fieldPosition="0">
        <references count="4">
          <reference field="4294967294" count="1" selected="0">
            <x v="2"/>
          </reference>
          <reference field="0" count="1" selected="0">
            <x v="15"/>
          </reference>
          <reference field="4" count="1" selected="0">
            <x v="8"/>
          </reference>
          <reference field="60" count="1" selected="0">
            <x v="1"/>
          </reference>
        </references>
      </pivotArea>
    </format>
    <format dxfId="311">
      <pivotArea outline="0" collapsedLevelsAreSubtotals="1" fieldPosition="0">
        <references count="4">
          <reference field="4294967294" count="1" selected="0">
            <x v="5"/>
          </reference>
          <reference field="0" count="1" selected="0">
            <x v="3"/>
          </reference>
          <reference field="4" count="4" selected="0">
            <x v="6"/>
            <x v="7"/>
            <x v="8"/>
            <x v="9"/>
          </reference>
          <reference field="60" count="1" selected="0">
            <x v="1"/>
          </reference>
        </references>
      </pivotArea>
    </format>
    <format dxfId="310">
      <pivotArea outline="0" collapsedLevelsAreSubtotals="1" fieldPosition="0">
        <references count="4">
          <reference field="4294967294" count="1" selected="0">
            <x v="2"/>
          </reference>
          <reference field="0" count="1" selected="0">
            <x v="3"/>
          </reference>
          <reference field="4" count="2" selected="0">
            <x v="6"/>
            <x v="7"/>
          </reference>
          <reference field="60" count="1" selected="0">
            <x v="1"/>
          </reference>
        </references>
      </pivotArea>
    </format>
    <format dxfId="309">
      <pivotArea outline="0" collapsedLevelsAreSubtotals="1" fieldPosition="0">
        <references count="4">
          <reference field="4294967294" count="1" selected="0">
            <x v="2"/>
          </reference>
          <reference field="0" count="1" selected="0">
            <x v="14"/>
          </reference>
          <reference field="4" count="1" selected="0">
            <x v="10"/>
          </reference>
          <reference field="60" count="1" selected="0">
            <x v="2"/>
          </reference>
        </references>
      </pivotArea>
    </format>
    <format dxfId="308">
      <pivotArea outline="0" collapsedLevelsAreSubtotals="1" fieldPosition="0">
        <references count="3">
          <reference field="4294967294" count="1" selected="0">
            <x v="2"/>
          </reference>
          <reference field="0" count="1" selected="0">
            <x v="14"/>
          </reference>
          <reference field="60" count="1" selected="0" defaultSubtotal="1">
            <x v="2"/>
          </reference>
        </references>
      </pivotArea>
    </format>
    <format dxfId="307">
      <pivotArea outline="0" collapsedLevelsAreSubtotals="1" fieldPosition="0">
        <references count="4">
          <reference field="4294967294" count="1" selected="0">
            <x v="2"/>
          </reference>
          <reference field="0" count="1" selected="0">
            <x v="13"/>
          </reference>
          <reference field="4" count="1" selected="0">
            <x v="10"/>
          </reference>
          <reference field="60" count="1" selected="0">
            <x v="2"/>
          </reference>
        </references>
      </pivotArea>
    </format>
    <format dxfId="306">
      <pivotArea outline="0" collapsedLevelsAreSubtotals="1" fieldPosition="0">
        <references count="3">
          <reference field="4294967294" count="1" selected="0">
            <x v="2"/>
          </reference>
          <reference field="0" count="1" selected="0">
            <x v="13"/>
          </reference>
          <reference field="60" count="1" selected="0" defaultSubtotal="1">
            <x v="2"/>
          </reference>
        </references>
      </pivotArea>
    </format>
    <format dxfId="305">
      <pivotArea outline="0" collapsedLevelsAreSubtotals="1" fieldPosition="0">
        <references count="4">
          <reference field="4294967294" count="1" selected="0">
            <x v="5"/>
          </reference>
          <reference field="0" count="1" selected="0">
            <x v="13"/>
          </reference>
          <reference field="4" count="1" selected="0">
            <x v="10"/>
          </reference>
          <reference field="60" count="1" selected="0">
            <x v="2"/>
          </reference>
        </references>
      </pivotArea>
    </format>
    <format dxfId="304">
      <pivotArea outline="0" collapsedLevelsAreSubtotals="1" fieldPosition="0">
        <references count="3">
          <reference field="4294967294" count="1" selected="0">
            <x v="5"/>
          </reference>
          <reference field="0" count="1" selected="0">
            <x v="13"/>
          </reference>
          <reference field="60" count="1" selected="0" defaultSubtotal="1">
            <x v="2"/>
          </reference>
        </references>
      </pivotArea>
    </format>
    <format dxfId="303">
      <pivotArea outline="0" collapsedLevelsAreSubtotals="1" fieldPosition="0">
        <references count="4">
          <reference field="4294967294" count="1" selected="0">
            <x v="8"/>
          </reference>
          <reference field="0" count="1" selected="0">
            <x v="11"/>
          </reference>
          <reference field="4" count="1" selected="0">
            <x v="3"/>
          </reference>
          <reference field="60" count="1" selected="0">
            <x v="0"/>
          </reference>
        </references>
      </pivotArea>
    </format>
    <format dxfId="302">
      <pivotArea outline="0" collapsedLevelsAreSubtotals="1" fieldPosition="0">
        <references count="4">
          <reference field="4294967294" count="1" selected="0">
            <x v="8"/>
          </reference>
          <reference field="0" count="1" selected="0">
            <x v="11"/>
          </reference>
          <reference field="4" count="1" selected="0">
            <x v="5"/>
          </reference>
          <reference field="60" count="1" selected="0">
            <x v="0"/>
          </reference>
        </references>
      </pivotArea>
    </format>
    <format dxfId="301">
      <pivotArea field="0" grandRow="1" outline="0" collapsedLevelsAreSubtotals="1" axis="axisRow" fieldPosition="0">
        <references count="1">
          <reference field="4294967294" count="12" selected="0">
            <x v="0"/>
            <x v="1"/>
            <x v="2"/>
            <x v="3"/>
            <x v="4"/>
            <x v="5"/>
            <x v="6"/>
            <x v="7"/>
            <x v="8"/>
            <x v="9"/>
            <x v="10"/>
            <x v="11"/>
          </reference>
        </references>
      </pivotArea>
    </format>
    <format dxfId="300">
      <pivotArea field="0" dataOnly="0" labelOnly="1" grandRow="1" outline="0" axis="axisRow" fieldPosition="0">
        <references count="1">
          <reference field="4294967294" count="1" selected="0">
            <x v="0"/>
          </reference>
        </references>
      </pivotArea>
    </format>
    <format dxfId="299">
      <pivotArea field="0" dataOnly="0" labelOnly="1" grandRow="1" outline="0" axis="axisRow" fieldPosition="0">
        <references count="1">
          <reference field="4294967294" count="1" selected="0">
            <x v="1"/>
          </reference>
        </references>
      </pivotArea>
    </format>
    <format dxfId="298">
      <pivotArea field="0" dataOnly="0" labelOnly="1" grandRow="1" outline="0" axis="axisRow" fieldPosition="0">
        <references count="1">
          <reference field="4294967294" count="1" selected="0">
            <x v="2"/>
          </reference>
        </references>
      </pivotArea>
    </format>
    <format dxfId="297">
      <pivotArea field="0" dataOnly="0" labelOnly="1" grandRow="1" outline="0" axis="axisRow" fieldPosition="0">
        <references count="1">
          <reference field="4294967294" count="1" selected="0">
            <x v="3"/>
          </reference>
        </references>
      </pivotArea>
    </format>
    <format dxfId="296">
      <pivotArea field="0" dataOnly="0" labelOnly="1" grandRow="1" outline="0" axis="axisRow" fieldPosition="0">
        <references count="1">
          <reference field="4294967294" count="1" selected="0">
            <x v="4"/>
          </reference>
        </references>
      </pivotArea>
    </format>
    <format dxfId="295">
      <pivotArea field="0" dataOnly="0" labelOnly="1" grandRow="1" outline="0" axis="axisRow" fieldPosition="0">
        <references count="1">
          <reference field="4294967294" count="1" selected="0">
            <x v="5"/>
          </reference>
        </references>
      </pivotArea>
    </format>
    <format dxfId="294">
      <pivotArea field="0" dataOnly="0" labelOnly="1" grandRow="1" outline="0" axis="axisRow" fieldPosition="0">
        <references count="1">
          <reference field="4294967294" count="1" selected="0">
            <x v="6"/>
          </reference>
        </references>
      </pivotArea>
    </format>
    <format dxfId="293">
      <pivotArea field="0" dataOnly="0" labelOnly="1" grandRow="1" outline="0" axis="axisRow" fieldPosition="0">
        <references count="1">
          <reference field="4294967294" count="1" selected="0">
            <x v="7"/>
          </reference>
        </references>
      </pivotArea>
    </format>
    <format dxfId="292">
      <pivotArea field="0" dataOnly="0" labelOnly="1" grandRow="1" outline="0" axis="axisRow" fieldPosition="0">
        <references count="1">
          <reference field="4294967294" count="1" selected="0">
            <x v="8"/>
          </reference>
        </references>
      </pivotArea>
    </format>
    <format dxfId="291">
      <pivotArea field="0" dataOnly="0" labelOnly="1" grandRow="1" outline="0" axis="axisRow" fieldPosition="0">
        <references count="1">
          <reference field="4294967294" count="1" selected="0">
            <x v="9"/>
          </reference>
        </references>
      </pivotArea>
    </format>
    <format dxfId="290">
      <pivotArea field="0" dataOnly="0" labelOnly="1" grandRow="1" outline="0" axis="axisRow" fieldPosition="0">
        <references count="1">
          <reference field="4294967294" count="1" selected="0">
            <x v="10"/>
          </reference>
        </references>
      </pivotArea>
    </format>
    <format dxfId="289">
      <pivotArea field="0" dataOnly="0" labelOnly="1" grandRow="1" outline="0" axis="axisRow" fieldPosition="0">
        <references count="1">
          <reference field="4294967294" count="1" selected="0">
            <x v="11"/>
          </reference>
        </references>
      </pivotArea>
    </format>
    <format dxfId="288">
      <pivotArea outline="0" collapsedLevelsAreSubtotals="1" fieldPosition="0">
        <references count="3">
          <reference field="4294967294" count="12" selected="0">
            <x v="0"/>
            <x v="1"/>
            <x v="2"/>
            <x v="3"/>
            <x v="4"/>
            <x v="5"/>
            <x v="6"/>
            <x v="7"/>
            <x v="8"/>
            <x v="9"/>
            <x v="10"/>
            <x v="11"/>
          </reference>
          <reference field="0" count="1" selected="0">
            <x v="11"/>
          </reference>
          <reference field="60" count="4" selected="0" defaultSubtotal="1">
            <x v="5"/>
            <x v="6"/>
            <x v="7"/>
            <x v="8"/>
          </reference>
        </references>
      </pivotArea>
    </format>
    <format dxfId="287">
      <pivotArea outline="0" collapsedLevelsAreSubtotals="1" fieldPosition="0">
        <references count="3">
          <reference field="4294967294" count="12" selected="0">
            <x v="0"/>
            <x v="1"/>
            <x v="2"/>
            <x v="3"/>
            <x v="4"/>
            <x v="5"/>
            <x v="6"/>
            <x v="7"/>
            <x v="8"/>
            <x v="9"/>
            <x v="10"/>
            <x v="11"/>
          </reference>
          <reference field="0" count="1" selected="0">
            <x v="14"/>
          </reference>
          <reference field="60" count="4" selected="0" defaultSubtotal="1">
            <x v="5"/>
            <x v="6"/>
            <x v="7"/>
            <x v="8"/>
          </reference>
        </references>
      </pivotArea>
    </format>
    <format dxfId="286">
      <pivotArea outline="0" collapsedLevelsAreSubtotals="1" fieldPosition="0">
        <references count="4">
          <reference field="4294967294" count="1" selected="0">
            <x v="2"/>
          </reference>
          <reference field="0" count="1" selected="0">
            <x v="8"/>
          </reference>
          <reference field="4" count="3" selected="0">
            <x v="7"/>
            <x v="8"/>
            <x v="9"/>
          </reference>
          <reference field="60" count="1" selected="0">
            <x v="1"/>
          </reference>
        </references>
      </pivotArea>
    </format>
    <format dxfId="285">
      <pivotArea field="60" grandRow="1" outline="0" collapsedLevelsAreSubtotals="1" axis="axisCol" fieldPosition="0">
        <references count="3">
          <reference field="4294967294" count="1" selected="0">
            <x v="6"/>
          </reference>
          <reference field="4" count="1" selected="0">
            <x v="6"/>
          </reference>
          <reference field="60" count="1" selected="0">
            <x v="1"/>
          </reference>
        </references>
      </pivotArea>
    </format>
    <format dxfId="284">
      <pivotArea field="60" grandRow="1" outline="0" collapsedLevelsAreSubtotals="1" axis="axisCol" fieldPosition="0">
        <references count="3">
          <reference field="4294967294" count="1" selected="0">
            <x v="6"/>
          </reference>
          <reference field="4" count="1" selected="0">
            <x v="6"/>
          </reference>
          <reference field="60" count="1" selected="0">
            <x v="1"/>
          </reference>
        </references>
      </pivotArea>
    </format>
    <format dxfId="283">
      <pivotArea outline="0" collapsedLevelsAreSubtotals="1" fieldPosition="0">
        <references count="4">
          <reference field="4294967294" count="1" selected="0">
            <x v="6"/>
          </reference>
          <reference field="0" count="1" selected="0">
            <x v="10"/>
          </reference>
          <reference field="4" count="1" selected="0">
            <x v="6"/>
          </reference>
          <reference field="60" count="1" selected="0">
            <x v="1"/>
          </reference>
        </references>
      </pivotArea>
    </format>
  </formats>
  <pivotTableStyleInfo showRowHeaders="1" showColHeaders="1" showRowStripes="0" showColStripes="0" showLastColumn="1"/>
</pivotTableDefinition>
</file>

<file path=xl/pivotTables/pivotTable2.xml><?xml version="1.0" encoding="utf-8"?>
<pivotTableDefinition xmlns="http://schemas.openxmlformats.org/spreadsheetml/2006/main" name="PivotTable3" cacheId="1" dataOnRows="1" applyNumberFormats="0" applyBorderFormats="0" applyFontFormats="0" applyPatternFormats="0" applyAlignmentFormats="0" applyWidthHeightFormats="1" dataCaption="Data" updatedVersion="4" minRefreshableVersion="3" asteriskTotals="1" showMemberPropertyTips="0" useAutoFormatting="1" colGrandTotals="0" itemPrintTitles="1" createdVersion="3" indent="0" compact="0" compactData="0" gridDropZones="1">
  <location ref="A3:AA124" firstHeaderRow="1" firstDataRow="3" firstDataCol="2"/>
  <pivotFields count="47">
    <pivotField axis="axisRow" compact="0" outline="0" subtotalTop="0" showAll="0" includeNewItemsInFilter="1" sortType="ascending">
      <items count="17">
        <item x="0"/>
        <item x="1"/>
        <item x="2"/>
        <item x="3"/>
        <item x="4"/>
        <item x="5"/>
        <item x="6"/>
        <item x="7"/>
        <item x="8"/>
        <item x="9"/>
        <item x="10"/>
        <item x="11"/>
        <item x="12"/>
        <item x="13"/>
        <item x="14"/>
        <item x="15"/>
        <item t="default"/>
      </items>
    </pivotField>
    <pivotField compact="0" outline="0" subtotalTop="0" showAll="0" includeNewItemsInFilter="1"/>
    <pivotField compact="0" outline="0" showAll="0" defaultSubtotal="0"/>
    <pivotField compact="0" outline="0" subtotalTop="0" showAll="0" includeNewItemsInFilter="1"/>
    <pivotField axis="axisCol" compact="0" outline="0" subtotalTop="0" showAll="0" includeNewItemsInFilter="1">
      <items count="20">
        <item x="0"/>
        <item x="1"/>
        <item x="2"/>
        <item x="3"/>
        <item x="4"/>
        <item x="5"/>
        <item x="11"/>
        <item x="6"/>
        <item x="7"/>
        <item x="8"/>
        <item x="12"/>
        <item x="9"/>
        <item x="10"/>
        <item m="1" x="17"/>
        <item m="1" x="18"/>
        <item x="13"/>
        <item x="14"/>
        <item x="15"/>
        <item x="16"/>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3" outline="0" subtotalTop="0" showAll="0" includeNewItemsInFilter="1"/>
    <pivotField compact="0" numFmtId="3" outline="0" subtotalTop="0" showAll="0" includeNewItemsInFilter="1"/>
    <pivotField compact="0" numFmtId="3" outline="0" subtotalTop="0" showAll="0" includeNewItemsInFilter="1"/>
    <pivotField compact="0" numFmtId="3" outline="0" subtotalTop="0" showAll="0" includeNewItemsInFilter="1"/>
    <pivotField compact="0" outline="0" subtotalTop="0" showAll="0" includeNewItemsInFilter="1"/>
    <pivotField compact="0" outline="0" subtotalTop="0" showAll="0" includeNewItemsInFilter="1"/>
    <pivotField compact="0" numFmtId="3" outline="0" showAll="0" defaultSubtotal="0"/>
    <pivotField compact="0" numFmtId="3"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3" outline="0" subtotalTop="0" showAll="0" includeNewItemsInFilter="1"/>
    <pivotField compact="0" numFmtId="3" outline="0" subtotalTop="0" showAll="0" includeNewItemsInFilter="1"/>
    <pivotField compact="0" numFmtId="3" outline="0" subtotalTop="0" showAll="0" includeNewItemsInFilter="1"/>
    <pivotField compact="0" numFmtId="3" outline="0" subtotalTop="0" showAll="0" includeNewItemsInFilter="1"/>
    <pivotField compact="0" outline="0" subtotalTop="0" showAll="0" includeNewItemsInFilter="1"/>
    <pivotField compact="0" outline="0" subtotalTop="0" showAll="0" includeNewItemsInFilter="1"/>
    <pivotField compact="0" numFmtId="3" outline="0" showAll="0" defaultSubtotal="0"/>
    <pivotField compact="0" numFmtId="3" outline="0" showAll="0"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axis="axisCol" compact="0" outline="0" subtotalTop="0" showAll="0" includeNewItemsInFilter="1">
      <items count="10">
        <item n="Four-Year" x="2"/>
        <item n="Two-Year" x="3"/>
        <item x="1"/>
        <item n="Technical" x="4"/>
        <item x="0"/>
        <item x="5"/>
        <item x="6"/>
        <item x="7"/>
        <item x="8"/>
        <item t="default"/>
      </items>
    </pivotField>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dragToRow="0" dragToCol="0" dragToPage="0" showAll="0" defaultSubtotal="0"/>
  </pivotFields>
  <rowFields count="2">
    <field x="0"/>
    <field x="-2"/>
  </rowFields>
  <rowItems count="119">
    <i>
      <x/>
      <x/>
    </i>
    <i r="1" i="1">
      <x v="1"/>
    </i>
    <i r="1" i="2">
      <x v="2"/>
    </i>
    <i r="1" i="3">
      <x v="3"/>
    </i>
    <i r="1" i="4">
      <x v="4"/>
    </i>
    <i r="1" i="5">
      <x v="5"/>
    </i>
    <i r="1" i="6">
      <x v="6"/>
    </i>
    <i>
      <x v="1"/>
      <x/>
    </i>
    <i r="1" i="1">
      <x v="1"/>
    </i>
    <i r="1" i="2">
      <x v="2"/>
    </i>
    <i r="1" i="3">
      <x v="3"/>
    </i>
    <i r="1" i="4">
      <x v="4"/>
    </i>
    <i r="1" i="5">
      <x v="5"/>
    </i>
    <i r="1" i="6">
      <x v="6"/>
    </i>
    <i>
      <x v="2"/>
      <x/>
    </i>
    <i r="1" i="1">
      <x v="1"/>
    </i>
    <i r="1" i="2">
      <x v="2"/>
    </i>
    <i r="1" i="3">
      <x v="3"/>
    </i>
    <i r="1" i="4">
      <x v="4"/>
    </i>
    <i r="1" i="5">
      <x v="5"/>
    </i>
    <i r="1" i="6">
      <x v="6"/>
    </i>
    <i>
      <x v="3"/>
      <x/>
    </i>
    <i r="1" i="1">
      <x v="1"/>
    </i>
    <i r="1" i="2">
      <x v="2"/>
    </i>
    <i r="1" i="3">
      <x v="3"/>
    </i>
    <i r="1" i="4">
      <x v="4"/>
    </i>
    <i r="1" i="5">
      <x v="5"/>
    </i>
    <i r="1" i="6">
      <x v="6"/>
    </i>
    <i>
      <x v="4"/>
      <x/>
    </i>
    <i r="1" i="1">
      <x v="1"/>
    </i>
    <i r="1" i="2">
      <x v="2"/>
    </i>
    <i r="1" i="3">
      <x v="3"/>
    </i>
    <i r="1" i="4">
      <x v="4"/>
    </i>
    <i r="1" i="5">
      <x v="5"/>
    </i>
    <i r="1" i="6">
      <x v="6"/>
    </i>
    <i>
      <x v="5"/>
      <x/>
    </i>
    <i r="1" i="1">
      <x v="1"/>
    </i>
    <i r="1" i="2">
      <x v="2"/>
    </i>
    <i r="1" i="3">
      <x v="3"/>
    </i>
    <i r="1" i="4">
      <x v="4"/>
    </i>
    <i r="1" i="5">
      <x v="5"/>
    </i>
    <i r="1" i="6">
      <x v="6"/>
    </i>
    <i>
      <x v="6"/>
      <x/>
    </i>
    <i r="1" i="1">
      <x v="1"/>
    </i>
    <i r="1" i="2">
      <x v="2"/>
    </i>
    <i r="1" i="3">
      <x v="3"/>
    </i>
    <i r="1" i="4">
      <x v="4"/>
    </i>
    <i r="1" i="5">
      <x v="5"/>
    </i>
    <i r="1" i="6">
      <x v="6"/>
    </i>
    <i>
      <x v="7"/>
      <x/>
    </i>
    <i r="1" i="1">
      <x v="1"/>
    </i>
    <i r="1" i="2">
      <x v="2"/>
    </i>
    <i r="1" i="3">
      <x v="3"/>
    </i>
    <i r="1" i="4">
      <x v="4"/>
    </i>
    <i r="1" i="5">
      <x v="5"/>
    </i>
    <i r="1" i="6">
      <x v="6"/>
    </i>
    <i>
      <x v="8"/>
      <x/>
    </i>
    <i r="1" i="1">
      <x v="1"/>
    </i>
    <i r="1" i="2">
      <x v="2"/>
    </i>
    <i r="1" i="3">
      <x v="3"/>
    </i>
    <i r="1" i="4">
      <x v="4"/>
    </i>
    <i r="1" i="5">
      <x v="5"/>
    </i>
    <i r="1" i="6">
      <x v="6"/>
    </i>
    <i>
      <x v="9"/>
      <x/>
    </i>
    <i r="1" i="1">
      <x v="1"/>
    </i>
    <i r="1" i="2">
      <x v="2"/>
    </i>
    <i r="1" i="3">
      <x v="3"/>
    </i>
    <i r="1" i="4">
      <x v="4"/>
    </i>
    <i r="1" i="5">
      <x v="5"/>
    </i>
    <i r="1" i="6">
      <x v="6"/>
    </i>
    <i>
      <x v="10"/>
      <x/>
    </i>
    <i r="1" i="1">
      <x v="1"/>
    </i>
    <i r="1" i="2">
      <x v="2"/>
    </i>
    <i r="1" i="3">
      <x v="3"/>
    </i>
    <i r="1" i="4">
      <x v="4"/>
    </i>
    <i r="1" i="5">
      <x v="5"/>
    </i>
    <i r="1" i="6">
      <x v="6"/>
    </i>
    <i>
      <x v="11"/>
      <x/>
    </i>
    <i r="1" i="1">
      <x v="1"/>
    </i>
    <i r="1" i="2">
      <x v="2"/>
    </i>
    <i r="1" i="3">
      <x v="3"/>
    </i>
    <i r="1" i="4">
      <x v="4"/>
    </i>
    <i r="1" i="5">
      <x v="5"/>
    </i>
    <i r="1" i="6">
      <x v="6"/>
    </i>
    <i>
      <x v="12"/>
      <x/>
    </i>
    <i r="1" i="1">
      <x v="1"/>
    </i>
    <i r="1" i="2">
      <x v="2"/>
    </i>
    <i r="1" i="3">
      <x v="3"/>
    </i>
    <i r="1" i="4">
      <x v="4"/>
    </i>
    <i r="1" i="5">
      <x v="5"/>
    </i>
    <i r="1" i="6">
      <x v="6"/>
    </i>
    <i>
      <x v="13"/>
      <x/>
    </i>
    <i r="1" i="1">
      <x v="1"/>
    </i>
    <i r="1" i="2">
      <x v="2"/>
    </i>
    <i r="1" i="3">
      <x v="3"/>
    </i>
    <i r="1" i="4">
      <x v="4"/>
    </i>
    <i r="1" i="5">
      <x v="5"/>
    </i>
    <i r="1" i="6">
      <x v="6"/>
    </i>
    <i>
      <x v="14"/>
      <x/>
    </i>
    <i r="1" i="1">
      <x v="1"/>
    </i>
    <i r="1" i="2">
      <x v="2"/>
    </i>
    <i r="1" i="3">
      <x v="3"/>
    </i>
    <i r="1" i="4">
      <x v="4"/>
    </i>
    <i r="1" i="5">
      <x v="5"/>
    </i>
    <i r="1" i="6">
      <x v="6"/>
    </i>
    <i>
      <x v="15"/>
      <x/>
    </i>
    <i r="1" i="1">
      <x v="1"/>
    </i>
    <i r="1" i="2">
      <x v="2"/>
    </i>
    <i r="1" i="3">
      <x v="3"/>
    </i>
    <i r="1" i="4">
      <x v="4"/>
    </i>
    <i r="1" i="5">
      <x v="5"/>
    </i>
    <i r="1" i="6">
      <x v="6"/>
    </i>
    <i t="grand">
      <x/>
    </i>
    <i t="grand" i="1">
      <x/>
    </i>
    <i t="grand" i="2">
      <x/>
    </i>
    <i t="grand" i="3">
      <x/>
    </i>
    <i t="grand" i="4">
      <x/>
    </i>
    <i t="grand" i="5">
      <x/>
    </i>
    <i t="grand" i="6">
      <x/>
    </i>
  </rowItems>
  <colFields count="2">
    <field x="43"/>
    <field x="4"/>
  </colFields>
  <colItems count="25">
    <i>
      <x/>
      <x/>
    </i>
    <i r="1">
      <x v="1"/>
    </i>
    <i r="1">
      <x v="2"/>
    </i>
    <i r="1">
      <x v="3"/>
    </i>
    <i r="1">
      <x v="4"/>
    </i>
    <i r="1">
      <x v="5"/>
    </i>
    <i t="default">
      <x/>
    </i>
    <i>
      <x v="1"/>
      <x v="6"/>
    </i>
    <i r="1">
      <x v="7"/>
    </i>
    <i r="1">
      <x v="8"/>
    </i>
    <i r="1">
      <x v="9"/>
    </i>
    <i t="default">
      <x v="1"/>
    </i>
    <i>
      <x v="2"/>
      <x v="10"/>
    </i>
    <i t="default">
      <x v="2"/>
    </i>
    <i>
      <x v="3"/>
      <x v="11"/>
    </i>
    <i r="1">
      <x v="12"/>
    </i>
    <i t="default">
      <x v="3"/>
    </i>
    <i>
      <x v="5"/>
      <x v="15"/>
    </i>
    <i t="default">
      <x v="5"/>
    </i>
    <i>
      <x v="6"/>
      <x v="16"/>
    </i>
    <i t="default">
      <x v="6"/>
    </i>
    <i>
      <x v="7"/>
      <x v="17"/>
    </i>
    <i t="default">
      <x v="7"/>
    </i>
    <i>
      <x v="8"/>
      <x v="18"/>
    </i>
    <i t="default">
      <x v="8"/>
    </i>
  </colItems>
  <dataFields count="7">
    <dataField name="Sum of Old-Total UGH" fld="44" baseField="0" baseItem="0" numFmtId="3"/>
    <dataField name="Sum of Old-Total HSH" fld="45" baseField="0" baseItem="0" numFmtId="3"/>
    <dataField name="Sum of Old-HS % of Total" fld="42" baseField="0" baseItem="0" numFmtId="3"/>
    <dataField name="Sum of New-Total UGH" fld="40" baseField="0" baseItem="0" numFmtId="3"/>
    <dataField name="Sum of New-Total HSH" fld="39" baseField="0" baseItem="0" numFmtId="3"/>
    <dataField name="Sum of New-HS % of Total" fld="41" baseField="0" baseItem="0" numFmtId="3"/>
    <dataField name=" HS Percentage-point Change" fld="46" baseField="0" baseItem="0" numFmtId="3"/>
  </dataFields>
  <formats count="99">
    <format dxfId="282">
      <pivotArea dataOnly="0" labelOnly="1" outline="0" fieldPosition="0">
        <references count="1">
          <reference field="0" count="1">
            <x v="4"/>
          </reference>
        </references>
      </pivotArea>
    </format>
    <format dxfId="281">
      <pivotArea type="all" dataOnly="0" outline="0" fieldPosition="0"/>
    </format>
    <format dxfId="280">
      <pivotArea dataOnly="0" labelOnly="1" outline="0" fieldPosition="0">
        <references count="2">
          <reference field="4294967294" count="1">
            <x v="0"/>
          </reference>
          <reference field="0" count="1" selected="0">
            <x v="4"/>
          </reference>
        </references>
      </pivotArea>
    </format>
    <format dxfId="279">
      <pivotArea dataOnly="0" labelOnly="1" outline="0" fieldPosition="0">
        <references count="2">
          <reference field="4294967294" count="1">
            <x v="2"/>
          </reference>
          <reference field="0" count="1" selected="0">
            <x v="4"/>
          </reference>
        </references>
      </pivotArea>
    </format>
    <format dxfId="278">
      <pivotArea dataOnly="0" labelOnly="1" outline="0" fieldPosition="0">
        <references count="2">
          <reference field="4294967294" count="1">
            <x v="5"/>
          </reference>
          <reference field="0" count="1" selected="0">
            <x v="4"/>
          </reference>
        </references>
      </pivotArea>
    </format>
    <format dxfId="277">
      <pivotArea field="0" grandRow="1" outline="0" collapsedLevelsAreSubtotals="1" axis="axisRow" fieldPosition="0">
        <references count="1">
          <reference field="4294967294" count="1" selected="0">
            <x v="2"/>
          </reference>
        </references>
      </pivotArea>
    </format>
    <format dxfId="276">
      <pivotArea field="0" grandRow="1" outline="0" collapsedLevelsAreSubtotals="1" axis="axisRow" fieldPosition="0">
        <references count="1">
          <reference field="4294967294" count="1" selected="0">
            <x v="2"/>
          </reference>
        </references>
      </pivotArea>
    </format>
    <format dxfId="275">
      <pivotArea field="43" grandRow="1" outline="0" collapsedLevelsAreSubtotals="1" axis="axisCol" fieldPosition="0">
        <references count="3">
          <reference field="4294967294" count="1" selected="0">
            <x v="5"/>
          </reference>
          <reference field="4" count="1" selected="0">
            <x v="3"/>
          </reference>
          <reference field="43" count="1" selected="0">
            <x v="0"/>
          </reference>
        </references>
      </pivotArea>
    </format>
    <format dxfId="274">
      <pivotArea outline="0" collapsedLevelsAreSubtotals="1" fieldPosition="0">
        <references count="4">
          <reference field="4294967294" count="1" selected="0">
            <x v="2"/>
          </reference>
          <reference field="0" count="1" selected="0">
            <x v="4"/>
          </reference>
          <reference field="4" count="1" selected="0">
            <x v="3"/>
          </reference>
          <reference field="43" count="1" selected="0">
            <x v="0"/>
          </reference>
        </references>
      </pivotArea>
    </format>
    <format dxfId="273">
      <pivotArea field="0" dataOnly="0" labelOnly="1" grandRow="1" outline="0" axis="axisRow" fieldPosition="0">
        <references count="1">
          <reference field="4294967294" count="1" selected="0">
            <x v="0"/>
          </reference>
        </references>
      </pivotArea>
    </format>
    <format dxfId="272">
      <pivotArea field="0" dataOnly="0" labelOnly="1" grandRow="1" outline="0" axis="axisRow" fieldPosition="0">
        <references count="1">
          <reference field="4294967294" count="1" selected="0">
            <x v="1"/>
          </reference>
        </references>
      </pivotArea>
    </format>
    <format dxfId="271">
      <pivotArea field="0" dataOnly="0" labelOnly="1" grandRow="1" outline="0" axis="axisRow" fieldPosition="0">
        <references count="1">
          <reference field="4294967294" count="1" selected="0">
            <x v="2"/>
          </reference>
        </references>
      </pivotArea>
    </format>
    <format dxfId="270">
      <pivotArea field="0" dataOnly="0" labelOnly="1" grandRow="1" outline="0" axis="axisRow" fieldPosition="0">
        <references count="1">
          <reference field="4294967294" count="1" selected="0">
            <x v="3"/>
          </reference>
        </references>
      </pivotArea>
    </format>
    <format dxfId="269">
      <pivotArea field="0" dataOnly="0" labelOnly="1" grandRow="1" outline="0" axis="axisRow" fieldPosition="0">
        <references count="1">
          <reference field="4294967294" count="1" selected="0">
            <x v="4"/>
          </reference>
        </references>
      </pivotArea>
    </format>
    <format dxfId="268">
      <pivotArea field="0" dataOnly="0" labelOnly="1" grandRow="1" outline="0" axis="axisRow" fieldPosition="0">
        <references count="1">
          <reference field="4294967294" count="1" selected="0">
            <x v="5"/>
          </reference>
        </references>
      </pivotArea>
    </format>
    <format dxfId="267">
      <pivotArea field="0" dataOnly="0" labelOnly="1" grandRow="1" outline="0" axis="axisRow" fieldPosition="0">
        <references count="1">
          <reference field="4294967294" count="1" selected="0">
            <x v="6"/>
          </reference>
        </references>
      </pivotArea>
    </format>
    <format dxfId="266">
      <pivotArea field="43" grandRow="1" outline="0" collapsedLevelsAreSubtotals="1" axis="axisCol" fieldPosition="0">
        <references count="3">
          <reference field="4294967294" count="1" selected="0">
            <x v="6"/>
          </reference>
          <reference field="4" count="1" selected="0">
            <x v="0"/>
          </reference>
          <reference field="43" count="1" selected="0">
            <x v="0"/>
          </reference>
        </references>
      </pivotArea>
    </format>
    <format dxfId="265">
      <pivotArea field="43" grandRow="1" outline="0" collapsedLevelsAreSubtotals="1" axis="axisCol" fieldPosition="0">
        <references count="3">
          <reference field="4294967294" count="1" selected="0">
            <x v="6"/>
          </reference>
          <reference field="4" count="5" selected="0">
            <x v="1"/>
            <x v="2"/>
            <x v="3"/>
            <x v="4"/>
            <x v="5"/>
          </reference>
          <reference field="43" count="1" selected="0">
            <x v="0"/>
          </reference>
        </references>
      </pivotArea>
    </format>
    <format dxfId="264">
      <pivotArea field="43" grandRow="1" outline="0" collapsedLevelsAreSubtotals="1" axis="axisCol" fieldPosition="0">
        <references count="2">
          <reference field="4294967294" count="1" selected="0">
            <x v="6"/>
          </reference>
          <reference field="43" count="1" selected="0" defaultSubtotal="1">
            <x v="0"/>
          </reference>
        </references>
      </pivotArea>
    </format>
    <format dxfId="263">
      <pivotArea field="43" grandRow="1" outline="0" collapsedLevelsAreSubtotals="1" axis="axisCol" fieldPosition="0">
        <references count="2">
          <reference field="4294967294" count="1" selected="0">
            <x v="6"/>
          </reference>
          <reference field="43" count="3" selected="0" defaultSubtotal="1">
            <x v="1"/>
            <x v="3"/>
            <x v="4"/>
          </reference>
        </references>
      </pivotArea>
    </format>
    <format dxfId="262">
      <pivotArea field="0" dataOnly="0" labelOnly="1" grandRow="1" outline="0" axis="axisRow" fieldPosition="0">
        <references count="1">
          <reference field="4294967294" count="1" selected="0">
            <x v="0"/>
          </reference>
        </references>
      </pivotArea>
    </format>
    <format dxfId="261">
      <pivotArea field="0" dataOnly="0" labelOnly="1" grandRow="1" outline="0" axis="axisRow" fieldPosition="0">
        <references count="1">
          <reference field="4294967294" count="1" selected="0">
            <x v="1"/>
          </reference>
        </references>
      </pivotArea>
    </format>
    <format dxfId="260">
      <pivotArea field="0" dataOnly="0" labelOnly="1" grandRow="1" outline="0" axis="axisRow" fieldPosition="0">
        <references count="1">
          <reference field="4294967294" count="1" selected="0">
            <x v="2"/>
          </reference>
        </references>
      </pivotArea>
    </format>
    <format dxfId="259">
      <pivotArea field="0" dataOnly="0" labelOnly="1" grandRow="1" outline="0" axis="axisRow" fieldPosition="0">
        <references count="1">
          <reference field="4294967294" count="1" selected="0">
            <x v="3"/>
          </reference>
        </references>
      </pivotArea>
    </format>
    <format dxfId="258">
      <pivotArea field="0" dataOnly="0" labelOnly="1" grandRow="1" outline="0" axis="axisRow" fieldPosition="0">
        <references count="1">
          <reference field="4294967294" count="1" selected="0">
            <x v="4"/>
          </reference>
        </references>
      </pivotArea>
    </format>
    <format dxfId="257">
      <pivotArea field="0" dataOnly="0" labelOnly="1" grandRow="1" outline="0" axis="axisRow" fieldPosition="0">
        <references count="1">
          <reference field="4294967294" count="1" selected="0">
            <x v="5"/>
          </reference>
        </references>
      </pivotArea>
    </format>
    <format dxfId="256">
      <pivotArea field="0" dataOnly="0" labelOnly="1" grandRow="1" outline="0" axis="axisRow" fieldPosition="0">
        <references count="1">
          <reference field="4294967294" count="1" selected="0">
            <x v="6"/>
          </reference>
        </references>
      </pivotArea>
    </format>
    <format dxfId="255">
      <pivotArea field="43" grandRow="1" outline="0" collapsedLevelsAreSubtotals="1" axis="axisCol" fieldPosition="0">
        <references count="3">
          <reference field="4294967294" count="1" selected="0">
            <x v="6"/>
          </reference>
          <reference field="4" count="2" selected="0">
            <x v="12"/>
            <x v="13"/>
          </reference>
          <reference field="43" count="1" selected="0">
            <x v="3"/>
          </reference>
        </references>
      </pivotArea>
    </format>
    <format dxfId="254">
      <pivotArea field="43" grandRow="1" outline="0" collapsedLevelsAreSubtotals="1" axis="axisCol" fieldPosition="0">
        <references count="2">
          <reference field="4294967294" count="1" selected="0">
            <x v="6"/>
          </reference>
          <reference field="43" count="1" selected="0" defaultSubtotal="1">
            <x v="3"/>
          </reference>
        </references>
      </pivotArea>
    </format>
    <format dxfId="253">
      <pivotArea field="43" grandRow="1" outline="0" collapsedLevelsAreSubtotals="1" axis="axisCol" fieldPosition="0">
        <references count="2">
          <reference field="4294967294" count="1" selected="0">
            <x v="6"/>
          </reference>
          <reference field="43" count="1" selected="0" defaultSubtotal="1">
            <x v="4"/>
          </reference>
        </references>
      </pivotArea>
    </format>
    <format dxfId="252">
      <pivotArea field="43" grandRow="1" outline="0" collapsedLevelsAreSubtotals="1" axis="axisCol" fieldPosition="0">
        <references count="2">
          <reference field="4294967294" count="1" selected="0">
            <x v="6"/>
          </reference>
          <reference field="43" count="2" selected="0" defaultSubtotal="1">
            <x v="0"/>
            <x v="1"/>
          </reference>
        </references>
      </pivotArea>
    </format>
    <format dxfId="251">
      <pivotArea field="43" grandRow="1" outline="0" collapsedLevelsAreSubtotals="1" axis="axisCol" fieldPosition="0">
        <references count="3">
          <reference field="4294967294" count="1" selected="0">
            <x v="6"/>
          </reference>
          <reference field="4" count="1" selected="0">
            <x v="11"/>
          </reference>
          <reference field="43" count="1" selected="0">
            <x v="3"/>
          </reference>
        </references>
      </pivotArea>
    </format>
    <format dxfId="250">
      <pivotArea outline="0" collapsedLevelsAreSubtotals="1" fieldPosition="0">
        <references count="1">
          <reference field="43" count="3" selected="0" defaultSubtotal="1">
            <x v="0"/>
            <x v="1"/>
            <x v="3"/>
          </reference>
        </references>
      </pivotArea>
    </format>
    <format dxfId="249">
      <pivotArea field="43" type="button" dataOnly="0" labelOnly="1" outline="0" axis="axisCol" fieldPosition="0"/>
    </format>
    <format dxfId="248">
      <pivotArea field="4" type="button" dataOnly="0" labelOnly="1" outline="0" axis="axisCol" fieldPosition="1"/>
    </format>
    <format dxfId="247">
      <pivotArea type="topRight" dataOnly="0" labelOnly="1" outline="0" fieldPosition="0"/>
    </format>
    <format dxfId="246">
      <pivotArea dataOnly="0" labelOnly="1" outline="0" fieldPosition="0">
        <references count="1">
          <reference field="43" count="3">
            <x v="0"/>
            <x v="1"/>
            <x v="3"/>
          </reference>
        </references>
      </pivotArea>
    </format>
    <format dxfId="245">
      <pivotArea dataOnly="0" labelOnly="1" outline="0" fieldPosition="0">
        <references count="1">
          <reference field="43" count="3" defaultSubtotal="1">
            <x v="0"/>
            <x v="1"/>
            <x v="3"/>
          </reference>
        </references>
      </pivotArea>
    </format>
    <format dxfId="244">
      <pivotArea dataOnly="0" labelOnly="1" outline="0" fieldPosition="0">
        <references count="2">
          <reference field="4" count="6">
            <x v="0"/>
            <x v="1"/>
            <x v="2"/>
            <x v="3"/>
            <x v="4"/>
            <x v="5"/>
          </reference>
          <reference field="43" count="1" selected="0">
            <x v="0"/>
          </reference>
        </references>
      </pivotArea>
    </format>
    <format dxfId="243">
      <pivotArea dataOnly="0" labelOnly="1" outline="0" fieldPosition="0">
        <references count="2">
          <reference field="4" count="4">
            <x v="6"/>
            <x v="7"/>
            <x v="8"/>
            <x v="9"/>
          </reference>
          <reference field="43" count="1" selected="0">
            <x v="1"/>
          </reference>
        </references>
      </pivotArea>
    </format>
    <format dxfId="242">
      <pivotArea dataOnly="0" labelOnly="1" outline="0" fieldPosition="0">
        <references count="2">
          <reference field="4" count="2">
            <x v="11"/>
            <x v="12"/>
          </reference>
          <reference field="43" count="1" selected="0">
            <x v="3"/>
          </reference>
        </references>
      </pivotArea>
    </format>
    <format dxfId="241">
      <pivotArea field="0" grandRow="1" outline="0" collapsedLevelsAreSubtotals="1" axis="axisRow" fieldPosition="0">
        <references count="1">
          <reference field="4294967294" count="1" selected="0">
            <x v="6"/>
          </reference>
        </references>
      </pivotArea>
    </format>
    <format dxfId="240">
      <pivotArea field="0" dataOnly="0" labelOnly="1" grandRow="1" outline="0" offset="IV256" axis="axisRow" fieldPosition="0">
        <references count="1">
          <reference field="4294967294" count="1" selected="0">
            <x v="0"/>
          </reference>
        </references>
      </pivotArea>
    </format>
    <format dxfId="239">
      <pivotArea field="0" dataOnly="0" labelOnly="1" grandRow="1" outline="0" offset="IV256" axis="axisRow" fieldPosition="0">
        <references count="1">
          <reference field="4294967294" count="1" selected="0">
            <x v="1"/>
          </reference>
        </references>
      </pivotArea>
    </format>
    <format dxfId="238">
      <pivotArea field="0" dataOnly="0" labelOnly="1" grandRow="1" outline="0" offset="IV256" axis="axisRow" fieldPosition="0">
        <references count="1">
          <reference field="4294967294" count="1" selected="0">
            <x v="2"/>
          </reference>
        </references>
      </pivotArea>
    </format>
    <format dxfId="237">
      <pivotArea field="0" dataOnly="0" labelOnly="1" grandRow="1" outline="0" offset="IV256" axis="axisRow" fieldPosition="0">
        <references count="1">
          <reference field="4294967294" count="1" selected="0">
            <x v="3"/>
          </reference>
        </references>
      </pivotArea>
    </format>
    <format dxfId="236">
      <pivotArea field="0" dataOnly="0" labelOnly="1" grandRow="1" outline="0" offset="IV256" axis="axisRow" fieldPosition="0">
        <references count="1">
          <reference field="4294967294" count="1" selected="0">
            <x v="4"/>
          </reference>
        </references>
      </pivotArea>
    </format>
    <format dxfId="235">
      <pivotArea field="0" dataOnly="0" labelOnly="1" grandRow="1" outline="0" offset="IV256" axis="axisRow" fieldPosition="0">
        <references count="1">
          <reference field="4294967294" count="1" selected="0">
            <x v="5"/>
          </reference>
        </references>
      </pivotArea>
    </format>
    <format dxfId="234">
      <pivotArea field="0" dataOnly="0" labelOnly="1" grandRow="1" outline="0" offset="IV256" axis="axisRow" fieldPosition="0">
        <references count="1">
          <reference field="4294967294" count="1" selected="0">
            <x v="6"/>
          </reference>
        </references>
      </pivotArea>
    </format>
    <format dxfId="233">
      <pivotArea outline="0" collapsedLevelsAreSubtotals="1" fieldPosition="0">
        <references count="3">
          <reference field="4294967294" count="1" selected="0">
            <x v="2"/>
          </reference>
          <reference field="0" count="1" selected="0">
            <x v="4"/>
          </reference>
          <reference field="43" count="3" selected="0" defaultSubtotal="1">
            <x v="0"/>
            <x v="1"/>
            <x v="2"/>
          </reference>
        </references>
      </pivotArea>
    </format>
    <format dxfId="232">
      <pivotArea outline="0" collapsedLevelsAreSubtotals="1" fieldPosition="0">
        <references count="4">
          <reference field="4294967294" count="1" selected="0">
            <x v="2"/>
          </reference>
          <reference field="0" count="1" selected="0">
            <x v="4"/>
          </reference>
          <reference field="4" count="1" selected="0">
            <x v="11"/>
          </reference>
          <reference field="43" count="1" selected="0">
            <x v="3"/>
          </reference>
        </references>
      </pivotArea>
    </format>
    <format dxfId="231">
      <pivotArea outline="0" collapsedLevelsAreSubtotals="1" fieldPosition="0">
        <references count="3">
          <reference field="4294967294" count="2" selected="0">
            <x v="5"/>
            <x v="6"/>
          </reference>
          <reference field="0" count="1" selected="0">
            <x v="4"/>
          </reference>
          <reference field="43" count="3" selected="0" defaultSubtotal="1">
            <x v="0"/>
            <x v="1"/>
            <x v="2"/>
          </reference>
        </references>
      </pivotArea>
    </format>
    <format dxfId="230">
      <pivotArea outline="0" collapsedLevelsAreSubtotals="1" fieldPosition="0">
        <references count="4">
          <reference field="4294967294" count="2" selected="0">
            <x v="5"/>
            <x v="6"/>
          </reference>
          <reference field="0" count="1" selected="0">
            <x v="4"/>
          </reference>
          <reference field="4" count="1" selected="0">
            <x v="11"/>
          </reference>
          <reference field="43" count="1" selected="0">
            <x v="3"/>
          </reference>
        </references>
      </pivotArea>
    </format>
    <format dxfId="229">
      <pivotArea outline="0" collapsedLevelsAreSubtotals="1" fieldPosition="0">
        <references count="2">
          <reference field="4" count="1" selected="0">
            <x v="12"/>
          </reference>
          <reference field="43" count="1" selected="0">
            <x v="3"/>
          </reference>
        </references>
      </pivotArea>
    </format>
    <format dxfId="228">
      <pivotArea outline="0" collapsedLevelsAreSubtotals="1" fieldPosition="0">
        <references count="1">
          <reference field="43" count="1" selected="0" defaultSubtotal="1">
            <x v="3"/>
          </reference>
        </references>
      </pivotArea>
    </format>
    <format dxfId="227">
      <pivotArea type="topRight" dataOnly="0" labelOnly="1" outline="0" offset="N1:O1" fieldPosition="0"/>
    </format>
    <format dxfId="226">
      <pivotArea dataOnly="0" labelOnly="1" outline="0" offset="IV256" fieldPosition="0">
        <references count="1">
          <reference field="43" count="1">
            <x v="3"/>
          </reference>
        </references>
      </pivotArea>
    </format>
    <format dxfId="225">
      <pivotArea dataOnly="0" labelOnly="1" outline="0" fieldPosition="0">
        <references count="1">
          <reference field="43" count="1" defaultSubtotal="1">
            <x v="3"/>
          </reference>
        </references>
      </pivotArea>
    </format>
    <format dxfId="224">
      <pivotArea dataOnly="0" labelOnly="1" outline="0" fieldPosition="0">
        <references count="2">
          <reference field="4" count="1">
            <x v="12"/>
          </reference>
          <reference field="43" count="1" selected="0">
            <x v="3"/>
          </reference>
        </references>
      </pivotArea>
    </format>
    <format dxfId="223">
      <pivotArea outline="0" collapsedLevelsAreSubtotals="1" fieldPosition="0">
        <references count="4">
          <reference field="4294967294" count="1" selected="0">
            <x v="6"/>
          </reference>
          <reference field="0" count="1" selected="0">
            <x v="0"/>
          </reference>
          <reference field="4" count="1" selected="0">
            <x v="12"/>
          </reference>
          <reference field="43" count="1" selected="0">
            <x v="3"/>
          </reference>
        </references>
      </pivotArea>
    </format>
    <format dxfId="222">
      <pivotArea outline="0" collapsedLevelsAreSubtotals="1" fieldPosition="0">
        <references count="4">
          <reference field="4294967294" count="1" selected="0">
            <x v="6"/>
          </reference>
          <reference field="0" count="1" selected="0">
            <x v="1"/>
          </reference>
          <reference field="4" count="1" selected="0">
            <x v="9"/>
          </reference>
          <reference field="43" count="1" selected="0">
            <x v="1"/>
          </reference>
        </references>
      </pivotArea>
    </format>
    <format dxfId="221">
      <pivotArea outline="0" collapsedLevelsAreSubtotals="1" fieldPosition="0">
        <references count="4">
          <reference field="4294967294" count="1" selected="0">
            <x v="6"/>
          </reference>
          <reference field="0" count="1" selected="0">
            <x v="4"/>
          </reference>
          <reference field="4" count="2" selected="0">
            <x v="6"/>
            <x v="7"/>
          </reference>
          <reference field="43" count="1" selected="0">
            <x v="1"/>
          </reference>
        </references>
      </pivotArea>
    </format>
    <format dxfId="220">
      <pivotArea outline="0" collapsedLevelsAreSubtotals="1" fieldPosition="0">
        <references count="4">
          <reference field="4294967294" count="1" selected="0">
            <x v="6"/>
          </reference>
          <reference field="0" count="1" selected="0">
            <x v="5"/>
          </reference>
          <reference field="4" count="1" selected="0">
            <x v="11"/>
          </reference>
          <reference field="43" count="1" selected="0">
            <x v="3"/>
          </reference>
        </references>
      </pivotArea>
    </format>
    <format dxfId="219">
      <pivotArea outline="0" collapsedLevelsAreSubtotals="1" fieldPosition="0">
        <references count="4">
          <reference field="4294967294" count="1" selected="0">
            <x v="6"/>
          </reference>
          <reference field="0" count="1" selected="0">
            <x v="5"/>
          </reference>
          <reference field="4" count="2" selected="0">
            <x v="8"/>
            <x v="9"/>
          </reference>
          <reference field="43" count="1" selected="0">
            <x v="1"/>
          </reference>
        </references>
      </pivotArea>
    </format>
    <format dxfId="218">
      <pivotArea outline="0" collapsedLevelsAreSubtotals="1" fieldPosition="0">
        <references count="4">
          <reference field="4294967294" count="1" selected="0">
            <x v="6"/>
          </reference>
          <reference field="0" count="1" selected="0">
            <x v="10"/>
          </reference>
          <reference field="4" count="1" selected="0">
            <x v="8"/>
          </reference>
          <reference field="43" count="1" selected="0">
            <x v="1"/>
          </reference>
        </references>
      </pivotArea>
    </format>
    <format dxfId="217">
      <pivotArea outline="0" collapsedLevelsAreSubtotals="1" fieldPosition="0">
        <references count="4">
          <reference field="4294967294" count="1" selected="0">
            <x v="6"/>
          </reference>
          <reference field="0" count="1" selected="0">
            <x v="13"/>
          </reference>
          <reference field="4" count="1" selected="0">
            <x v="6"/>
          </reference>
          <reference field="43" count="1" selected="0">
            <x v="1"/>
          </reference>
        </references>
      </pivotArea>
    </format>
    <format dxfId="216">
      <pivotArea outline="0" collapsedLevelsAreSubtotals="1" fieldPosition="0">
        <references count="4">
          <reference field="4294967294" count="1" selected="0">
            <x v="6"/>
          </reference>
          <reference field="0" count="1" selected="0">
            <x v="13"/>
          </reference>
          <reference field="4" count="1" selected="0">
            <x v="9"/>
          </reference>
          <reference field="43" count="1" selected="0">
            <x v="1"/>
          </reference>
        </references>
      </pivotArea>
    </format>
    <format dxfId="215">
      <pivotArea outline="0" collapsedLevelsAreSubtotals="1" fieldPosition="0">
        <references count="4">
          <reference field="4294967294" count="1" selected="0">
            <x v="6"/>
          </reference>
          <reference field="0" count="1" selected="0">
            <x v="3"/>
          </reference>
          <reference field="4" count="1" selected="0">
            <x v="8"/>
          </reference>
          <reference field="43" count="1" selected="0">
            <x v="1"/>
          </reference>
        </references>
      </pivotArea>
    </format>
    <format dxfId="214">
      <pivotArea outline="0" collapsedLevelsAreSubtotals="1" fieldPosition="0">
        <references count="4">
          <reference field="4294967294" count="1" selected="0">
            <x v="6"/>
          </reference>
          <reference field="0" count="1" selected="0">
            <x v="13"/>
          </reference>
          <reference field="4" count="1" selected="0">
            <x v="10"/>
          </reference>
          <reference field="43" count="1" selected="0">
            <x v="2"/>
          </reference>
        </references>
      </pivotArea>
    </format>
    <format dxfId="213">
      <pivotArea outline="0" collapsedLevelsAreSubtotals="1" fieldPosition="0">
        <references count="4">
          <reference field="4294967294" count="1" selected="0">
            <x v="6"/>
          </reference>
          <reference field="0" count="1" selected="0">
            <x v="14"/>
          </reference>
          <reference field="4" count="1" selected="0">
            <x v="10"/>
          </reference>
          <reference field="43" count="1" selected="0">
            <x v="2"/>
          </reference>
        </references>
      </pivotArea>
    </format>
    <format dxfId="212">
      <pivotArea outline="0" collapsedLevelsAreSubtotals="1" fieldPosition="0">
        <references count="4">
          <reference field="4294967294" count="1" selected="0">
            <x v="6"/>
          </reference>
          <reference field="0" count="1" selected="0">
            <x v="14"/>
          </reference>
          <reference field="4" count="1" selected="0">
            <x v="9"/>
          </reference>
          <reference field="43" count="1" selected="0">
            <x v="1"/>
          </reference>
        </references>
      </pivotArea>
    </format>
    <format dxfId="211">
      <pivotArea outline="0" collapsedLevelsAreSubtotals="1" fieldPosition="0">
        <references count="4">
          <reference field="4294967294" count="1" selected="0">
            <x v="6"/>
          </reference>
          <reference field="0" count="1" selected="0">
            <x v="14"/>
          </reference>
          <reference field="4" count="1" selected="0">
            <x v="8"/>
          </reference>
          <reference field="43" count="1" selected="0">
            <x v="1"/>
          </reference>
        </references>
      </pivotArea>
    </format>
    <format dxfId="210">
      <pivotArea field="0" dataOnly="0" labelOnly="1" grandRow="1" outline="0" offset="A256" axis="axisRow" fieldPosition="0">
        <references count="1">
          <reference field="4294967294" count="1" selected="0">
            <x v="0"/>
          </reference>
        </references>
      </pivotArea>
    </format>
    <format dxfId="209">
      <pivotArea field="0" dataOnly="0" labelOnly="1" grandRow="1" outline="0" offset="A256" axis="axisRow" fieldPosition="0">
        <references count="1">
          <reference field="4294967294" count="1" selected="0">
            <x v="1"/>
          </reference>
        </references>
      </pivotArea>
    </format>
    <format dxfId="208">
      <pivotArea field="0" dataOnly="0" labelOnly="1" grandRow="1" outline="0" offset="A256" axis="axisRow" fieldPosition="0">
        <references count="1">
          <reference field="4294967294" count="1" selected="0">
            <x v="2"/>
          </reference>
        </references>
      </pivotArea>
    </format>
    <format dxfId="207">
      <pivotArea field="0" dataOnly="0" labelOnly="1" grandRow="1" outline="0" offset="A256" axis="axisRow" fieldPosition="0">
        <references count="1">
          <reference field="4294967294" count="1" selected="0">
            <x v="3"/>
          </reference>
        </references>
      </pivotArea>
    </format>
    <format dxfId="206">
      <pivotArea field="0" dataOnly="0" labelOnly="1" grandRow="1" outline="0" offset="A256" axis="axisRow" fieldPosition="0">
        <references count="1">
          <reference field="4294967294" count="1" selected="0">
            <x v="4"/>
          </reference>
        </references>
      </pivotArea>
    </format>
    <format dxfId="205">
      <pivotArea field="0" dataOnly="0" labelOnly="1" grandRow="1" outline="0" offset="A256" axis="axisRow" fieldPosition="0">
        <references count="1">
          <reference field="4294967294" count="1" selected="0">
            <x v="5"/>
          </reference>
        </references>
      </pivotArea>
    </format>
    <format dxfId="204">
      <pivotArea field="0" dataOnly="0" labelOnly="1" grandRow="1" outline="0" offset="A256" axis="axisRow" fieldPosition="0">
        <references count="1">
          <reference field="4294967294" count="1" selected="0">
            <x v="6"/>
          </reference>
        </references>
      </pivotArea>
    </format>
    <format dxfId="203">
      <pivotArea field="43" grandRow="1" outline="0" collapsedLevelsAreSubtotals="1" axis="axisCol" fieldPosition="0">
        <references count="2">
          <reference field="4294967294" count="7" selected="0">
            <x v="0"/>
            <x v="1"/>
            <x v="2"/>
            <x v="3"/>
            <x v="4"/>
            <x v="5"/>
            <x v="6"/>
          </reference>
          <reference field="43" count="4" selected="0" defaultSubtotal="1">
            <x v="0"/>
            <x v="1"/>
            <x v="2"/>
            <x v="3"/>
          </reference>
        </references>
      </pivotArea>
    </format>
    <format dxfId="202">
      <pivotArea field="0" dataOnly="0" labelOnly="1" grandRow="1" outline="0" axis="axisRow" fieldPosition="0">
        <references count="1">
          <reference field="4294967294" count="1" selected="0">
            <x v="0"/>
          </reference>
        </references>
      </pivotArea>
    </format>
    <format dxfId="201">
      <pivotArea field="0" dataOnly="0" labelOnly="1" grandRow="1" outline="0" axis="axisRow" fieldPosition="0">
        <references count="1">
          <reference field="4294967294" count="1" selected="0">
            <x v="1"/>
          </reference>
        </references>
      </pivotArea>
    </format>
    <format dxfId="200">
      <pivotArea field="0" dataOnly="0" labelOnly="1" grandRow="1" outline="0" axis="axisRow" fieldPosition="0">
        <references count="1">
          <reference field="4294967294" count="1" selected="0">
            <x v="2"/>
          </reference>
        </references>
      </pivotArea>
    </format>
    <format dxfId="199">
      <pivotArea field="0" dataOnly="0" labelOnly="1" grandRow="1" outline="0" axis="axisRow" fieldPosition="0">
        <references count="1">
          <reference field="4294967294" count="1" selected="0">
            <x v="3"/>
          </reference>
        </references>
      </pivotArea>
    </format>
    <format dxfId="198">
      <pivotArea field="0" dataOnly="0" labelOnly="1" grandRow="1" outline="0" axis="axisRow" fieldPosition="0">
        <references count="1">
          <reference field="4294967294" count="1" selected="0">
            <x v="4"/>
          </reference>
        </references>
      </pivotArea>
    </format>
    <format dxfId="197">
      <pivotArea field="0" dataOnly="0" labelOnly="1" grandRow="1" outline="0" axis="axisRow" fieldPosition="0">
        <references count="1">
          <reference field="4294967294" count="1" selected="0">
            <x v="5"/>
          </reference>
        </references>
      </pivotArea>
    </format>
    <format dxfId="196">
      <pivotArea field="0" dataOnly="0" labelOnly="1" grandRow="1" outline="0" axis="axisRow" fieldPosition="0">
        <references count="1">
          <reference field="4294967294" count="1" selected="0">
            <x v="6"/>
          </reference>
        </references>
      </pivotArea>
    </format>
    <format dxfId="195">
      <pivotArea outline="0" collapsedLevelsAreSubtotals="1" fieldPosition="0">
        <references count="3">
          <reference field="4294967294" count="7" selected="0">
            <x v="0"/>
            <x v="1"/>
            <x v="2"/>
            <x v="3"/>
            <x v="4"/>
            <x v="5"/>
            <x v="6"/>
          </reference>
          <reference field="0" count="1" selected="0">
            <x v="12"/>
          </reference>
          <reference field="43" count="4" selected="0" defaultSubtotal="1">
            <x v="5"/>
            <x v="6"/>
            <x v="7"/>
            <x v="8"/>
          </reference>
        </references>
      </pivotArea>
    </format>
    <format dxfId="194">
      <pivotArea outline="0" collapsedLevelsAreSubtotals="1" fieldPosition="0">
        <references count="4">
          <reference field="4294967294" count="1" selected="0">
            <x v="6"/>
          </reference>
          <reference field="0" count="1" selected="0">
            <x v="6"/>
          </reference>
          <reference field="4" count="4" selected="0">
            <x v="2"/>
            <x v="3"/>
            <x v="4"/>
            <x v="5"/>
          </reference>
          <reference field="43" count="1" selected="0">
            <x v="0"/>
          </reference>
        </references>
      </pivotArea>
    </format>
    <format dxfId="193">
      <pivotArea outline="0" collapsedLevelsAreSubtotals="1" fieldPosition="0">
        <references count="4">
          <reference field="4294967294" count="1" selected="0">
            <x v="6"/>
          </reference>
          <reference field="0" count="1" selected="0">
            <x v="6"/>
          </reference>
          <reference field="4" count="1" selected="0">
            <x v="11"/>
          </reference>
          <reference field="43" count="1" selected="0">
            <x v="3"/>
          </reference>
        </references>
      </pivotArea>
    </format>
    <format dxfId="192">
      <pivotArea outline="0" collapsedLevelsAreSubtotals="1" fieldPosition="0">
        <references count="4">
          <reference field="4294967294" count="1" selected="0">
            <x v="6"/>
          </reference>
          <reference field="0" count="1" selected="0">
            <x v="6"/>
          </reference>
          <reference field="4" count="2" selected="0">
            <x v="8"/>
            <x v="9"/>
          </reference>
          <reference field="43" count="1" selected="0">
            <x v="1"/>
          </reference>
        </references>
      </pivotArea>
    </format>
    <format dxfId="191">
      <pivotArea outline="0" collapsedLevelsAreSubtotals="1" fieldPosition="0">
        <references count="4">
          <reference field="4294967294" count="1" selected="0">
            <x v="5"/>
          </reference>
          <reference field="0" count="1" selected="0">
            <x v="1"/>
          </reference>
          <reference field="4" count="1" selected="0">
            <x v="0"/>
          </reference>
          <reference field="43" count="1" selected="0">
            <x v="0"/>
          </reference>
        </references>
      </pivotArea>
    </format>
    <format dxfId="190">
      <pivotArea outline="0" collapsedLevelsAreSubtotals="1" fieldPosition="0">
        <references count="4">
          <reference field="4294967294" count="1" selected="0">
            <x v="5"/>
          </reference>
          <reference field="0" count="1" selected="0">
            <x v="9"/>
          </reference>
          <reference field="4" count="1" selected="0">
            <x v="0"/>
          </reference>
          <reference field="43" count="1" selected="0">
            <x v="0"/>
          </reference>
        </references>
      </pivotArea>
    </format>
    <format dxfId="189">
      <pivotArea outline="0" collapsedLevelsAreSubtotals="1" fieldPosition="0">
        <references count="4">
          <reference field="4294967294" count="1" selected="0">
            <x v="5"/>
          </reference>
          <reference field="0" count="1" selected="0">
            <x v="13"/>
          </reference>
          <reference field="4" count="1" selected="0">
            <x v="0"/>
          </reference>
          <reference field="43" count="1" selected="0">
            <x v="0"/>
          </reference>
        </references>
      </pivotArea>
    </format>
    <format dxfId="188">
      <pivotArea outline="0" collapsedLevelsAreSubtotals="1" fieldPosition="0">
        <references count="4">
          <reference field="4294967294" count="1" selected="0">
            <x v="5"/>
          </reference>
          <reference field="0" count="1" selected="0">
            <x v="14"/>
          </reference>
          <reference field="4" count="1" selected="0">
            <x v="3"/>
          </reference>
          <reference field="43" count="1" selected="0">
            <x v="0"/>
          </reference>
        </references>
      </pivotArea>
    </format>
    <format dxfId="187">
      <pivotArea outline="0" collapsedLevelsAreSubtotals="1" fieldPosition="0">
        <references count="4">
          <reference field="4294967294" count="1" selected="0">
            <x v="5"/>
          </reference>
          <reference field="0" count="1" selected="0">
            <x v="14"/>
          </reference>
          <reference field="4" count="1" selected="0">
            <x v="4"/>
          </reference>
          <reference field="43" count="1" selected="0">
            <x v="0"/>
          </reference>
        </references>
      </pivotArea>
    </format>
    <format dxfId="186">
      <pivotArea outline="0" collapsedLevelsAreSubtotals="1" fieldPosition="0">
        <references count="4">
          <reference field="4294967294" count="1" selected="0">
            <x v="5"/>
          </reference>
          <reference field="0" count="1" selected="0">
            <x v="14"/>
          </reference>
          <reference field="4" count="1" selected="0">
            <x v="5"/>
          </reference>
          <reference field="43" count="1" selected="0">
            <x v="0"/>
          </reference>
        </references>
      </pivotArea>
    </format>
    <format dxfId="185">
      <pivotArea outline="0" collapsedLevelsAreSubtotals="1" fieldPosition="0">
        <references count="4">
          <reference field="4294967294" count="1" selected="0">
            <x v="5"/>
          </reference>
          <reference field="0" count="1" selected="0">
            <x v="15"/>
          </reference>
          <reference field="4" count="1" selected="0">
            <x v="4"/>
          </reference>
          <reference field="43" count="1" selected="0">
            <x v="0"/>
          </reference>
        </references>
      </pivotArea>
    </format>
    <format dxfId="184">
      <pivotArea outline="0" collapsedLevelsAreSubtotals="1" fieldPosition="0">
        <references count="4">
          <reference field="4294967294" count="1" selected="0">
            <x v="2"/>
          </reference>
          <reference field="0" count="1" selected="0">
            <x v="15"/>
          </reference>
          <reference field="4" count="1" selected="0">
            <x v="4"/>
          </reference>
          <reference field="43" count="1" selected="0">
            <x v="0"/>
          </reference>
        </references>
      </pivotArea>
    </format>
  </formats>
  <pivotTableStyleInfo showRowHeaders="1" showColHeaders="1" showRowStripes="0" showColStripes="0" showLastColumn="1"/>
</pivotTableDefinition>
</file>

<file path=xl/queryTables/queryTable1.xml><?xml version="1.0" encoding="utf-8"?>
<queryTable xmlns="http://schemas.openxmlformats.org/spreadsheetml/2006/main" name="JrSCH08ug3_1" connectionId="14"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JrSCH08ug1_1" connectionId="12" autoFormatId="16" applyNumberFormats="0" applyBorderFormats="0" applyFontFormats="1" applyPatternFormats="1" applyAlignmentFormats="0" applyWidthHeightFormats="0"/>
</file>

<file path=xl/queryTables/queryTable3.xml><?xml version="1.0" encoding="utf-8"?>
<queryTable xmlns="http://schemas.openxmlformats.org/spreadsheetml/2006/main" name="JrCH08ug4_1" connectionId="11" autoFormatId="16" applyNumberFormats="0" applyBorderFormats="0" applyFontFormats="1" applyPatternFormats="1" applyAlignmentFormats="0" applyWidthHeightFormats="0"/>
</file>

<file path=xl/queryTables/queryTable4.xml><?xml version="1.0" encoding="utf-8"?>
<queryTable xmlns="http://schemas.openxmlformats.org/spreadsheetml/2006/main" name="Dual08_1" connectionId="6" autoFormatId="16" applyNumberFormats="0" applyBorderFormats="0" applyFontFormats="1" applyPatternFormats="1" applyAlignmentFormats="0" applyWidthHeightFormats="0"/>
</file>

<file path=xl/queryTables/queryTable5.xml><?xml version="1.0" encoding="utf-8"?>
<queryTable xmlns="http://schemas.openxmlformats.org/spreadsheetml/2006/main" name="JrCH08ug1_1" connectionId="8" autoFormatId="16" applyNumberFormats="0" applyBorderFormats="0" applyFontFormats="1" applyPatternFormats="1" applyAlignmentFormats="0" applyWidthHeightFormats="0"/>
</file>

<file path=xl/queryTables/queryTable6.xml><?xml version="1.0" encoding="utf-8"?>
<queryTable xmlns="http://schemas.openxmlformats.org/spreadsheetml/2006/main" name="Dual07_1" connectionId="5" autoFormatId="16" applyNumberFormats="0" applyBorderFormats="0" applyFontFormats="1" applyPatternFormats="1" applyAlignmentFormats="0" applyWidthHeightFormats="0"/>
</file>

<file path=xl/queryTables/queryTable7.xml><?xml version="1.0" encoding="utf-8"?>
<queryTable xmlns="http://schemas.openxmlformats.org/spreadsheetml/2006/main" name="Dual07" connectionId="5" autoFormatId="16" applyNumberFormats="0" applyBorderFormats="0" applyFontFormats="1" applyPatternFormats="1" applyAlignmentFormats="0" applyWidthHeightFormats="0"/>
</file>

<file path=xl/queryTables/queryTable8.xml><?xml version="1.0" encoding="utf-8"?>
<queryTable xmlns="http://schemas.openxmlformats.org/spreadsheetml/2006/main" name="SrSCH08gr2_1" connectionId="16" autoFormatId="16" applyNumberFormats="0" applyBorderFormats="0" applyFontFormats="1" applyPatternFormats="1" applyAlignmentFormats="0" applyWidthHeightFormats="0"/>
</file>

<file path=xl/queryTables/queryTable9.xml><?xml version="1.0" encoding="utf-8"?>
<queryTable xmlns="http://schemas.openxmlformats.org/spreadsheetml/2006/main" name="SrSCH08gr3_1" connectionId="17" autoFormatId="16" applyNumberFormats="0" applyBorderFormats="0" applyFontFormats="1" applyPatternFormats="1" applyAlignmentFormats="0" applyWidthHeightFormats="0"/>
</file>

<file path=xl/queryTables/queryTable10.xml><?xml version="1.0" encoding="utf-8"?>
<queryTable xmlns="http://schemas.openxmlformats.org/spreadsheetml/2006/main" name="SrSCH08ug4_1" connectionId="21" autoFormatId="16" applyNumberFormats="0" applyBorderFormats="0" applyFontFormats="1" applyPatternFormats="1" applyAlignmentFormats="0" applyWidthHeightFormats="0"/>
</file>

<file path=xl/queryTables/queryTable11.xml><?xml version="1.0" encoding="utf-8"?>
<queryTable xmlns="http://schemas.openxmlformats.org/spreadsheetml/2006/main" name="JrCH08ug3_1" connectionId="10" autoFormatId="16" applyNumberFormats="0" applyBorderFormats="0" applyFontFormats="1" applyPatternFormats="1" applyAlignmentFormats="0" applyWidthHeightFormats="0"/>
</file>

<file path=xl/queryTables/queryTable12.xml><?xml version="1.0" encoding="utf-8"?>
<queryTable xmlns="http://schemas.openxmlformats.org/spreadsheetml/2006/main" name="JrSCH08ug4_1" connectionId="15" autoFormatId="16" applyNumberFormats="0" applyBorderFormats="0" applyFontFormats="1" applyPatternFormats="1" applyAlignmentFormats="0" applyWidthHeightFormats="0"/>
</file>

<file path=xl/queryTables/queryTable13.xml><?xml version="1.0" encoding="utf-8"?>
<queryTable xmlns="http://schemas.openxmlformats.org/spreadsheetml/2006/main" name="SrSCH08ug3_1" connectionId="20" autoFormatId="16" applyNumberFormats="0" applyBorderFormats="0" applyFontFormats="1" applyPatternFormats="1" applyAlignmentFormats="0" applyWidthHeightFormats="0"/>
</file>

<file path=xl/queryTables/queryTable14.xml><?xml version="1.0" encoding="utf-8"?>
<queryTable xmlns="http://schemas.openxmlformats.org/spreadsheetml/2006/main" name="Dual07_2" connectionId="5" autoFormatId="16" applyNumberFormats="0" applyBorderFormats="0" applyFontFormats="1" applyPatternFormats="1" applyAlignmentFormats="0" applyWidthHeightFormats="0"/>
</file>

<file path=xl/queryTables/queryTable15.xml><?xml version="1.0" encoding="utf-8"?>
<queryTable xmlns="http://schemas.openxmlformats.org/spreadsheetml/2006/main" name="JrCH08ug2_1" connectionId="9" autoFormatId="16" applyNumberFormats="0" applyBorderFormats="0" applyFontFormats="1" applyPatternFormats="1" applyAlignmentFormats="0" applyWidthHeightFormats="0"/>
</file>

<file path=xl/queryTables/queryTable16.xml><?xml version="1.0" encoding="utf-8"?>
<queryTable xmlns="http://schemas.openxmlformats.org/spreadsheetml/2006/main" name="SrSCH08ug2_1" connectionId="19" autoFormatId="16" applyNumberFormats="0" applyBorderFormats="0" applyFontFormats="1" applyPatternFormats="1" applyAlignmentFormats="0" applyWidthHeightFormats="0"/>
</file>

<file path=xl/queryTables/queryTable17.xml><?xml version="1.0" encoding="utf-8"?>
<queryTable xmlns="http://schemas.openxmlformats.org/spreadsheetml/2006/main" name="Dual11_1" connectionId="7" autoFormatId="16" applyNumberFormats="0" applyBorderFormats="0" applyFontFormats="1" applyPatternFormats="1" applyAlignmentFormats="0" applyWidthHeightFormats="0"/>
</file>

<file path=xl/queryTables/queryTable18.xml><?xml version="1.0" encoding="utf-8"?>
<queryTable xmlns="http://schemas.openxmlformats.org/spreadsheetml/2006/main" name="JrSCH08ug2_1" connectionId="13" autoFormatId="16" applyNumberFormats="0" applyBorderFormats="0" applyFontFormats="1" applyPatternFormats="1" applyAlignmentFormats="0" applyWidthHeightFormats="0"/>
</file>

<file path=xl/queryTables/queryTable19.xml><?xml version="1.0" encoding="utf-8"?>
<queryTable xmlns="http://schemas.openxmlformats.org/spreadsheetml/2006/main" name="SrSCH08gr4_1" connectionId="18"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8" Type="http://schemas.openxmlformats.org/officeDocument/2006/relationships/queryTable" Target="../queryTables/queryTable6.xml"/><Relationship Id="rId13" Type="http://schemas.openxmlformats.org/officeDocument/2006/relationships/queryTable" Target="../queryTables/queryTable11.xml"/><Relationship Id="rId18" Type="http://schemas.openxmlformats.org/officeDocument/2006/relationships/queryTable" Target="../queryTables/queryTable16.xml"/><Relationship Id="rId3" Type="http://schemas.openxmlformats.org/officeDocument/2006/relationships/queryTable" Target="../queryTables/queryTable1.xml"/><Relationship Id="rId21" Type="http://schemas.openxmlformats.org/officeDocument/2006/relationships/queryTable" Target="../queryTables/queryTable19.xml"/><Relationship Id="rId7" Type="http://schemas.openxmlformats.org/officeDocument/2006/relationships/queryTable" Target="../queryTables/queryTable5.xml"/><Relationship Id="rId12" Type="http://schemas.openxmlformats.org/officeDocument/2006/relationships/queryTable" Target="../queryTables/queryTable10.xml"/><Relationship Id="rId17" Type="http://schemas.openxmlformats.org/officeDocument/2006/relationships/queryTable" Target="../queryTables/queryTable15.xml"/><Relationship Id="rId2" Type="http://schemas.openxmlformats.org/officeDocument/2006/relationships/vmlDrawing" Target="../drawings/vmlDrawing3.vml"/><Relationship Id="rId16" Type="http://schemas.openxmlformats.org/officeDocument/2006/relationships/queryTable" Target="../queryTables/queryTable14.xml"/><Relationship Id="rId20" Type="http://schemas.openxmlformats.org/officeDocument/2006/relationships/queryTable" Target="../queryTables/queryTable18.xml"/><Relationship Id="rId1" Type="http://schemas.openxmlformats.org/officeDocument/2006/relationships/printerSettings" Target="../printerSettings/printerSettings5.bin"/><Relationship Id="rId6" Type="http://schemas.openxmlformats.org/officeDocument/2006/relationships/queryTable" Target="../queryTables/queryTable4.xml"/><Relationship Id="rId11" Type="http://schemas.openxmlformats.org/officeDocument/2006/relationships/queryTable" Target="../queryTables/queryTable9.xml"/><Relationship Id="rId5" Type="http://schemas.openxmlformats.org/officeDocument/2006/relationships/queryTable" Target="../queryTables/queryTable3.xml"/><Relationship Id="rId15" Type="http://schemas.openxmlformats.org/officeDocument/2006/relationships/queryTable" Target="../queryTables/queryTable13.xml"/><Relationship Id="rId10" Type="http://schemas.openxmlformats.org/officeDocument/2006/relationships/queryTable" Target="../queryTables/queryTable8.xml"/><Relationship Id="rId19" Type="http://schemas.openxmlformats.org/officeDocument/2006/relationships/queryTable" Target="../queryTables/queryTable17.xml"/><Relationship Id="rId4" Type="http://schemas.openxmlformats.org/officeDocument/2006/relationships/queryTable" Target="../queryTables/queryTable2.xml"/><Relationship Id="rId9" Type="http://schemas.openxmlformats.org/officeDocument/2006/relationships/queryTable" Target="../queryTables/queryTable7.xml"/><Relationship Id="rId14" Type="http://schemas.openxmlformats.org/officeDocument/2006/relationships/queryTable" Target="../queryTables/queryTable12.xml"/><Relationship Id="rId22"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16"/>
  </sheetPr>
  <dimension ref="A1:CJ266"/>
  <sheetViews>
    <sheetView showZeros="0" tabSelected="1" view="pageBreakPreview" zoomScaleNormal="80" zoomScaleSheetLayoutView="100" workbookViewId="0"/>
  </sheetViews>
  <sheetFormatPr defaultRowHeight="12.75"/>
  <cols>
    <col min="1" max="1" width="16.83203125" style="1" customWidth="1"/>
    <col min="2" max="2" width="12.1640625" style="1" customWidth="1"/>
    <col min="3" max="3" width="12" style="1" customWidth="1"/>
    <col min="4" max="4" width="12.1640625" style="1" customWidth="1"/>
    <col min="5" max="5" width="11.6640625" style="1" customWidth="1"/>
    <col min="6" max="6" width="12.83203125" style="1" customWidth="1"/>
    <col min="7" max="7" width="11.6640625" style="1" customWidth="1"/>
    <col min="8" max="8" width="11.83203125" style="4" customWidth="1"/>
    <col min="9" max="9" width="11.6640625" style="1" customWidth="1"/>
    <col min="10" max="10" width="11.1640625" style="4" customWidth="1"/>
    <col min="11" max="11" width="11.6640625" style="4" customWidth="1"/>
    <col min="12" max="12" width="9" style="4" customWidth="1"/>
    <col min="13" max="13" width="9.6640625" style="73" customWidth="1"/>
    <col min="14" max="14" width="12.1640625" style="1" bestFit="1" customWidth="1"/>
    <col min="15" max="15" width="9.6640625" style="1" customWidth="1"/>
    <col min="16" max="16" width="12" style="1" customWidth="1"/>
    <col min="17" max="17" width="12.33203125" style="1" customWidth="1"/>
    <col min="18" max="18" width="14.6640625" style="1" customWidth="1"/>
    <col min="19" max="19" width="15.6640625" style="1" customWidth="1"/>
    <col min="20" max="20" width="13.6640625" style="1" customWidth="1"/>
    <col min="21" max="21" width="13.83203125" style="1" customWidth="1"/>
    <col min="22" max="22" width="12.33203125" style="1" customWidth="1"/>
    <col min="23" max="23" width="12.83203125" style="1" customWidth="1"/>
    <col min="24" max="24" width="11.33203125" style="1" customWidth="1"/>
    <col min="25" max="26" width="13.33203125" style="1" customWidth="1"/>
    <col min="27" max="27" width="12.1640625" style="1" customWidth="1"/>
    <col min="28" max="28" width="12.5" style="1" customWidth="1"/>
    <col min="29" max="29" width="16.33203125" style="1" customWidth="1"/>
    <col min="30" max="30" width="9.83203125" style="1" customWidth="1"/>
    <col min="31" max="31" width="11.5" style="1" customWidth="1"/>
    <col min="32" max="32" width="10.83203125" style="1" customWidth="1"/>
    <col min="33" max="33" width="10" style="1" customWidth="1"/>
    <col min="34" max="34" width="11.1640625" style="1" customWidth="1"/>
    <col min="35" max="35" width="13.1640625" style="1" customWidth="1"/>
    <col min="36" max="36" width="14.5" style="1" customWidth="1"/>
    <col min="37" max="37" width="9.5" style="1" customWidth="1"/>
    <col min="38" max="38" width="12.5" style="1" customWidth="1"/>
    <col min="39" max="39" width="9.33203125" style="1"/>
    <col min="40" max="40" width="11.5" style="1" customWidth="1"/>
    <col min="41" max="41" width="9.33203125" style="1"/>
    <col min="42" max="42" width="12" style="1" customWidth="1"/>
    <col min="43" max="43" width="13" style="1" customWidth="1"/>
    <col min="44" max="44" width="17.5" style="1" customWidth="1"/>
    <col min="45" max="45" width="9.5" style="1" bestFit="1" customWidth="1"/>
    <col min="46" max="46" width="11" style="1" customWidth="1"/>
    <col min="47" max="48" width="9.33203125" style="1"/>
    <col min="49" max="49" width="11.1640625" style="1" customWidth="1"/>
    <col min="50" max="50" width="9.33203125" style="1"/>
    <col min="51" max="52" width="15.1640625" style="1" customWidth="1"/>
    <col min="53" max="56" width="9.33203125" style="1"/>
    <col min="57" max="57" width="12.33203125" style="1" customWidth="1"/>
    <col min="58" max="16384" width="9.33203125" style="1"/>
  </cols>
  <sheetData>
    <row r="1" spans="1:32" ht="18">
      <c r="A1" s="41" t="s">
        <v>163</v>
      </c>
      <c r="B1" s="20"/>
      <c r="C1" s="20"/>
      <c r="D1" s="20"/>
      <c r="E1" s="20"/>
      <c r="F1" s="20"/>
      <c r="G1" s="20"/>
      <c r="H1" s="104"/>
      <c r="I1" s="20"/>
      <c r="J1" s="104"/>
      <c r="K1" s="104"/>
      <c r="L1" s="104"/>
      <c r="M1" s="225"/>
      <c r="N1" s="17"/>
      <c r="O1" s="22"/>
    </row>
    <row r="2" spans="1:32" ht="13.5" customHeight="1">
      <c r="A2" s="21"/>
      <c r="B2" s="21"/>
      <c r="C2" s="21"/>
      <c r="D2" s="21"/>
      <c r="E2" s="21"/>
      <c r="F2" s="21"/>
      <c r="G2" s="21"/>
      <c r="H2" s="105"/>
      <c r="I2" s="21"/>
      <c r="J2" s="105"/>
      <c r="K2" s="105"/>
      <c r="L2" s="105"/>
      <c r="M2" s="198"/>
      <c r="N2" s="226"/>
      <c r="O2" s="22"/>
    </row>
    <row r="3" spans="1:32" ht="15.75">
      <c r="A3" s="110" t="s">
        <v>32</v>
      </c>
      <c r="B3" s="22"/>
      <c r="C3" s="22"/>
      <c r="D3" s="22"/>
      <c r="E3" s="22"/>
      <c r="F3" s="22"/>
      <c r="G3" s="22"/>
      <c r="H3" s="106"/>
      <c r="I3" s="22"/>
      <c r="J3" s="106"/>
      <c r="K3" s="106"/>
      <c r="L3" s="106"/>
      <c r="M3" s="170"/>
      <c r="N3" s="22"/>
      <c r="O3" s="226"/>
    </row>
    <row r="4" spans="1:32" ht="15.75">
      <c r="A4" s="43" t="s">
        <v>981</v>
      </c>
      <c r="B4" s="22"/>
      <c r="C4" s="22"/>
      <c r="D4" s="22"/>
      <c r="E4" s="22"/>
      <c r="F4" s="22"/>
      <c r="G4" s="22"/>
      <c r="H4" s="106"/>
      <c r="I4" s="22"/>
      <c r="J4" s="106"/>
      <c r="K4" s="106"/>
      <c r="L4" s="106"/>
      <c r="M4" s="170"/>
      <c r="N4" s="227"/>
      <c r="O4" s="22"/>
    </row>
    <row r="5" spans="1:32" ht="12.75" customHeight="1">
      <c r="B5" s="2"/>
      <c r="C5" s="2"/>
      <c r="D5" s="2"/>
      <c r="E5" s="2"/>
      <c r="F5" s="2"/>
      <c r="G5" s="2"/>
      <c r="H5" s="107"/>
      <c r="I5" s="2"/>
      <c r="J5" s="107"/>
      <c r="K5" s="107"/>
      <c r="L5" s="107"/>
      <c r="M5" s="191"/>
      <c r="Q5" s="126" t="s">
        <v>38</v>
      </c>
    </row>
    <row r="6" spans="1:32" ht="15" customHeight="1">
      <c r="A6" s="61"/>
      <c r="B6" s="413" t="s">
        <v>62</v>
      </c>
      <c r="C6" s="414"/>
      <c r="D6" s="414"/>
      <c r="E6" s="414"/>
      <c r="F6" s="414"/>
      <c r="G6" s="414"/>
      <c r="H6" s="91"/>
      <c r="I6" s="412"/>
      <c r="J6" s="412"/>
      <c r="K6" s="412"/>
      <c r="L6" s="412"/>
      <c r="M6" s="412"/>
      <c r="N6" s="412"/>
      <c r="O6" s="412"/>
      <c r="Q6" s="228" t="s">
        <v>153</v>
      </c>
    </row>
    <row r="7" spans="1:32" ht="17.25" customHeight="1">
      <c r="A7" s="45"/>
      <c r="B7" s="189">
        <v>1</v>
      </c>
      <c r="C7" s="22"/>
      <c r="D7" s="190">
        <v>2</v>
      </c>
      <c r="E7" s="22"/>
      <c r="F7" s="190">
        <v>3</v>
      </c>
      <c r="G7" s="22"/>
      <c r="H7" s="190">
        <v>4</v>
      </c>
      <c r="I7" s="65"/>
      <c r="J7" s="190">
        <v>5</v>
      </c>
      <c r="K7" s="65"/>
      <c r="L7" s="190">
        <v>6</v>
      </c>
      <c r="M7" s="192"/>
      <c r="N7" s="190" t="s">
        <v>30</v>
      </c>
      <c r="O7" s="65"/>
      <c r="P7" s="209"/>
      <c r="Q7" s="36"/>
      <c r="R7" s="36" t="s">
        <v>155</v>
      </c>
      <c r="S7" s="36"/>
      <c r="T7" s="233">
        <v>2</v>
      </c>
      <c r="U7" s="36"/>
      <c r="V7" s="233">
        <v>3</v>
      </c>
      <c r="W7" s="36"/>
      <c r="X7" s="233">
        <v>4</v>
      </c>
      <c r="Y7" s="36"/>
      <c r="Z7" s="233">
        <v>5</v>
      </c>
      <c r="AA7" s="36"/>
      <c r="AB7" s="233">
        <v>6</v>
      </c>
      <c r="AC7" s="36"/>
      <c r="AD7" s="233" t="s">
        <v>3</v>
      </c>
      <c r="AE7" s="36"/>
    </row>
    <row r="8" spans="1:32" ht="77.25" customHeight="1">
      <c r="A8" s="188"/>
      <c r="B8" s="194" t="s">
        <v>143</v>
      </c>
      <c r="C8" s="166" t="s">
        <v>22</v>
      </c>
      <c r="D8" s="195" t="s">
        <v>143</v>
      </c>
      <c r="E8" s="166" t="s">
        <v>22</v>
      </c>
      <c r="F8" s="195" t="s">
        <v>143</v>
      </c>
      <c r="G8" s="166" t="s">
        <v>22</v>
      </c>
      <c r="H8" s="195" t="s">
        <v>143</v>
      </c>
      <c r="I8" s="166" t="s">
        <v>22</v>
      </c>
      <c r="J8" s="195" t="s">
        <v>143</v>
      </c>
      <c r="K8" s="166" t="s">
        <v>22</v>
      </c>
      <c r="L8" s="195" t="s">
        <v>143</v>
      </c>
      <c r="M8" s="121" t="s">
        <v>22</v>
      </c>
      <c r="N8" s="195" t="s">
        <v>143</v>
      </c>
      <c r="O8" s="166" t="s">
        <v>22</v>
      </c>
      <c r="P8" s="42"/>
      <c r="Q8" s="231"/>
      <c r="R8" s="232" t="s">
        <v>151</v>
      </c>
      <c r="S8" s="232" t="s">
        <v>4</v>
      </c>
      <c r="T8" s="234" t="s">
        <v>151</v>
      </c>
      <c r="U8" s="232" t="s">
        <v>4</v>
      </c>
      <c r="V8" s="234" t="s">
        <v>151</v>
      </c>
      <c r="W8" s="232" t="s">
        <v>4</v>
      </c>
      <c r="X8" s="234" t="s">
        <v>151</v>
      </c>
      <c r="Y8" s="232" t="s">
        <v>4</v>
      </c>
      <c r="Z8" s="234" t="s">
        <v>151</v>
      </c>
      <c r="AA8" s="232" t="s">
        <v>4</v>
      </c>
      <c r="AB8" s="234" t="s">
        <v>151</v>
      </c>
      <c r="AC8" s="232" t="s">
        <v>4</v>
      </c>
      <c r="AD8" s="234" t="s">
        <v>151</v>
      </c>
      <c r="AE8" s="232" t="s">
        <v>4</v>
      </c>
    </row>
    <row r="9" spans="1:32" ht="15" customHeight="1">
      <c r="A9" s="1" t="s">
        <v>64</v>
      </c>
      <c r="B9" s="207">
        <f>+GETPIVOTDATA("Undergrad Student Credit Hour FTE - New",'FTE Pivot for regular counts'!$A$2,"Category",1,"Category2","Group1")</f>
        <v>861620.01333333319</v>
      </c>
      <c r="C9" s="256"/>
      <c r="D9" s="208">
        <f>+GETPIVOTDATA("Undergrad Student Credit Hour FTE - New",'FTE Pivot for regular counts'!$A$2,"Category",2,"Category2","Four-Year")</f>
        <v>231065.2</v>
      </c>
      <c r="E9" s="256"/>
      <c r="F9" s="186">
        <f>+GETPIVOTDATA("Undergrad Student Credit Hour FTE - New",'FTE Pivot for regular counts'!$A$2,"Category",3,"Category2","Four-Year")</f>
        <v>534703.41666666663</v>
      </c>
      <c r="G9" s="256"/>
      <c r="H9" s="186">
        <f>+GETPIVOTDATA("Undergrad Student Credit Hour FTE - New",'FTE Pivot for regular counts'!$A$2,"Category",4,"Category2","Four-Year")</f>
        <v>187157.35000000003</v>
      </c>
      <c r="I9" s="256"/>
      <c r="J9" s="186">
        <f>+GETPIVOTDATA("Undergrad Student Credit Hour FTE - New",'FTE Pivot for regular counts'!$A$2,"Category",5,"Category2","Four-Year")</f>
        <v>102786.73333333334</v>
      </c>
      <c r="K9" s="256"/>
      <c r="L9" s="186">
        <f>+GETPIVOTDATA("Undergrad Student Credit Hour FTE - New",'FTE Pivot for regular counts'!$A$2,"Category",6,"Category2","Four-Year")</f>
        <v>68110.137000000002</v>
      </c>
      <c r="M9" s="256"/>
      <c r="N9" s="186">
        <f>+GETPIVOTDATA("Undergrad Student Credit Hour FTE - New",'FTE Pivot for regular counts'!$A$2,"Category2","Four-Year")</f>
        <v>1985442.8503333337</v>
      </c>
      <c r="O9" s="256"/>
      <c r="Q9" s="1" t="s">
        <v>64</v>
      </c>
      <c r="R9" s="428"/>
      <c r="S9" s="465">
        <f>(C9-R9)*100</f>
        <v>0</v>
      </c>
      <c r="T9" s="240"/>
      <c r="U9" s="465">
        <f>(E9-T9)*100</f>
        <v>0</v>
      </c>
      <c r="V9" s="240"/>
      <c r="W9" s="465">
        <f>(G9-V9)*100</f>
        <v>0</v>
      </c>
      <c r="X9" s="240"/>
      <c r="Y9" s="465">
        <f>(I9-X9)*100</f>
        <v>0</v>
      </c>
      <c r="Z9" s="240"/>
      <c r="AA9" s="465">
        <f>(K9-Z9)*100</f>
        <v>0</v>
      </c>
      <c r="AB9" s="240"/>
      <c r="AC9" s="465">
        <f>(M9-AB9)*100</f>
        <v>0</v>
      </c>
      <c r="AD9" s="240"/>
      <c r="AE9" s="465">
        <f>(O9-AD9)*100</f>
        <v>0</v>
      </c>
      <c r="AF9" s="1" t="s">
        <v>64</v>
      </c>
    </row>
    <row r="10" spans="1:32" ht="12.75" customHeight="1">
      <c r="B10" s="415"/>
      <c r="C10" s="257" t="s">
        <v>171</v>
      </c>
      <c r="D10" s="416"/>
      <c r="E10" s="257" t="s">
        <v>172</v>
      </c>
      <c r="F10" s="416"/>
      <c r="G10" s="257" t="s">
        <v>173</v>
      </c>
      <c r="H10" s="416"/>
      <c r="I10" s="257" t="s">
        <v>174</v>
      </c>
      <c r="J10" s="416"/>
      <c r="K10" s="257" t="s">
        <v>175</v>
      </c>
      <c r="L10" s="416"/>
      <c r="M10" s="257" t="s">
        <v>176</v>
      </c>
      <c r="N10" s="416"/>
      <c r="O10" s="257" t="s">
        <v>177</v>
      </c>
      <c r="R10" s="429" t="s">
        <v>236</v>
      </c>
      <c r="S10" s="466"/>
      <c r="T10" s="430" t="s">
        <v>237</v>
      </c>
      <c r="U10" s="466"/>
      <c r="V10" s="430" t="s">
        <v>238</v>
      </c>
      <c r="W10" s="466"/>
      <c r="X10" s="430" t="s">
        <v>239</v>
      </c>
      <c r="Y10" s="466"/>
      <c r="Z10" s="430" t="s">
        <v>240</v>
      </c>
      <c r="AA10" s="466"/>
      <c r="AB10" s="430" t="s">
        <v>241</v>
      </c>
      <c r="AC10" s="466"/>
      <c r="AD10" s="430" t="s">
        <v>242</v>
      </c>
      <c r="AE10" s="466"/>
    </row>
    <row r="11" spans="1:32" ht="15" customHeight="1">
      <c r="A11" s="1" t="s">
        <v>65</v>
      </c>
      <c r="B11" s="5">
        <f>+GETPIVOTDATA("Undergrad Student Credit Hour FTE - New",'FTE Pivot for regular counts'!$A$2,"State","AL","Category",1,"Category2","Four-Year")</f>
        <v>45791.933333333334</v>
      </c>
      <c r="C11" s="167">
        <f>+GETPIVOTDATA("Sum of New-HS % of Total",'Pivot-HS Student % of Undergrad'!$A$3,"State","AL","Category",1,"Category2","Four-Year")</f>
        <v>1.6705999164336076E-3</v>
      </c>
      <c r="D11" s="186">
        <f>+GETPIVOTDATA("Undergrad Student Credit Hour FTE - New",'FTE Pivot for regular counts'!$A$2,"State","AL","Category",2,"Category2","Four-Year")</f>
        <v>14068.133333333335</v>
      </c>
      <c r="E11" s="167">
        <f>+GETPIVOTDATA("Sum of New-HS % of Total",'Pivot-HS Student % of Undergrad'!$A$3,"State","AL","Category",2,"Category2","Four-Year")</f>
        <v>1.1420610173346855E-3</v>
      </c>
      <c r="F11" s="186">
        <f>+GETPIVOTDATA("Undergrad Student Credit Hour FTE - New",'FTE Pivot for regular counts'!$A$2,"State","AL","Category",3,"Category2","Four-Year")</f>
        <v>29641.199999999997</v>
      </c>
      <c r="G11" s="167">
        <f>+GETPIVOTDATA("Sum of New-HS % of Total",'Pivot-HS Student % of Undergrad'!$A$3,"State","AL","Category",3,"Category2","Four-Year")</f>
        <v>1.8184149089780441E-3</v>
      </c>
      <c r="H11" s="186">
        <f>+GETPIVOTDATA("Undergrad Student Credit Hour FTE - New",'FTE Pivot for regular counts'!$A$2,"State","AL","Category",4,"Category2","Four-Year")</f>
        <v>14067.433333333332</v>
      </c>
      <c r="I11" s="167">
        <f>+GETPIVOTDATA("Sum of New-HS % of Total",'Pivot-HS Student % of Undergrad'!$A$3,"State","AL","Category",4,"Category2","Four-Year")</f>
        <v>7.1133563810503219E-3</v>
      </c>
      <c r="J11" s="186">
        <f>+GETPIVOTDATA("Undergrad Student Credit Hour FTE - New",'FTE Pivot for regular counts'!$A$2,"State","AL","Category",5,"Category2","Four-Year")</f>
        <v>4191.3999999999996</v>
      </c>
      <c r="K11" s="167">
        <f>+GETPIVOTDATA("Sum of New-HS % of Total",'Pivot-HS Student % of Undergrad'!$A$3,"State","AL","Category",5,"Category2","Four-Year")</f>
        <v>1.5189833150419112E-3</v>
      </c>
      <c r="L11" s="186">
        <f>+GETPIVOTDATA("Undergrad Student Credit Hour FTE - New",'FTE Pivot for regular counts'!$A$2,"State","AL","Category",6,"Category2","Four-Year")</f>
        <v>2786.2</v>
      </c>
      <c r="M11" s="167">
        <f>+GETPIVOTDATA("Sum of New-HS % of Total",'Pivot-HS Student % of Undergrad'!$A$3,"State","AL","Category",6,"Category2","Four-Year")</f>
        <v>0</v>
      </c>
      <c r="N11" s="186">
        <f>+GETPIVOTDATA("Undergrad Student Credit Hour FTE - New",'FTE Pivot for regular counts'!$A$2,"State","AL","Category2","Four-Year")</f>
        <v>110546.29999999999</v>
      </c>
      <c r="O11" s="167">
        <f>+GETPIVOTDATA("Sum of New-HS % of Total",'Pivot-HS Student % of Undergrad'!$A$3,"State","AL","Category2","Group1")</f>
        <v>2.2877292139130844E-3</v>
      </c>
      <c r="Q11" s="1" t="s">
        <v>65</v>
      </c>
      <c r="R11" s="239">
        <f>+GETPIVOTDATA("Sum of Old-HS % of Total",'Pivot-HS Student % of Undergrad'!$A$3,"State","AL","Category",1,"Category2","Four-Year")</f>
        <v>1.2934821945980496E-3</v>
      </c>
      <c r="S11" s="467">
        <f>(C11-R11)*100</f>
        <v>3.7711772183555807E-2</v>
      </c>
      <c r="T11" s="240">
        <f>+GETPIVOTDATA("Sum of Old-HS % of Total",'Pivot-HS Student % of Undergrad'!$A$3,"State","AL","Category",2,"Category2","Four-Year")</f>
        <v>1.1201883628839499E-3</v>
      </c>
      <c r="U11" s="467">
        <f t="shared" ref="U11:U29" si="0">(E11-T11)*100</f>
        <v>2.1872654450735612E-3</v>
      </c>
      <c r="V11" s="240">
        <f>GETPIVOTDATA("Sum of Old-HS % of Total",'Pivot-HS Student % of Undergrad'!$A$3,"State","AL","Category",3,"Category2","Four-Year")</f>
        <v>2.5591018888844888E-3</v>
      </c>
      <c r="W11" s="467">
        <f t="shared" ref="W11:W29" si="1">(G11-V11)*100</f>
        <v>-7.4068697990644472E-2</v>
      </c>
      <c r="X11" s="240">
        <f>+GETPIVOTDATA("Sum of Old-HS % of Total",'Pivot-HS Student % of Undergrad'!$A$3,"State","AL","Category",4,"Category2","Four-Year")</f>
        <v>6.1308390458100917E-3</v>
      </c>
      <c r="Y11" s="467">
        <f t="shared" ref="Y11:Y29" si="2">(I11-X11)*100</f>
        <v>9.8251733524023013E-2</v>
      </c>
      <c r="Z11" s="240">
        <f>+GETPIVOTDATA("Sum of Old-HS % of Total",'Pivot-HS Student % of Undergrad'!$A$3,"State","AL","Category",5,"Category2","Four-Year")</f>
        <v>1.266472153643913E-3</v>
      </c>
      <c r="AA11" s="467">
        <f t="shared" ref="AA11:AA29" si="3">(K11-Z11)*100</f>
        <v>2.5251116139799822E-2</v>
      </c>
      <c r="AB11" s="240">
        <f>+GETPIVOTDATA("Sum of Old-HS % of Total",'Pivot-HS Student % of Undergrad'!$A$3,"State","AL","Category",6,"Category2","Four-Year")</f>
        <v>0</v>
      </c>
      <c r="AC11" s="467">
        <f t="shared" ref="AC11:AC29" si="4">(M11-AB11)*100</f>
        <v>0</v>
      </c>
      <c r="AD11" s="240">
        <f>+GETPIVOTDATA("Sum of Old-HS % of Total",'Pivot-HS Student % of Undergrad'!$A$3,"State","AL","Category2","Four-Year")</f>
        <v>2.2303061990206789E-3</v>
      </c>
      <c r="AE11" s="467">
        <f t="shared" ref="AE11:AE29" si="5">(O11-AD11)*100</f>
        <v>5.7423014892405474E-3</v>
      </c>
      <c r="AF11" s="1" t="s">
        <v>65</v>
      </c>
    </row>
    <row r="12" spans="1:32" ht="15" customHeight="1">
      <c r="A12" s="4" t="s">
        <v>66</v>
      </c>
      <c r="B12" s="5">
        <f>+GETPIVOTDATA("Undergrad Student Credit Hour FTE - New",'FTE Pivot for regular counts'!$A$2,"State","AR","Category",1,"Category2","Four-Year")</f>
        <v>18987.8</v>
      </c>
      <c r="C12" s="211">
        <f>+GETPIVOTDATA("Sum of New-HS % of Total",'Pivot-HS Student % of Undergrad'!$A$3,"State","AR","Category",1,"Category2","Four-Year")</f>
        <v>2.2646120140300613E-4</v>
      </c>
      <c r="D12" s="186">
        <f>+GETPIVOTDATA("Undergrad Student Credit Hour FTE - New",'FTE Pivot for regular counts'!$A$2,"State","AR","Category",2,"Category2","Four-Year")</f>
        <v>0</v>
      </c>
      <c r="E12" s="167">
        <f>+GETPIVOTDATA("Sum of New-HS % of Total",'Pivot-HS Student % of Undergrad'!$A$3,"State","AR","Category",2,"Category2","Four-Year")</f>
        <v>0</v>
      </c>
      <c r="F12" s="186">
        <f>+GETPIVOTDATA("Undergrad Student Credit Hour FTE - New",'FTE Pivot for regular counts'!$A$2,"State","AR","Category",3,"Category2","Four-Year")</f>
        <v>33296.966666666667</v>
      </c>
      <c r="G12" s="167">
        <f>+GETPIVOTDATA("Sum of New-HS % of Total",'Pivot-HS Student % of Undergrad'!$A$3,"State","AR","Category",3,"Category2","Four-Year")</f>
        <v>2.7171644263891907E-2</v>
      </c>
      <c r="H12" s="186">
        <f>+GETPIVOTDATA("Undergrad Student Credit Hour FTE - New",'FTE Pivot for regular counts'!$A$2,"State","AR","Category",4,"Category2","Four-Year")</f>
        <v>5912.333333333333</v>
      </c>
      <c r="I12" s="167">
        <f>+GETPIVOTDATA("Sum of New-HS % of Total",'Pivot-HS Student % of Undergrad'!$A$3,"State","AR","Category",4,"Category2","Four-Year")</f>
        <v>5.8803630828212208E-3</v>
      </c>
      <c r="J12" s="186">
        <f>+GETPIVOTDATA("Undergrad Student Credit Hour FTE - New",'FTE Pivot for regular counts'!$A$2,"State","AR","Category",5,"Category2","Four-Year")</f>
        <v>2353.4666666666667</v>
      </c>
      <c r="K12" s="167">
        <f>+GETPIVOTDATA("Sum of New-HS % of Total",'Pivot-HS Student % of Undergrad'!$A$3,"State","AR","Category",5,"Category2","Four-Year")</f>
        <v>6.2177780295733953E-2</v>
      </c>
      <c r="L12" s="186">
        <f>+GETPIVOTDATA("Undergrad Student Credit Hour FTE - New",'FTE Pivot for regular counts'!$A$2,"State","AR","Category",6,"Category2","Four-Year")</f>
        <v>8620.7999999999993</v>
      </c>
      <c r="M12" s="167">
        <f>+GETPIVOTDATA("Sum of New-HS % of Total",'Pivot-HS Student % of Undergrad'!$A$3,"State","AR","Category",6,"Category2","Four-Year")</f>
        <v>5.9159242761692649E-3</v>
      </c>
      <c r="N12" s="186">
        <f>+GETPIVOTDATA("Undergrad Student Credit Hour FTE - New",'FTE Pivot for regular counts'!$A$2,"State","AR","Category2","Four-Year")</f>
        <v>69171.366666666669</v>
      </c>
      <c r="O12" s="167">
        <f>+GETPIVOTDATA("Sum of New-HS % of Total",'Pivot-HS Student % of Undergrad'!$A$3,"State","AR","Category2","Group1")</f>
        <v>1.6497192238985207E-2</v>
      </c>
      <c r="Q12" s="4" t="s">
        <v>66</v>
      </c>
      <c r="R12" s="239">
        <f>+GETPIVOTDATA("Sum of Old-HS % of Total",'Pivot-HS Student % of Undergrad'!$A$3,"State","AR","Category",1,"Category2","Four-Year")</f>
        <v>1.8634969470976035E-4</v>
      </c>
      <c r="S12" s="467">
        <f t="shared" ref="S12:S14" si="6">(C12-R12)*100</f>
        <v>4.0111506693245773E-3</v>
      </c>
      <c r="T12" s="240">
        <f>+GETPIVOTDATA("Sum of Old-HS % of Total",'Pivot-HS Student % of Undergrad'!$A$3,"State","AR","Category",2,"Category2","Four-Year")</f>
        <v>0</v>
      </c>
      <c r="U12" s="467">
        <f t="shared" si="0"/>
        <v>0</v>
      </c>
      <c r="V12" s="240">
        <f>+GETPIVOTDATA("Sum of Old-HS % of Total",'Pivot-HS Student % of Undergrad'!$A$3,"State","AR","Category",3,"Category2","Four-Year")</f>
        <v>2.5832658162342741E-2</v>
      </c>
      <c r="W12" s="467">
        <f t="shared" si="1"/>
        <v>0.13389861015491653</v>
      </c>
      <c r="X12" s="240">
        <f>+GETPIVOTDATA("Sum of Old-HS % of Total",'Pivot-HS Student % of Undergrad'!$A$3,"State","AR","Category",4,"Category2","Four-Year")</f>
        <v>3.9870695589441976E-3</v>
      </c>
      <c r="Y12" s="467">
        <f t="shared" si="2"/>
        <v>0.18932935238770232</v>
      </c>
      <c r="Z12" s="240">
        <f>+GETPIVOTDATA("Sum of Old-HS % of Total",'Pivot-HS Student % of Undergrad'!$A$3,"State","AR","Category",5,"Category2","Four-Year")</f>
        <v>5.4456820643871001E-2</v>
      </c>
      <c r="AA12" s="467">
        <f t="shared" si="3"/>
        <v>0.7720959651862952</v>
      </c>
      <c r="AB12" s="240">
        <f>+GETPIVOTDATA("Sum of Old-HS % of Total",'Pivot-HS Student % of Undergrad'!$A$3,"State","AR","Category",6,"Category2","Four-Year")</f>
        <v>6.5911995618039071E-3</v>
      </c>
      <c r="AC12" s="467">
        <f t="shared" si="4"/>
        <v>-6.7527528563464223E-2</v>
      </c>
      <c r="AD12" s="240">
        <f>+GETPIVOTDATA("Sum of Old-HS % of Total",'Pivot-HS Student % of Undergrad'!$A$3,"State","AR","Category2","Four-Year")</f>
        <v>1.5774616623659587E-2</v>
      </c>
      <c r="AE12" s="467">
        <f t="shared" si="5"/>
        <v>7.2257561532561992E-2</v>
      </c>
      <c r="AF12" s="4" t="s">
        <v>66</v>
      </c>
    </row>
    <row r="13" spans="1:32" ht="15" customHeight="1">
      <c r="A13" s="1" t="s">
        <v>102</v>
      </c>
      <c r="B13" s="5">
        <f>+GETPIVOTDATA("Undergrad Student Credit Hour FTE - New",'FTE Pivot for regular counts'!$A$2,"State","DE","Category",1,"Category2","Four-Year")</f>
        <v>17960.3</v>
      </c>
      <c r="C13" s="167">
        <f>+GETPIVOTDATA("Sum of New-HS % of Total",'Pivot-HS Student % of Undergrad'!$A$3,"State","DE","Category",1,"Category2","Four-Year")</f>
        <v>0</v>
      </c>
      <c r="D13" s="186">
        <f>+GETPIVOTDATA("Undergrad Student Credit Hour FTE - New",'FTE Pivot for regular counts'!$A$2,"State","DE","Category",2,"Category2","Four-Year")</f>
        <v>0</v>
      </c>
      <c r="E13" s="167">
        <f>+GETPIVOTDATA("Sum of New-HS % of Total",'Pivot-HS Student % of Undergrad'!$A$3,"State","DE","Category",2,"Category2","Four-Year")</f>
        <v>0</v>
      </c>
      <c r="F13" s="186">
        <f>+GETPIVOTDATA("Undergrad Student Credit Hour FTE - New",'FTE Pivot for regular counts'!$A$2,"State","DE","Category",3,"Category2","Four-Year")</f>
        <v>3667.7666666666669</v>
      </c>
      <c r="G13" s="167">
        <f>+GETPIVOTDATA("Sum of New-HS % of Total",'Pivot-HS Student % of Undergrad'!$A$3,"State","DE","Category",3,"Category2","Four-Year")</f>
        <v>0</v>
      </c>
      <c r="H13" s="186">
        <f>+GETPIVOTDATA("Undergrad Student Credit Hour FTE - New",'FTE Pivot for regular counts'!$A$2,"State","DE","Category",4,"Category2","Four-Year")</f>
        <v>0</v>
      </c>
      <c r="I13" s="167">
        <f>GETPIVOTDATA("Sum of New-HS % of Total",'Pivot-HS Student % of Undergrad'!$A$3,"State","DE","Category",4,"Category2","Four-Year")</f>
        <v>0</v>
      </c>
      <c r="J13" s="186">
        <f>+GETPIVOTDATA("Undergrad Student Credit Hour FTE - New",'FTE Pivot for regular counts'!$A$2,"State","DE","Category",5,"Category2","Four-Year")</f>
        <v>0</v>
      </c>
      <c r="K13" s="167">
        <f>+GETPIVOTDATA("Sum of New-HS % of Total",'Pivot-HS Student % of Undergrad'!$A$3,"State","FL","Category",5,"Category2","Four-Year")</f>
        <v>0</v>
      </c>
      <c r="L13" s="186">
        <f>+GETPIVOTDATA("Undergrad Student Credit Hour FTE - New",'FTE Pivot for regular counts'!$A$2,"State","DE","Category",6,"Category2","Four-Year")</f>
        <v>0</v>
      </c>
      <c r="M13" s="167">
        <f>+GETPIVOTDATA("Sum of New-HS % of Total",'Pivot-HS Student % of Undergrad'!$A$3,"State","FL","Category",6,"Category2","Four-Year")</f>
        <v>7.0126227208976155E-4</v>
      </c>
      <c r="N13" s="186">
        <f>+GETPIVOTDATA("Undergrad Student Credit Hour FTE - New",'FTE Pivot for regular counts'!$A$2,"State","DE","Category2","Four-Year")</f>
        <v>21628.066666666666</v>
      </c>
      <c r="O13" s="167">
        <f>+GETPIVOTDATA("Sum of New-HS % of Total",'Pivot-HS Student % of Undergrad'!$A$3,"State","DE","Category2","Group1")</f>
        <v>0</v>
      </c>
      <c r="Q13" s="1" t="s">
        <v>102</v>
      </c>
      <c r="R13" s="239">
        <f>+GETPIVOTDATA("Sum of Old-HS % of Total",'Pivot-HS Student % of Undergrad'!$A$3,"State","DE","Category",1,"Category2","Four-Year")</f>
        <v>0</v>
      </c>
      <c r="S13" s="467">
        <f t="shared" si="6"/>
        <v>0</v>
      </c>
      <c r="T13" s="240">
        <f>+GETPIVOTDATA("Sum of Old-HS % of Total",'Pivot-HS Student % of Undergrad'!$A$3,"State","DE","Category",2,"Category2","Four-Year")</f>
        <v>0</v>
      </c>
      <c r="U13" s="467">
        <f t="shared" si="0"/>
        <v>0</v>
      </c>
      <c r="V13" s="240">
        <f>+GETPIVOTDATA("Sum of Old-HS % of Total",'Pivot-HS Student % of Undergrad'!$A$3,"State","DE","Category",3,"Category2","Four-Year")</f>
        <v>0</v>
      </c>
      <c r="W13" s="467">
        <f t="shared" si="1"/>
        <v>0</v>
      </c>
      <c r="X13" s="240">
        <f>+GETPIVOTDATA("Sum of Old-HS % of Total",'Pivot-HS Student % of Undergrad'!$A$3,"State","DE","Category",4,"Category2","Four-Year")</f>
        <v>0</v>
      </c>
      <c r="Y13" s="467">
        <f t="shared" si="2"/>
        <v>0</v>
      </c>
      <c r="Z13" s="240">
        <f>+GETPIVOTDATA("Sum of Old-HS % of Total",'Pivot-HS Student % of Undergrad'!$A$3,"State","DE","Category",5,"Category2","Four-Year")</f>
        <v>0</v>
      </c>
      <c r="AA13" s="467">
        <f t="shared" si="3"/>
        <v>0</v>
      </c>
      <c r="AB13" s="240">
        <f>+GETPIVOTDATA("Sum of Old-HS % of Total",'Pivot-HS Student % of Undergrad'!$A$3,"State","DE","Category",6,"Category2","Four-Year")</f>
        <v>0</v>
      </c>
      <c r="AC13" s="467">
        <f t="shared" si="4"/>
        <v>7.0126227208976155E-2</v>
      </c>
      <c r="AD13" s="240">
        <f>+GETPIVOTDATA("Sum of Old-HS % of Total",'Pivot-HS Student % of Undergrad'!$A$3,"State","DE","Category2","Four-Year")</f>
        <v>0</v>
      </c>
      <c r="AE13" s="467">
        <f t="shared" si="5"/>
        <v>0</v>
      </c>
      <c r="AF13" s="1" t="s">
        <v>102</v>
      </c>
    </row>
    <row r="14" spans="1:32" ht="15" customHeight="1">
      <c r="A14" s="1" t="s">
        <v>67</v>
      </c>
      <c r="B14" s="5">
        <f>+GETPIVOTDATA("Undergrad Student Credit Hour FTE - New",'FTE Pivot for regular counts'!$A$2,"State","FL","Category",1,"Category2","Four-Year")</f>
        <v>179459.6</v>
      </c>
      <c r="C14" s="167">
        <f>+GETPIVOTDATA("Sum of New-HS % of Total",'Pivot-HS Student % of Undergrad'!$A$3,"State","FL","Category",1,"Category2","Four-Year")</f>
        <v>7.0305517230619032E-3</v>
      </c>
      <c r="D14" s="186">
        <f>+GETPIVOTDATA("Undergrad Student Credit Hour FTE - New",'FTE Pivot for regular counts'!$A$2,"State","FL","Category",2,"Category2","Four-Year")</f>
        <v>20560.166666666668</v>
      </c>
      <c r="E14" s="167">
        <f>+GETPIVOTDATA("Sum of New-HS % of Total",'Pivot-HS Student % of Undergrad'!$A$3,"State","FL","Category",2,"Category2","Four-Year")</f>
        <v>1.3085172785564319E-2</v>
      </c>
      <c r="F14" s="186">
        <f>+GETPIVOTDATA("Undergrad Student Credit Hour FTE - New",'FTE Pivot for regular counts'!$A$2,"State","FL","Category",3,"Category2","Four-Year")</f>
        <v>31357.899999999998</v>
      </c>
      <c r="G14" s="167">
        <f>+GETPIVOTDATA("Sum of New-HS % of Total",'Pivot-HS Student % of Undergrad'!$A$3,"State","FL","Category",3,"Category2","Four-Year")</f>
        <v>1.6444553578736671E-3</v>
      </c>
      <c r="H14" s="186">
        <f>+GETPIVOTDATA("Undergrad Student Credit Hour FTE - New",'FTE Pivot for regular counts'!$A$2,"State","FL","Category",4,"Category2","Four-Year")</f>
        <v>10147.033333333333</v>
      </c>
      <c r="I14" s="167">
        <f>+GETPIVOTDATA("Sum of New-HS % of Total",'Pivot-HS Student % of Undergrad'!$A$3,"State","FL","Category",4,"Category2","Four-Year")</f>
        <v>1.0627079836142583E-2</v>
      </c>
      <c r="J14" s="186">
        <f>+GETPIVOTDATA("Undergrad Student Credit Hour FTE - New",'FTE Pivot for regular counts'!$A$2,"State","FL","Category",5,"Category2","Four-Year")</f>
        <v>0</v>
      </c>
      <c r="K14" s="167">
        <f>+GETPIVOTDATA("Sum of New-HS % of Total",'Pivot-HS Student % of Undergrad'!$A$3,"State","FL","Category",5,"Category2","Four-Year")</f>
        <v>0</v>
      </c>
      <c r="L14" s="186">
        <f>+GETPIVOTDATA("Undergrad Student Credit Hour FTE - New",'FTE Pivot for regular counts'!$A$2,"State","FL","Category",6,"Category2","Four-Year")</f>
        <v>950.66666666666663</v>
      </c>
      <c r="M14" s="167">
        <f>+GETPIVOTDATA("Sum of New-HS % of Total",'Pivot-HS Student % of Undergrad'!$A$3,"State","FL","Category",6,"Category2","Four-Year")</f>
        <v>7.0126227208976155E-4</v>
      </c>
      <c r="N14" s="186">
        <f>+GETPIVOTDATA("Undergrad Student Credit Hour FTE - New",'FTE Pivot for regular counts'!$A$2,"State","FL","Category2","Four-Year")</f>
        <v>242475.36666666664</v>
      </c>
      <c r="O14" s="167">
        <f>+GETPIVOTDATA("Sum of New-HS % of Total",'Pivot-HS Student % of Undergrad'!$A$3,"State","FL","Category2","Group1")</f>
        <v>6.973079464704387E-3</v>
      </c>
      <c r="Q14" s="1" t="s">
        <v>67</v>
      </c>
      <c r="R14" s="239">
        <f>+GETPIVOTDATA("Sum of Old-HS % of Total",'Pivot-HS Student % of Undergrad'!$A$3,"State","FL","Category",1,"Category2","Four-Year")</f>
        <v>5.4196250500851799E-3</v>
      </c>
      <c r="S14" s="467">
        <f t="shared" si="6"/>
        <v>0.16109266729767233</v>
      </c>
      <c r="T14" s="240">
        <f>+GETPIVOTDATA("Sum of Old-HS % of Total",'Pivot-HS Student % of Undergrad'!$A$3,"State","FL","Category",2,"Category2","Four-Year")</f>
        <v>1.0313885641770486E-2</v>
      </c>
      <c r="U14" s="467">
        <f t="shared" si="0"/>
        <v>0.27712871437938336</v>
      </c>
      <c r="V14" s="240">
        <f>+GETPIVOTDATA("Sum of Old-HS % of Total",'Pivot-HS Student % of Undergrad'!$A$3,"State","FL","Category",3,"Category2","Four-Year")</f>
        <v>1.6095479757518324E-3</v>
      </c>
      <c r="W14" s="467">
        <f t="shared" si="1"/>
        <v>3.4907382121834645E-3</v>
      </c>
      <c r="X14" s="240">
        <f>+GETPIVOTDATA("Sum of Old-HS % of Total",'Pivot-HS Student % of Undergrad'!$A$3,"State","FL","Category",4,"Category2","Four-Year")</f>
        <v>8.2235075182889011E-3</v>
      </c>
      <c r="Y14" s="467">
        <f t="shared" si="2"/>
        <v>0.24035723178536822</v>
      </c>
      <c r="Z14" s="240">
        <f>+GETPIVOTDATA("Sum of Old-HS % of Total",'Pivot-HS Student % of Undergrad'!$A$3,"State","FL","Category",5,"Category2","Four-Year")</f>
        <v>0</v>
      </c>
      <c r="AA14" s="467">
        <f t="shared" si="3"/>
        <v>0</v>
      </c>
      <c r="AB14" s="240">
        <f>+GETPIVOTDATA("Sum of Old-HS % of Total",'Pivot-HS Student % of Undergrad'!$A$3,"State","FL","Category",6,"Category2","Four-Year")</f>
        <v>0</v>
      </c>
      <c r="AC14" s="467">
        <f t="shared" si="4"/>
        <v>7.0126227208976155E-2</v>
      </c>
      <c r="AD14" s="240">
        <f>+GETPIVOTDATA("Sum of Old-HS % of Total",'Pivot-HS Student % of Undergrad'!$A$3,"State","FL","Category2","Four-Year")</f>
        <v>5.4304031486803904E-3</v>
      </c>
      <c r="AE14" s="467">
        <f t="shared" si="5"/>
        <v>0.15426763160239967</v>
      </c>
      <c r="AF14" s="1" t="s">
        <v>67</v>
      </c>
    </row>
    <row r="15" spans="1:32" ht="15" customHeight="1">
      <c r="B15" s="5"/>
      <c r="C15" s="167"/>
      <c r="D15" s="186"/>
      <c r="E15" s="167"/>
      <c r="F15" s="186"/>
      <c r="G15" s="167"/>
      <c r="H15" s="186"/>
      <c r="I15" s="167"/>
      <c r="J15" s="186"/>
      <c r="K15" s="167"/>
      <c r="L15" s="186"/>
      <c r="M15" s="167"/>
      <c r="N15" s="186"/>
      <c r="O15" s="167"/>
      <c r="R15" s="239"/>
      <c r="S15" s="467"/>
      <c r="T15" s="240"/>
      <c r="U15" s="467"/>
      <c r="V15" s="240"/>
      <c r="W15" s="467"/>
      <c r="X15" s="240"/>
      <c r="Y15" s="467"/>
      <c r="Z15" s="240"/>
      <c r="AA15" s="467"/>
      <c r="AB15" s="240"/>
      <c r="AC15" s="467"/>
      <c r="AD15" s="240"/>
      <c r="AE15" s="467"/>
    </row>
    <row r="16" spans="1:32" ht="15" customHeight="1">
      <c r="A16" s="1" t="s">
        <v>68</v>
      </c>
      <c r="B16" s="5">
        <f>+GETPIVOTDATA("Undergrad Student Credit Hour FTE - New",'FTE Pivot for regular counts'!$A$2,"State","GA","Category",1,"Category2","Four-Year")</f>
        <v>46819.28</v>
      </c>
      <c r="C16" s="167">
        <f>+GETPIVOTDATA("Sum of New-HS % of Total",'Pivot-HS Student % of Undergrad'!$A$3,"State","GA","Category",1,"Category2","Four-Year")</f>
        <v>1.7350402085066952E-3</v>
      </c>
      <c r="D16" s="186">
        <f>+GETPIVOTDATA("Undergrad Student Credit Hour FTE - New",'FTE Pivot for regular counts'!$A$2,"State","GA","Category",2,"Category2","Four-Year")</f>
        <v>14130.933333333332</v>
      </c>
      <c r="E16" s="167">
        <f>+GETPIVOTDATA("Sum of New-HS % of Total",'Pivot-HS Student % of Undergrad'!$A$3,"State","GA","Category",2,"Category2","Four-Year")</f>
        <v>5.8736389198165723E-3</v>
      </c>
      <c r="F16" s="186">
        <f>+GETPIVOTDATA("Undergrad Student Credit Hour FTE - New",'FTE Pivot for regular counts'!$A$2,"State","GA","Category",3,"Category2","Four-Year")</f>
        <v>35901.96666666666</v>
      </c>
      <c r="G16" s="167">
        <f>+GETPIVOTDATA("Sum of New-HS % of Total",'Pivot-HS Student % of Undergrad'!$A$3,"State","GA","Category",3,"Category2","Four-Year")</f>
        <v>4.7564710939697824E-3</v>
      </c>
      <c r="H16" s="186">
        <f>+GETPIVOTDATA("Undergrad Student Credit Hour FTE - New",'FTE Pivot for regular counts'!$A$2,"State","GA","Category",4,"Category2","Four-Year")</f>
        <v>51126.95</v>
      </c>
      <c r="I16" s="167">
        <f>+GETPIVOTDATA("Sum of New-HS % of Total",'Pivot-HS Student % of Undergrad'!$A$3,"State","GA","Category",4,"Category2","Four-Year")</f>
        <v>4.923691582097765E-3</v>
      </c>
      <c r="J16" s="186">
        <f>+GETPIVOTDATA("Undergrad Student Credit Hour FTE - New",'FTE Pivot for regular counts'!$A$2,"State","GA","Category",5,"Category2","Four-Year")</f>
        <v>15210.300000000001</v>
      </c>
      <c r="K16" s="167">
        <f>+GETPIVOTDATA("Sum of New-HS % of Total",'Pivot-HS Student % of Undergrad'!$A$3,"State","GA","Category",5,"Category2","Four-Year")</f>
        <v>1.3894093695281048E-2</v>
      </c>
      <c r="L16" s="186">
        <f>+GETPIVOTDATA("Undergrad Student Credit Hour FTE - New",'FTE Pivot for regular counts'!$A$2,"State","GA","Category",6,"Category2","Four-Year")</f>
        <v>12132.766666666666</v>
      </c>
      <c r="M16" s="167">
        <f>+GETPIVOTDATA("Sum of New-HS % of Total",'Pivot-HS Student % of Undergrad'!$A$3,"State","GA","Category",6,"Category2","Four-Year")</f>
        <v>1.428363412576961E-2</v>
      </c>
      <c r="N16" s="186">
        <f>+GETPIVOTDATA("Undergrad Student Credit Hour FTE - New",'FTE Pivot for regular counts'!$A$2,"State","GA","Category2","Four-Year")</f>
        <v>175322.19666666666</v>
      </c>
      <c r="O16" s="167">
        <f>+GETPIVOTDATA("Sum of New-HS % of Total",'Pivot-HS Student % of Undergrad'!$A$3,"State","GA","Category2","Group1")</f>
        <v>5.5404659828298215E-3</v>
      </c>
      <c r="Q16" s="1" t="s">
        <v>68</v>
      </c>
      <c r="R16" s="239">
        <f>+GETPIVOTDATA("Sum of Old-HS % of Total",'Pivot-HS Student % of Undergrad'!$A$3,"State","GA","Category",1,"Category2","Four-Year")</f>
        <v>1.2699539051386228E-3</v>
      </c>
      <c r="S16" s="467">
        <f t="shared" ref="S16:S19" si="7">(C16-R16)*100</f>
        <v>4.6508630336807237E-2</v>
      </c>
      <c r="T16" s="240">
        <f>+GETPIVOTDATA("Sum of Old-HS % of Total",'Pivot-HS Student % of Undergrad'!$A$3,"State","GA","Category",2,"Category2","Four-Year")</f>
        <v>5.3585500394011032E-3</v>
      </c>
      <c r="U16" s="467">
        <f t="shared" si="0"/>
        <v>5.1508888041546921E-2</v>
      </c>
      <c r="V16" s="240">
        <f>+GETPIVOTDATA("Sum of Old-HS % of Total",'Pivot-HS Student % of Undergrad'!$A$3,"State","GA","Category",3,"Category2","Four-Year")</f>
        <v>4.3923737031177738E-3</v>
      </c>
      <c r="W16" s="467">
        <f t="shared" si="1"/>
        <v>3.6409739085200857E-2</v>
      </c>
      <c r="X16" s="240">
        <f>+GETPIVOTDATA("Sum of Old-HS % of Total",'Pivot-HS Student % of Undergrad'!$A$3,"State","GA","Category",4,"Category2","Four-Year")</f>
        <v>4.3351971333364112E-3</v>
      </c>
      <c r="Y16" s="467">
        <f t="shared" si="2"/>
        <v>5.8849444876135373E-2</v>
      </c>
      <c r="Z16" s="240">
        <f>+GETPIVOTDATA("Sum of Old-HS % of Total",'Pivot-HS Student % of Undergrad'!$A$3,"State","GA","Category",5,"Category2","Four-Year")</f>
        <v>1.3967536531548178E-2</v>
      </c>
      <c r="AA16" s="467">
        <f t="shared" si="3"/>
        <v>-7.3442836267130149E-3</v>
      </c>
      <c r="AB16" s="240">
        <f>+GETPIVOTDATA("Sum of Old-HS % of Total",'Pivot-HS Student % of Undergrad'!$A$3,"State","GA","Category",6,"Category2","Four-Year")</f>
        <v>1.1110700857225495E-2</v>
      </c>
      <c r="AC16" s="467">
        <f t="shared" si="4"/>
        <v>0.31729332685441153</v>
      </c>
      <c r="AD16" s="240">
        <f>+GETPIVOTDATA("Sum of Old-HS % of Total",'Pivot-HS Student % of Undergrad'!$A$3,"State","GA","Category2","Four-Year")</f>
        <v>4.8893252418365412E-3</v>
      </c>
      <c r="AE16" s="467">
        <f t="shared" si="5"/>
        <v>6.511407409932804E-2</v>
      </c>
      <c r="AF16" s="1" t="s">
        <v>68</v>
      </c>
    </row>
    <row r="17" spans="1:32" ht="15" customHeight="1">
      <c r="A17" s="1" t="s">
        <v>69</v>
      </c>
      <c r="B17" s="5">
        <f>+GETPIVOTDATA("Undergrad Student Credit Hour FTE - New",'FTE Pivot for regular counts'!$A$2,"State","KY","Category",1,"Category2","Four-Year")</f>
        <v>32257.599999999999</v>
      </c>
      <c r="C17" s="167">
        <f>+GETPIVOTDATA("Sum of New-HS % of Total",'Pivot-HS Student % of Undergrad'!$A$3,"State","KY","Category",1,"Category2","Four-Year")</f>
        <v>1.6037564274258883E-3</v>
      </c>
      <c r="D17" s="186">
        <f>+GETPIVOTDATA("Undergrad Student Credit Hour FTE - New",'FTE Pivot for regular counts'!$A$2,"State","KY","Category",2,"Category2","Four-Year")</f>
        <v>0</v>
      </c>
      <c r="E17" s="167">
        <f>+GETPIVOTDATA("Sum of New-HS % of Total",'Pivot-HS Student % of Undergrad'!$A$3,"State","KY","Category",2,"Category2","Four-Year")</f>
        <v>0</v>
      </c>
      <c r="F17" s="186">
        <f>+GETPIVOTDATA("Undergrad Student Credit Hour FTE - New",'FTE Pivot for regular counts'!$A$2,"State","KY","Category",3,"Category2","Four-Year")</f>
        <v>41413.300000000003</v>
      </c>
      <c r="G17" s="167">
        <f>+GETPIVOTDATA("Sum of New-HS % of Total",'Pivot-HS Student % of Undergrad'!$A$3,"State","KY","Category",3,"Category2","Four-Year")</f>
        <v>2.7879932292282913E-2</v>
      </c>
      <c r="H17" s="186">
        <f>+GETPIVOTDATA("Undergrad Student Credit Hour FTE - New",'FTE Pivot for regular counts'!$A$2,"State","KY","Category",4,"Category2","Four-Year")</f>
        <v>13086.9</v>
      </c>
      <c r="I17" s="167">
        <f>+GETPIVOTDATA("Sum of New-HS % of Total",'Pivot-HS Student % of Undergrad'!$A$3,"State","KY","Category",4,"Category2","Four-Year")</f>
        <v>1.4008919861337165E-2</v>
      </c>
      <c r="J17" s="186">
        <f>+GETPIVOTDATA("Undergrad Student Credit Hour FTE - New",'FTE Pivot for regular counts'!$A$2,"State","KY","Category",5,"Category2","Four-Year")</f>
        <v>0</v>
      </c>
      <c r="K17" s="167">
        <f>+GETPIVOTDATA("Sum of New-HS % of Total",'Pivot-HS Student % of Undergrad'!$A$3,"State","KY","Category",5,"Category2","Four-Year")</f>
        <v>0</v>
      </c>
      <c r="L17" s="186">
        <f>+GETPIVOTDATA("Undergrad Student Credit Hour FTE - New",'FTE Pivot for regular counts'!$A$2,"State","KY","Category",6,"Category2","Four-Year")</f>
        <v>0</v>
      </c>
      <c r="M17" s="167">
        <f>+GETPIVOTDATA("Sum of New-HS % of Total",'Pivot-HS Student % of Undergrad'!$A$3,"State","KY","Category",6,"Category2","Four-Year")</f>
        <v>0</v>
      </c>
      <c r="N17" s="186">
        <f>+GETPIVOTDATA("Undergrad Student Credit Hour FTE - New",'FTE Pivot for regular counts'!$A$2,"State","KY","Category2","Four-Year")</f>
        <v>86757.799999999988</v>
      </c>
      <c r="O17" s="167">
        <f>+GETPIVOTDATA("Sum of New-HS % of Total",'Pivot-HS Student % of Undergrad'!$A$3,"State","KY","Category2","Group1")</f>
        <v>1.6017772081203842E-2</v>
      </c>
      <c r="Q17" s="1" t="s">
        <v>69</v>
      </c>
      <c r="R17" s="239">
        <f>+GETPIVOTDATA("Sum of Old-HS % of Total",'Pivot-HS Student % of Undergrad'!$A$3,"State","KY","Category",1,"Category2","Four-Year")</f>
        <v>1.3945815940413905E-3</v>
      </c>
      <c r="S17" s="467">
        <f t="shared" si="7"/>
        <v>2.0917483338449783E-2</v>
      </c>
      <c r="T17" s="240">
        <f>+GETPIVOTDATA("Sum of Old-HS % of Total",'Pivot-HS Student % of Undergrad'!$A$3,"State","KY","Category",2,"Category2","Four-Year")</f>
        <v>0</v>
      </c>
      <c r="U17" s="467">
        <f t="shared" si="0"/>
        <v>0</v>
      </c>
      <c r="V17" s="240">
        <f>+GETPIVOTDATA("Sum of Old-HS % of Total",'Pivot-HS Student % of Undergrad'!$A$3,"State","KY","Category",3,"Category2","Four-Year")</f>
        <v>2.1660340513032738E-2</v>
      </c>
      <c r="W17" s="467">
        <f t="shared" si="1"/>
        <v>0.62195917792501754</v>
      </c>
      <c r="X17" s="240">
        <f>+GETPIVOTDATA("Sum of Old-HS % of Total",'Pivot-HS Student % of Undergrad'!$A$3,"State","KY","Category",4,"Category2","Four-Year")</f>
        <v>1.1533220744740917E-2</v>
      </c>
      <c r="Y17" s="467">
        <f t="shared" si="2"/>
        <v>0.24756991165962478</v>
      </c>
      <c r="Z17" s="240">
        <f>+GETPIVOTDATA("Sum of Old-HS % of Total",'Pivot-HS Student % of Undergrad'!$A$3,"State","KY","Category",5,"Category2","Four-Year")</f>
        <v>0</v>
      </c>
      <c r="AA17" s="467">
        <f t="shared" si="3"/>
        <v>0</v>
      </c>
      <c r="AB17" s="240">
        <f>+GETPIVOTDATA("Sum of Old-HS % of Total",'Pivot-HS Student % of Undergrad'!$A$3,"State","KY","Category",6,"Category2","Four-Year")</f>
        <v>0</v>
      </c>
      <c r="AC17" s="467">
        <f t="shared" si="4"/>
        <v>0</v>
      </c>
      <c r="AD17" s="240">
        <f>+GETPIVOTDATA("Sum of Old-HS % of Total",'Pivot-HS Student % of Undergrad'!$A$3,"State","KY","Category2","Four-Year")</f>
        <v>1.2640868833264379E-2</v>
      </c>
      <c r="AE17" s="467">
        <f t="shared" si="5"/>
        <v>0.33769032479394628</v>
      </c>
      <c r="AF17" s="1" t="s">
        <v>69</v>
      </c>
    </row>
    <row r="18" spans="1:32" ht="15" customHeight="1">
      <c r="A18" s="1" t="s">
        <v>70</v>
      </c>
      <c r="B18" s="5">
        <f>+GETPIVOTDATA("Undergrad Student Credit Hour FTE - New",'FTE Pivot for regular counts'!$A$2,"State","LA","Category",1,"Category2","Four-Year")</f>
        <v>24166.9</v>
      </c>
      <c r="C18" s="167">
        <f>+GETPIVOTDATA("Sum of New-HS % of Total",'Pivot-HS Student % of Undergrad'!$A$3,"State","LA","Category",1,"Category2","Four-Year")</f>
        <v>2.8234210152453701E-3</v>
      </c>
      <c r="D18" s="186">
        <f>+GETPIVOTDATA("Undergrad Student Credit Hour FTE - New",'FTE Pivot for regular counts'!$A$2,"State","LA","Category",2,"Category2","Four-Year")</f>
        <v>28101.1</v>
      </c>
      <c r="E18" s="167">
        <f>+GETPIVOTDATA("Sum of New-HS % of Total",'Pivot-HS Student % of Undergrad'!$A$3,"State","LA","Category",2,"Category2","Four-Year")</f>
        <v>1.7151167273404481E-2</v>
      </c>
      <c r="F18" s="186">
        <f>+GETPIVOTDATA("Undergrad Student Credit Hour FTE - New",'FTE Pivot for regular counts'!$A$2,"State","LA","Category",3,"Category2","Four-Year")</f>
        <v>23235.633333333331</v>
      </c>
      <c r="G18" s="167">
        <f>+GETPIVOTDATA("Sum of New-HS % of Total",'Pivot-HS Student % of Undergrad'!$A$3,"State","LA","Category",3,"Category2","Four-Year")</f>
        <v>3.2729901917887612E-2</v>
      </c>
      <c r="H18" s="186">
        <f>+GETPIVOTDATA("Undergrad Student Credit Hour FTE - New",'FTE Pivot for regular counts'!$A$2,"State","LA","Category",4,"Category2","Four-Year")</f>
        <v>29616.366666666665</v>
      </c>
      <c r="I18" s="167">
        <f>+GETPIVOTDATA("Sum of New-HS % of Total",'Pivot-HS Student % of Undergrad'!$A$3,"State","LA","Category",4,"Category2","Four-Year")</f>
        <v>2.7969895024260234E-2</v>
      </c>
      <c r="J18" s="186">
        <f>+GETPIVOTDATA("Undergrad Student Credit Hour FTE - New",'FTE Pivot for regular counts'!$A$2,"State","LA","Category",5,"Category2","Four-Year")</f>
        <v>0</v>
      </c>
      <c r="K18" s="167">
        <f>+GETPIVOTDATA("Sum of New-HS % of Total",'Pivot-HS Student % of Undergrad'!$A$3,"State","LA","Category",5,"Category2","Four-Year")</f>
        <v>0</v>
      </c>
      <c r="L18" s="186">
        <f>+GETPIVOTDATA("Undergrad Student Credit Hour FTE - New",'FTE Pivot for regular counts'!$A$2,"State","LA","Category",6,"Category2","Four-Year")</f>
        <v>1724.3</v>
      </c>
      <c r="M18" s="167">
        <f>+GETPIVOTDATA("Sum of New-HS % of Total",'Pivot-HS Student % of Undergrad'!$A$3,"State","LA","Category",6,"Category2","Four-Year")</f>
        <v>5.5462119894063293E-2</v>
      </c>
      <c r="N18" s="186">
        <f>+GETPIVOTDATA("Undergrad Student Credit Hour FTE - New",'FTE Pivot for regular counts'!$A$2,"State","LA","Category2","Four-Year")</f>
        <v>106844.3</v>
      </c>
      <c r="O18" s="167">
        <f>+GETPIVOTDATA("Sum of New-HS % of Total",'Pivot-HS Student % of Undergrad'!$A$3,"State","LA","Category2","Group1")</f>
        <v>2.091548168690328E-2</v>
      </c>
      <c r="Q18" s="1" t="s">
        <v>70</v>
      </c>
      <c r="R18" s="239">
        <f>+GETPIVOTDATA("Sum of Old-HS % of Total",'Pivot-HS Student % of Undergrad'!$A$3,"State","LA","Category",1,"Category2","Four-Year")</f>
        <v>2.1631665239673077E-3</v>
      </c>
      <c r="S18" s="467">
        <f t="shared" si="7"/>
        <v>6.6025449127806238E-2</v>
      </c>
      <c r="T18" s="240">
        <f>+GETPIVOTDATA("Sum of Old-HS % of Total",'Pivot-HS Student % of Undergrad'!$A$3,"State","LA","Category",2,"Category2","Four-Year")</f>
        <v>1.3548626577579806E-2</v>
      </c>
      <c r="U18" s="467">
        <f t="shared" si="0"/>
        <v>0.36025406958246753</v>
      </c>
      <c r="V18" s="240">
        <f>+GETPIVOTDATA("Sum of Old-HS % of Total",'Pivot-HS Student % of Undergrad'!$A$3,"State","LA","Category",3,"Category2","Four-Year")</f>
        <v>2.5173114536172901E-2</v>
      </c>
      <c r="W18" s="467">
        <f t="shared" si="1"/>
        <v>0.75567873817147113</v>
      </c>
      <c r="X18" s="240">
        <f>+GETPIVOTDATA("Sum of Old-HS % of Total",'Pivot-HS Student % of Undergrad'!$A$3,"State","LA","Category",4,"Category2","Four-Year")</f>
        <v>2.36673715431302E-2</v>
      </c>
      <c r="Y18" s="467">
        <f t="shared" si="2"/>
        <v>0.43025234811300339</v>
      </c>
      <c r="Z18" s="240">
        <f>+GETPIVOTDATA("Sum of Old-HS % of Total",'Pivot-HS Student % of Undergrad'!$A$3,"State","LA","Category",5,"Category2","Four-Year")</f>
        <v>0</v>
      </c>
      <c r="AA18" s="467">
        <f t="shared" si="3"/>
        <v>0</v>
      </c>
      <c r="AB18" s="240">
        <f>+GETPIVOTDATA("Sum of Old-HS % of Total",'Pivot-HS Student % of Undergrad'!$A$3,"State","LA","Category",6,"Category2","Four-Year")</f>
        <v>5.2458194578723097E-2</v>
      </c>
      <c r="AC18" s="467">
        <f t="shared" si="4"/>
        <v>0.30039253153401957</v>
      </c>
      <c r="AD18" s="240">
        <f>+GETPIVOTDATA("Sum of Old-HS % of Total",'Pivot-HS Student % of Undergrad'!$A$3,"State","LA","Category2","Four-Year")</f>
        <v>1.7084932579392916E-2</v>
      </c>
      <c r="AE18" s="467">
        <f t="shared" si="5"/>
        <v>0.38305491075103643</v>
      </c>
      <c r="AF18" s="1" t="s">
        <v>70</v>
      </c>
    </row>
    <row r="19" spans="1:32" ht="15" customHeight="1">
      <c r="A19" s="1" t="s">
        <v>71</v>
      </c>
      <c r="B19" s="5">
        <f>+GETPIVOTDATA("Undergrad Student Credit Hour FTE - New",'FTE Pivot for regular counts'!$A$2,"State","MD","Category",1,"Category2","Four-Year")</f>
        <v>26352.5</v>
      </c>
      <c r="C19" s="167">
        <f>+GETPIVOTDATA("Sum of New-HS % of Total",'Pivot-HS Student % of Undergrad'!$A$3,"State","MD","Category",1,"Category2","Four-Year")</f>
        <v>0</v>
      </c>
      <c r="D19" s="186">
        <f>+GETPIVOTDATA("Undergrad Student Credit Hour FTE - New",'FTE Pivot for regular counts'!$A$2,"State","MD","Category",2,"Category2","Four-Year")</f>
        <v>16456</v>
      </c>
      <c r="E19" s="167">
        <f>+GETPIVOTDATA("Sum of New-HS % of Total",'Pivot-HS Student % of Undergrad'!$A$3,"State","MD","Category",2,"Category2","Four-Year")</f>
        <v>0</v>
      </c>
      <c r="F19" s="186">
        <f>+GETPIVOTDATA("Undergrad Student Credit Hour FTE - New",'FTE Pivot for regular counts'!$A$2,"State","MD","Category",3,"Category2","Four-Year")</f>
        <v>17208.033333333333</v>
      </c>
      <c r="G19" s="167">
        <f>+GETPIVOTDATA("Sum of New-HS % of Total",'Pivot-HS Student % of Undergrad'!$A$3,"State","MD","Category",3,"Category2","Four-Year")</f>
        <v>0</v>
      </c>
      <c r="H19" s="186">
        <f>+GETPIVOTDATA("Undergrad Student Credit Hour FTE - New",'FTE Pivot for regular counts'!$A$2,"State","MD","Category",4,"Category2","Four-Year")</f>
        <v>22451.833333333332</v>
      </c>
      <c r="I19" s="167">
        <f>+GETPIVOTDATA("Sum of New-HS % of Total",'Pivot-HS Student % of Undergrad'!$A$3,"State","MD","Category",4,"Category2","Four-Year")</f>
        <v>0</v>
      </c>
      <c r="J19" s="186">
        <f>+GETPIVOTDATA("Undergrad Student Credit Hour FTE - New",'FTE Pivot for regular counts'!$A$2,"State","MD","Category",5,"Category2","Four-Year")</f>
        <v>2856.4333333333334</v>
      </c>
      <c r="K19" s="167">
        <f>+GETPIVOTDATA("Sum of New-HS % of Total",'Pivot-HS Student % of Undergrad'!$A$3,"State","MD","Category",5,"Category2","Four-Year")</f>
        <v>0</v>
      </c>
      <c r="L19" s="186">
        <f>+GETPIVOTDATA("Undergrad Student Credit Hour FTE - New",'FTE Pivot for regular counts'!$A$2,"State","MD","Category",6,"Category2","Four-Year")</f>
        <v>2122.2333333333331</v>
      </c>
      <c r="M19" s="167">
        <f>+GETPIVOTDATA("Sum of New-HS % of Total",'Pivot-HS Student % of Undergrad'!$A$3,"State","MD","Category",6,"Category2","Four-Year")</f>
        <v>0</v>
      </c>
      <c r="N19" s="186">
        <f>+GETPIVOTDATA("Undergrad Student Credit Hour FTE - New",'FTE Pivot for regular counts'!$A$2,"State","MD","Category2","Four-Year")</f>
        <v>87447.03333333334</v>
      </c>
      <c r="O19" s="167">
        <f>+GETPIVOTDATA("Sum of New-HS % of Total",'Pivot-HS Student % of Undergrad'!$A$3,"State","MD","Category2","Group1")</f>
        <v>0</v>
      </c>
      <c r="Q19" s="1" t="s">
        <v>71</v>
      </c>
      <c r="R19" s="239">
        <f>+GETPIVOTDATA("Sum of Old-HS % of Total",'Pivot-HS Student % of Undergrad'!$A$3,"State","MD","Category",1,"Category2","Four-Year")</f>
        <v>0</v>
      </c>
      <c r="S19" s="467">
        <f t="shared" si="7"/>
        <v>0</v>
      </c>
      <c r="T19" s="240">
        <f>+GETPIVOTDATA("Sum of Old-HS % of Total",'Pivot-HS Student % of Undergrad'!$A$3,"State","MD","Category",2,"Category2","Four-Year")</f>
        <v>0</v>
      </c>
      <c r="U19" s="467">
        <f t="shared" si="0"/>
        <v>0</v>
      </c>
      <c r="V19" s="240">
        <f>+GETPIVOTDATA("Sum of Old-HS % of Total",'Pivot-HS Student % of Undergrad'!$A$3,"State","MD","Category",3,"Category2","Four-Year")</f>
        <v>0</v>
      </c>
      <c r="W19" s="467">
        <f t="shared" si="1"/>
        <v>0</v>
      </c>
      <c r="X19" s="240">
        <f>+GETPIVOTDATA("Sum of Old-HS % of Total",'Pivot-HS Student % of Undergrad'!$A$3,"State","MD","Category",4,"Category2","Four-Year")</f>
        <v>0</v>
      </c>
      <c r="Y19" s="467">
        <f t="shared" si="2"/>
        <v>0</v>
      </c>
      <c r="Z19" s="240">
        <f>+GETPIVOTDATA("Sum of Old-HS % of Total",'Pivot-HS Student % of Undergrad'!$A$3,"State","MD","Category",5,"Category2","Four-Year")</f>
        <v>0</v>
      </c>
      <c r="AA19" s="467">
        <f t="shared" si="3"/>
        <v>0</v>
      </c>
      <c r="AB19" s="240">
        <f>+GETPIVOTDATA("Sum of Old-HS % of Total",'Pivot-HS Student % of Undergrad'!$A$3,"State","MD","Category",6,"Category2","Four-Year")</f>
        <v>0</v>
      </c>
      <c r="AC19" s="467">
        <f t="shared" si="4"/>
        <v>0</v>
      </c>
      <c r="AD19" s="240">
        <f>+GETPIVOTDATA("Sum of Old-HS % of Total",'Pivot-HS Student % of Undergrad'!$A$3,"State","MD","Category2","Four-Year")</f>
        <v>0</v>
      </c>
      <c r="AE19" s="467">
        <f t="shared" si="5"/>
        <v>0</v>
      </c>
      <c r="AF19" s="1" t="s">
        <v>71</v>
      </c>
    </row>
    <row r="20" spans="1:32" ht="15" customHeight="1">
      <c r="B20" s="5"/>
      <c r="C20" s="167"/>
      <c r="D20" s="186"/>
      <c r="E20" s="167"/>
      <c r="F20" s="186"/>
      <c r="G20" s="167"/>
      <c r="H20" s="186"/>
      <c r="I20" s="167"/>
      <c r="J20" s="186"/>
      <c r="K20" s="167"/>
      <c r="L20" s="186"/>
      <c r="M20" s="167"/>
      <c r="N20" s="186"/>
      <c r="O20" s="167"/>
      <c r="R20" s="239"/>
      <c r="S20" s="467"/>
      <c r="T20" s="240"/>
      <c r="U20" s="467"/>
      <c r="V20" s="240"/>
      <c r="W20" s="467"/>
      <c r="X20" s="240"/>
      <c r="Y20" s="467"/>
      <c r="Z20" s="240"/>
      <c r="AA20" s="467"/>
      <c r="AB20" s="240"/>
      <c r="AC20" s="467"/>
      <c r="AD20" s="240"/>
      <c r="AE20" s="467"/>
    </row>
    <row r="21" spans="1:32" ht="15" customHeight="1">
      <c r="A21" s="1" t="s">
        <v>72</v>
      </c>
      <c r="B21" s="5">
        <f>+GETPIVOTDATA("Undergrad Student Credit Hour FTE - New",'FTE Pivot for regular counts'!$A$2,"State","MS","Category",1,"Category2","Four-Year")</f>
        <v>26669</v>
      </c>
      <c r="C21" s="167">
        <f>+GETPIVOTDATA("Sum of New-HS % of Total",'Pivot-HS Student % of Undergrad'!$A$3,"State","MS","Category",1,"Category2","Four-Year")</f>
        <v>0</v>
      </c>
      <c r="D21" s="186">
        <f>+GETPIVOTDATA("Undergrad Student Credit Hour FTE - New",'FTE Pivot for regular counts'!$A$2,"State","MS","Category",2,"Category2","Four-Year")</f>
        <v>20950.45</v>
      </c>
      <c r="E21" s="167">
        <f>+GETPIVOTDATA("Sum of New-HS % of Total",'Pivot-HS Student % of Undergrad'!$A$3,"State","MS","Category",2,"Category2","Four-Year")</f>
        <v>0</v>
      </c>
      <c r="F21" s="186">
        <f>+GETPIVOTDATA("Undergrad Student Credit Hour FTE - New",'FTE Pivot for regular counts'!$A$2,"State","MS","Category",3,"Category2","Four-Year")</f>
        <v>0</v>
      </c>
      <c r="G21" s="167">
        <f>+GETPIVOTDATA("Sum of New-HS % of Total",'Pivot-HS Student % of Undergrad'!$A$3,"State","MS","Category",3,"Category2","Four-Year")</f>
        <v>0</v>
      </c>
      <c r="H21" s="186">
        <f>+GETPIVOTDATA("Undergrad Student Credit Hour FTE - New",'FTE Pivot for regular counts'!$A$2,"State","MS","Category",4,"Category2","Four-Year")</f>
        <v>7223.4666666666672</v>
      </c>
      <c r="I21" s="167">
        <f>+GETPIVOTDATA("Sum of New-HS % of Total",'Pivot-HS Student % of Undergrad'!$A$3,"State","MS","Category",4,"Category2","Four-Year")</f>
        <v>0</v>
      </c>
      <c r="J21" s="186">
        <f>+GETPIVOTDATA("Undergrad Student Credit Hour FTE - New",'FTE Pivot for regular counts'!$A$2,"State","MS","Category",5,"Category2","Four-Year")</f>
        <v>2277.3000000000002</v>
      </c>
      <c r="K21" s="167">
        <f>+GETPIVOTDATA("Sum of New-HS % of Total",'Pivot-HS Student % of Undergrad'!$A$3,"State","MS","Category",5,"Category2","Four-Year")</f>
        <v>0</v>
      </c>
      <c r="L21" s="186">
        <f>+GETPIVOTDATA("Undergrad Student Credit Hour FTE - New",'FTE Pivot for regular counts'!$A$2,"State","MS","Category",6,"Category2","Four-Year")</f>
        <v>0</v>
      </c>
      <c r="M21" s="167">
        <f>+GETPIVOTDATA("Sum of New-HS % of Total",'Pivot-HS Student % of Undergrad'!$A$3,"State","MS","Category",6,"Category2","Four-Year")</f>
        <v>0</v>
      </c>
      <c r="N21" s="186">
        <f>+GETPIVOTDATA("Undergrad Student Credit Hour FTE - New",'FTE Pivot for regular counts'!$A$2,"State","MS","Category2","Four-Year")</f>
        <v>57120.216666666667</v>
      </c>
      <c r="O21" s="167">
        <f>+GETPIVOTDATA("Sum of New-HS % of Total",'Pivot-HS Student % of Undergrad'!$A$3,"State","MS","Category2","Group1")</f>
        <v>0</v>
      </c>
      <c r="Q21" s="1" t="s">
        <v>72</v>
      </c>
      <c r="R21" s="239">
        <f>+GETPIVOTDATA("Sum of Old-HS % of Total",'Pivot-HS Student % of Undergrad'!$A$3,"State","MS","Category",1,"Category2","Four-Year")</f>
        <v>0</v>
      </c>
      <c r="S21" s="467">
        <f t="shared" ref="S21:S24" si="8">(C21-R21)*100</f>
        <v>0</v>
      </c>
      <c r="T21" s="240">
        <f>+GETPIVOTDATA("Sum of Old-HS % of Total",'Pivot-HS Student % of Undergrad'!$A$3,"State","MS","Category",2,"Category2","Four-Year")</f>
        <v>0</v>
      </c>
      <c r="U21" s="467">
        <f t="shared" si="0"/>
        <v>0</v>
      </c>
      <c r="V21" s="240">
        <f>+GETPIVOTDATA("Sum of Old-HS % of Total",'Pivot-HS Student % of Undergrad'!$A$3,"State","MS","Category",3,"Category2","Four-Year")</f>
        <v>0</v>
      </c>
      <c r="W21" s="467">
        <f t="shared" si="1"/>
        <v>0</v>
      </c>
      <c r="X21" s="240">
        <f>+GETPIVOTDATA("Sum of Old-HS % of Total",'Pivot-HS Student % of Undergrad'!$A$3,"State","MS","Category",4,"Category2","Four-Year")</f>
        <v>0</v>
      </c>
      <c r="Y21" s="467">
        <f t="shared" si="2"/>
        <v>0</v>
      </c>
      <c r="Z21" s="240">
        <f>+GETPIVOTDATA("Sum of Old-HS % of Total",'Pivot-HS Student % of Undergrad'!$A$3,"State","MS","Category",5,"Category2","Four-Year")</f>
        <v>0</v>
      </c>
      <c r="AA21" s="467">
        <f t="shared" si="3"/>
        <v>0</v>
      </c>
      <c r="AB21" s="240">
        <f>+GETPIVOTDATA("Sum of Old-HS % of Total",'Pivot-HS Student % of Undergrad'!$A$3,"State","MS","Category",6,"Category2","Four-Year")</f>
        <v>0</v>
      </c>
      <c r="AC21" s="467">
        <f t="shared" si="4"/>
        <v>0</v>
      </c>
      <c r="AD21" s="240">
        <f>+GETPIVOTDATA("Sum of Old-HS % of Total",'Pivot-HS Student % of Undergrad'!$A$3,"State","MS","Category2","Four-Year")</f>
        <v>0</v>
      </c>
      <c r="AE21" s="467">
        <f t="shared" si="5"/>
        <v>0</v>
      </c>
      <c r="AF21" s="1" t="s">
        <v>72</v>
      </c>
    </row>
    <row r="22" spans="1:32" ht="15" customHeight="1">
      <c r="A22" s="1" t="s">
        <v>73</v>
      </c>
      <c r="B22" s="5">
        <f>+GETPIVOTDATA("Undergrad Student Credit Hour FTE - New",'FTE Pivot for regular counts'!$A$2,"State","NC","Category",1,"Category2","Four-Year")</f>
        <v>54505.899999999994</v>
      </c>
      <c r="C22" s="469">
        <f>+GETPIVOTDATA("Sum of New-HS % of Total",'Pivot-HS Student % of Undergrad'!$A$3,"State","NC","Category",1,"Category2","Four-Year")</f>
        <v>5.5039913110323834E-6</v>
      </c>
      <c r="D22" s="186">
        <f>+GETPIVOTDATA("Undergrad Student Credit Hour FTE - New",'FTE Pivot for regular counts'!$A$2,"State","NC","Category",2,"Category2","Four-Year")</f>
        <v>38421.9</v>
      </c>
      <c r="E22" s="167">
        <f>+GETPIVOTDATA("Sum of New-HS % of Total",'Pivot-HS Student % of Undergrad'!$A$3,"State","NC","Category",2,"Category2","Four-Year")</f>
        <v>5.2053646488070602E-4</v>
      </c>
      <c r="F22" s="186">
        <f>+GETPIVOTDATA("Undergrad Student Credit Hour FTE - New",'FTE Pivot for regular counts'!$A$2,"State","NC","Category",3,"Category2","Four-Year")</f>
        <v>50076.833333333336</v>
      </c>
      <c r="G22" s="167">
        <f>+GETPIVOTDATA("Sum of New-HS % of Total",'Pivot-HS Student % of Undergrad'!$A$3,"State","NC","Category",3,"Category2","Four-Year")</f>
        <v>4.3286815926193416E-3</v>
      </c>
      <c r="H22" s="186">
        <f>+GETPIVOTDATA("Undergrad Student Credit Hour FTE - New",'FTE Pivot for regular counts'!$A$2,"State","NC","Category",4,"Category2","Four-Year")</f>
        <v>4960.7333333333336</v>
      </c>
      <c r="I22" s="167">
        <f>+GETPIVOTDATA("Sum of New-HS % of Total",'Pivot-HS Student % of Undergrad'!$A$3,"State","NC","Category",4,"Category2","Four-Year")</f>
        <v>1.7053930198492159E-2</v>
      </c>
      <c r="J22" s="186">
        <f>+GETPIVOTDATA("Undergrad Student Credit Hour FTE - New",'FTE Pivot for regular counts'!$A$2,"State","NC","Category",5,"Category2","Four-Year")</f>
        <v>10259.633333333333</v>
      </c>
      <c r="K22" s="167">
        <f>+GETPIVOTDATA("Sum of New-HS % of Total",'Pivot-HS Student % of Undergrad'!$A$3,"State","NC","Category",5,"Category2","Four-Year")</f>
        <v>0</v>
      </c>
      <c r="L22" s="186">
        <f>+GETPIVOTDATA("Undergrad Student Credit Hour FTE - New",'FTE Pivot for regular counts'!$A$2,"State","NC","Category",6,"Category2","Four-Year")</f>
        <v>6084.1333333333332</v>
      </c>
      <c r="M22" s="167">
        <f>+GETPIVOTDATA("Sum of New-HS % of Total",'Pivot-HS Student % of Undergrad'!$A$3,"State","NC","Category",6,"Category2","Four-Year")</f>
        <v>0</v>
      </c>
      <c r="N22" s="186">
        <f>+GETPIVOTDATA("Undergrad Student Credit Hour FTE - New",'FTE Pivot for regular counts'!$A$2,"State","NC","Category2","Four-Year")</f>
        <v>164309.13333333333</v>
      </c>
      <c r="O22" s="167">
        <f>+GETPIVOTDATA("Sum of New-HS % of Total",'Pivot-HS Student % of Undergrad'!$A$3,"State","NC","Category2","Group1")</f>
        <v>1.9576919440875066E-3</v>
      </c>
      <c r="Q22" s="1" t="s">
        <v>73</v>
      </c>
      <c r="R22" s="239">
        <f>+GETPIVOTDATA("Sum of Old-HS % of Total",'Pivot-HS Student % of Undergrad'!$A$3,"State","NC","Category",1,"Category2","Four-Year")</f>
        <v>1.7672336841953405E-4</v>
      </c>
      <c r="S22" s="467">
        <f t="shared" si="8"/>
        <v>-1.7121937710850167E-2</v>
      </c>
      <c r="T22" s="240">
        <f>+GETPIVOTDATA("Sum of Old-HS % of Total",'Pivot-HS Student % of Undergrad'!$A$3,"State","NC","Category",2,"Category2","Four-Year")</f>
        <v>3.4542373696927622E-4</v>
      </c>
      <c r="U22" s="467">
        <f t="shared" si="0"/>
        <v>1.7511272791142982E-2</v>
      </c>
      <c r="V22" s="240">
        <f>+GETPIVOTDATA("Sum of Old-HS % of Total",'Pivot-HS Student % of Undergrad'!$A$3,"State","NC","Category",3,"Category2","Four-Year")</f>
        <v>4.3432421364193591E-3</v>
      </c>
      <c r="W22" s="467">
        <f t="shared" si="1"/>
        <v>-1.4560543800017436E-3</v>
      </c>
      <c r="X22" s="240">
        <f>+GETPIVOTDATA("Sum of Old-HS % of Total",'Pivot-HS Student % of Undergrad'!$A$3,"State","NC","Category",4,"Category2","Four-Year")</f>
        <v>1.9247617635562264E-2</v>
      </c>
      <c r="Y22" s="467">
        <f t="shared" si="2"/>
        <v>-0.21936874370701054</v>
      </c>
      <c r="Z22" s="240">
        <f>+GETPIVOTDATA("Sum of Old-HS % of Total",'Pivot-HS Student % of Undergrad'!$A$3,"State","NC","Category",5,"Category2","Four-Year")</f>
        <v>0</v>
      </c>
      <c r="AA22" s="467">
        <f t="shared" si="3"/>
        <v>0</v>
      </c>
      <c r="AB22" s="240">
        <f>+GETPIVOTDATA("Sum of Old-HS % of Total",'Pivot-HS Student % of Undergrad'!$A$3,"State","NC","Category",6,"Category2","Four-Year")</f>
        <v>0</v>
      </c>
      <c r="AC22" s="467">
        <f t="shared" si="4"/>
        <v>0</v>
      </c>
      <c r="AD22" s="240">
        <f>+GETPIVOTDATA("Sum of Old-HS % of Total",'Pivot-HS Student % of Undergrad'!$A$3,"State","NC","Category2","Four-Year")</f>
        <v>2.0090845387606918E-3</v>
      </c>
      <c r="AE22" s="467">
        <f t="shared" si="5"/>
        <v>-5.1392594673185191E-3</v>
      </c>
      <c r="AF22" s="1" t="s">
        <v>73</v>
      </c>
    </row>
    <row r="23" spans="1:32" ht="15" customHeight="1">
      <c r="A23" s="1" t="s">
        <v>74</v>
      </c>
      <c r="B23" s="5">
        <f>+GETPIVOTDATA("Undergrad Student Credit Hour FTE - New",'FTE Pivot for regular counts'!$A$2,"State","OK","Category",1,"Category2","Four-Year")</f>
        <v>36749.800000000003</v>
      </c>
      <c r="C23" s="167">
        <f>+GETPIVOTDATA("Sum of New-HS % of Total",'Pivot-HS Student % of Undergrad'!$A$3,"State","OK","Category",1,"Category2","Four-Year")</f>
        <v>1.3995541018817336E-3</v>
      </c>
      <c r="D23" s="186">
        <f>+GETPIVOTDATA("Undergrad Student Credit Hour FTE - New",'FTE Pivot for regular counts'!$A$2,"State","OK","Category",2,"Category2","Four-Year")</f>
        <v>0</v>
      </c>
      <c r="E23" s="167">
        <f>+GETPIVOTDATA("Sum of New-HS % of Total",'Pivot-HS Student % of Undergrad'!$A$3,"State","OK","Category",2,"Category2","Four-Year")</f>
        <v>0</v>
      </c>
      <c r="F23" s="186">
        <f>+GETPIVOTDATA("Undergrad Student Credit Hour FTE - New",'FTE Pivot for regular counts'!$A$2,"State","OK","Category",3,"Category2","Four-Year")</f>
        <v>18667.233333333334</v>
      </c>
      <c r="G23" s="167">
        <f>+GETPIVOTDATA("Sum of New-HS % of Total",'Pivot-HS Student % of Undergrad'!$A$3,"State","OK","Category",3,"Category2","Four-Year")</f>
        <v>4.4855781163786104E-3</v>
      </c>
      <c r="H23" s="186">
        <f>+GETPIVOTDATA("Undergrad Student Credit Hour FTE - New",'FTE Pivot for regular counts'!$A$2,"State","OK","Category",4,"Category2","Four-Year")</f>
        <v>3162.7</v>
      </c>
      <c r="I23" s="167">
        <f>+GETPIVOTDATA("Sum of New-HS % of Total",'Pivot-HS Student % of Undergrad'!$A$3,"State","OK","Category",4,"Category2","Four-Year")</f>
        <v>1.4966115449879323E-2</v>
      </c>
      <c r="J23" s="186">
        <f>+GETPIVOTDATA("Undergrad Student Credit Hour FTE - New",'FTE Pivot for regular counts'!$A$2,"State","OK","Category",5,"Category2","Four-Year")</f>
        <v>15235.7</v>
      </c>
      <c r="K23" s="167">
        <f>+GETPIVOTDATA("Sum of New-HS % of Total",'Pivot-HS Student % of Undergrad'!$A$3,"State","OK","Category",5,"Category2","Four-Year")</f>
        <v>1.3400247181753493E-2</v>
      </c>
      <c r="L23" s="186">
        <f>+GETPIVOTDATA("Undergrad Student Credit Hour FTE - New",'FTE Pivot for regular counts'!$A$2,"State","OK","Category",6,"Category2","Four-Year")</f>
        <v>6500.6</v>
      </c>
      <c r="M23" s="167">
        <f>+GETPIVOTDATA("Sum of New-HS % of Total",'Pivot-HS Student % of Undergrad'!$A$3,"State","OK","Category",6,"Category2","Four-Year")</f>
        <v>2.2823534237865224E-2</v>
      </c>
      <c r="N23" s="186">
        <f>+GETPIVOTDATA("Undergrad Student Credit Hour FTE - New",'FTE Pivot for regular counts'!$A$2,"State","OK","Category2","Four-Year")</f>
        <v>80316.03333333334</v>
      </c>
      <c r="O23" s="167">
        <f>+GETPIVOTDATA("Sum of New-HS % of Total",'Pivot-HS Student % of Undergrad'!$A$3,"State","OK","Category2","Group1")</f>
        <v>6.4995696845415816E-3</v>
      </c>
      <c r="Q23" s="1" t="s">
        <v>74</v>
      </c>
      <c r="R23" s="239">
        <f>+GETPIVOTDATA("Sum of Old-HS % of Total",'Pivot-HS Student % of Undergrad'!$A$3,"State","OK","Category",1,"Category2","Four-Year")</f>
        <v>1.7986815169430848E-3</v>
      </c>
      <c r="S23" s="467">
        <f t="shared" si="8"/>
        <v>-3.9912741506135115E-2</v>
      </c>
      <c r="T23" s="240">
        <f>+GETPIVOTDATA("Sum of Old-HS % of Total",'Pivot-HS Student % of Undergrad'!$A$3,"State","OK","Category",2,"Category2","Four-Year")</f>
        <v>0</v>
      </c>
      <c r="U23" s="467">
        <f t="shared" si="0"/>
        <v>0</v>
      </c>
      <c r="V23" s="240">
        <f>+GETPIVOTDATA("Sum of Old-HS % of Total",'Pivot-HS Student % of Undergrad'!$A$3,"State","OK","Category",3,"Category2","Four-Year")</f>
        <v>4.340447081447112E-3</v>
      </c>
      <c r="W23" s="467">
        <f t="shared" si="1"/>
        <v>1.451310349314984E-2</v>
      </c>
      <c r="X23" s="240">
        <f>+GETPIVOTDATA("Sum of Old-HS % of Total",'Pivot-HS Student % of Undergrad'!$A$3,"State","OK","Category",4,"Category2","Four-Year")</f>
        <v>1.5243154883530854E-2</v>
      </c>
      <c r="Y23" s="467">
        <f t="shared" si="2"/>
        <v>-2.7703943365153111E-2</v>
      </c>
      <c r="Z23" s="240">
        <f>+GETPIVOTDATA("Sum of Old-HS % of Total",'Pivot-HS Student % of Undergrad'!$A$3,"State","OK","Category",5,"Category2","Four-Year")</f>
        <v>1.0660270095621375E-2</v>
      </c>
      <c r="AA23" s="467">
        <f t="shared" si="3"/>
        <v>0.27399770861321182</v>
      </c>
      <c r="AB23" s="240">
        <f>+GETPIVOTDATA("Sum of Old-HS % of Total",'Pivot-HS Student % of Undergrad'!$A$3,"State","OK","Category",6,"Category2","Four-Year")</f>
        <v>2.9462114749627153E-2</v>
      </c>
      <c r="AC23" s="467">
        <f t="shared" si="4"/>
        <v>-0.6638580511761929</v>
      </c>
      <c r="AD23" s="240">
        <f>+GETPIVOTDATA("Sum of Old-HS % of Total",'Pivot-HS Student % of Undergrad'!$A$3,"State","OK","Category2","Four-Year")</f>
        <v>6.6875715748017268E-3</v>
      </c>
      <c r="AE23" s="467">
        <f t="shared" si="5"/>
        <v>-1.8800189026014526E-2</v>
      </c>
      <c r="AF23" s="1" t="s">
        <v>74</v>
      </c>
    </row>
    <row r="24" spans="1:32" ht="15" customHeight="1">
      <c r="A24" s="1" t="s">
        <v>75</v>
      </c>
      <c r="B24" s="5">
        <f>+GETPIVOTDATA("Undergrad Student Credit Hour FTE - New",'FTE Pivot for regular counts'!$A$2,"State","SC","Category",1,"Category2","Four-Year")</f>
        <v>39419.300000000003</v>
      </c>
      <c r="C24" s="211">
        <f>+GETPIVOTDATA("Sum of New-HS % of Total",'Pivot-HS Student % of Undergrad'!$A$3,"State","SC","Category",1,"Category2","Four-Year")</f>
        <v>1.957804242779328E-4</v>
      </c>
      <c r="D24" s="186">
        <f>+GETPIVOTDATA("Undergrad Student Credit Hour FTE - New",'FTE Pivot for regular counts'!$A$2,"State","SC","Category",2,"Category2","Four-Year")</f>
        <v>0</v>
      </c>
      <c r="E24" s="167">
        <f>+GETPIVOTDATA("Sum of New-HS % of Total",'Pivot-HS Student % of Undergrad'!$A$3,"State","SC","Category",2,"Category2","Four-Year")</f>
        <v>0</v>
      </c>
      <c r="F24" s="186">
        <f>+GETPIVOTDATA("Undergrad Student Credit Hour FTE - New",'FTE Pivot for regular counts'!$A$2,"State","SC","Category",3,"Category2","Four-Year")</f>
        <v>15026.516666666666</v>
      </c>
      <c r="G24" s="167">
        <f>+GETPIVOTDATA("Sum of New-HS % of Total",'Pivot-HS Student % of Undergrad'!$A$3,"State","SC","Category",3,"Category2","Four-Year")</f>
        <v>2.8726994834686681E-3</v>
      </c>
      <c r="H24" s="186">
        <f>+GETPIVOTDATA("Undergrad Student Credit Hour FTE - New",'FTE Pivot for regular counts'!$A$2,"State","SC","Category",4,"Category2","Four-Year")</f>
        <v>3024</v>
      </c>
      <c r="I24" s="167">
        <f>+GETPIVOTDATA("Sum of New-HS % of Total",'Pivot-HS Student % of Undergrad'!$A$3,"State","SC","Category",4,"Category2","Four-Year")</f>
        <v>2.3478835978835979E-3</v>
      </c>
      <c r="J24" s="186">
        <f>+GETPIVOTDATA("Undergrad Student Credit Hour FTE - New",'FTE Pivot for regular counts'!$A$2,"State","SC","Category",5,"Category2","Four-Year")</f>
        <v>15258.5</v>
      </c>
      <c r="K24" s="167">
        <f>+GETPIVOTDATA("Sum of New-HS % of Total",'Pivot-HS Student % of Undergrad'!$A$3,"State","SC","Category",5,"Category2","Four-Year")</f>
        <v>6.8085189756852604E-3</v>
      </c>
      <c r="L24" s="186">
        <f>+GETPIVOTDATA("Undergrad Student Credit Hour FTE - New",'FTE Pivot for regular counts'!$A$2,"State","SC","Category",6,"Category2","Four-Year")</f>
        <v>12117.800333333333</v>
      </c>
      <c r="M24" s="167">
        <f>+GETPIVOTDATA("Sum of New-HS % of Total",'Pivot-HS Student % of Undergrad'!$A$3,"State","SC","Category",6,"Category2","Four-Year")</f>
        <v>8.2523228019298657E-3</v>
      </c>
      <c r="N24" s="186">
        <f>+GETPIVOTDATA("Undergrad Student Credit Hour FTE - New",'FTE Pivot for regular counts'!$A$2,"State","SC","Category2","Four-Year")</f>
        <v>84846.116999999998</v>
      </c>
      <c r="O24" s="167">
        <f>+GETPIVOTDATA("Sum of New-HS % of Total",'Pivot-HS Student % of Undergrad'!$A$3,"State","SC","Category2","Group1")</f>
        <v>3.1461525604268314E-3</v>
      </c>
      <c r="Q24" s="1" t="s">
        <v>75</v>
      </c>
      <c r="R24" s="239">
        <f>+GETPIVOTDATA("Sum of Old-HS % of Total",'Pivot-HS Student % of Undergrad'!$A$3,"State","SC","Category",1,"Category2","Four-Year")</f>
        <v>2.1593282224198672E-4</v>
      </c>
      <c r="S24" s="467">
        <f t="shared" si="8"/>
        <v>-2.0152397964053916E-3</v>
      </c>
      <c r="T24" s="240">
        <f>+GETPIVOTDATA("Sum of Old-HS % of Total",'Pivot-HS Student % of Undergrad'!$A$3,"State","SC","Category",2,"Category2","Four-Year")</f>
        <v>0</v>
      </c>
      <c r="U24" s="467">
        <f t="shared" si="0"/>
        <v>0</v>
      </c>
      <c r="V24" s="240">
        <f>+GETPIVOTDATA("Sum of Old-HS % of Total",'Pivot-HS Student % of Undergrad'!$A$3,"State","SC","Category",3,"Category2","Four-Year")</f>
        <v>2.8973528628014216E-3</v>
      </c>
      <c r="W24" s="467">
        <f t="shared" si="1"/>
        <v>-2.4653379332753491E-3</v>
      </c>
      <c r="X24" s="240">
        <f>+GETPIVOTDATA("Sum of Old-HS % of Total",'Pivot-HS Student % of Undergrad'!$A$3,"State","SC","Category",4,"Category2","Four-Year")</f>
        <v>2.6020770765033587E-3</v>
      </c>
      <c r="Y24" s="467">
        <f t="shared" si="2"/>
        <v>-2.5419347861976079E-2</v>
      </c>
      <c r="Z24" s="240">
        <f>+GETPIVOTDATA("Sum of Old-HS % of Total",'Pivot-HS Student % of Undergrad'!$A$3,"State","SC","Category",5,"Category2","Four-Year")</f>
        <v>4.8140379162255218E-3</v>
      </c>
      <c r="AA24" s="467">
        <f t="shared" si="3"/>
        <v>0.19944810594597384</v>
      </c>
      <c r="AB24" s="240">
        <f>+GETPIVOTDATA("Sum of Old-HS % of Total",'Pivot-HS Student % of Undergrad'!$A$3,"State","SC","Category",6,"Category2","Four-Year")</f>
        <v>7.9330556673227696E-3</v>
      </c>
      <c r="AC24" s="467">
        <f t="shared" si="4"/>
        <v>3.1926713460709612E-2</v>
      </c>
      <c r="AD24" s="240">
        <f>+GETPIVOTDATA("Sum of Old-HS % of Total",'Pivot-HS Student % of Undergrad'!$A$3,"State","SC","Category2","Four-Year")</f>
        <v>3.2769826869480192E-3</v>
      </c>
      <c r="AE24" s="467">
        <f t="shared" si="5"/>
        <v>-1.3083012652118781E-2</v>
      </c>
      <c r="AF24" s="1" t="s">
        <v>75</v>
      </c>
    </row>
    <row r="25" spans="1:32" ht="15" customHeight="1">
      <c r="B25" s="5"/>
      <c r="C25" s="211"/>
      <c r="D25" s="186"/>
      <c r="E25" s="167"/>
      <c r="F25" s="186"/>
      <c r="G25" s="167"/>
      <c r="H25" s="186"/>
      <c r="I25" s="167"/>
      <c r="J25" s="186"/>
      <c r="K25" s="167"/>
      <c r="L25" s="186"/>
      <c r="M25" s="167"/>
      <c r="N25" s="186"/>
      <c r="O25" s="167"/>
      <c r="R25" s="239"/>
      <c r="S25" s="467"/>
      <c r="T25" s="240"/>
      <c r="U25" s="467"/>
      <c r="V25" s="240"/>
      <c r="W25" s="467"/>
      <c r="X25" s="240"/>
      <c r="Y25" s="467"/>
      <c r="Z25" s="240"/>
      <c r="AA25" s="467"/>
      <c r="AB25" s="240"/>
      <c r="AC25" s="467"/>
      <c r="AD25" s="240"/>
      <c r="AE25" s="467"/>
    </row>
    <row r="26" spans="1:32" ht="15" customHeight="1">
      <c r="A26" s="1" t="s">
        <v>76</v>
      </c>
      <c r="B26" s="5">
        <f>+GETPIVOTDATA("Undergrad Student Credit Hour FTE - New",'FTE Pivot for regular counts'!$A$2,"State","TN","Category",1,"Category2","Four-Year")</f>
        <v>34465.566666666666</v>
      </c>
      <c r="C26" s="167">
        <f>+GETPIVOTDATA("Sum of New-HS % of Total",'Pivot-HS Student % of Undergrad'!$A$3,"State","TN","Category",1,"Category2","Four-Year")</f>
        <v>0</v>
      </c>
      <c r="D26" s="186">
        <f>+GETPIVOTDATA("Undergrad Student Credit Hour FTE - New",'FTE Pivot for regular counts'!$A$2,"State","TN","Category",2,"Category2","Four-Year")</f>
        <v>6034.166666666667</v>
      </c>
      <c r="E26" s="167">
        <f>+GETPIVOTDATA("Sum of New-HS % of Total",'Pivot-HS Student % of Undergrad'!$A$3,"State","TN","Category",2,"Category2","Four-Year")</f>
        <v>0</v>
      </c>
      <c r="F26" s="186">
        <f>+GETPIVOTDATA("Undergrad Student Credit Hour FTE - New",'FTE Pivot for regular counts'!$A$2,"State","TN","Category",3,"Category2","Four-Year")</f>
        <v>57887.23333333333</v>
      </c>
      <c r="G26" s="167">
        <f>+GETPIVOTDATA("Sum of New-HS % of Total",'Pivot-HS Student % of Undergrad'!$A$3,"State","TN","Category",3,"Category2","Four-Year")</f>
        <v>7.2995299814841187E-3</v>
      </c>
      <c r="H26" s="186">
        <f>+GETPIVOTDATA("Undergrad Student Credit Hour FTE - New",'FTE Pivot for regular counts'!$A$2,"State","TN","Category",4,"Category2","Four-Year")</f>
        <v>0</v>
      </c>
      <c r="I26" s="167">
        <f>+GETPIVOTDATA("Sum of New-HS % of Total",'Pivot-HS Student % of Undergrad'!$A$3,"State","TN","Category",4,"Category2","Four-Year")</f>
        <v>0</v>
      </c>
      <c r="J26" s="186">
        <f>+GETPIVOTDATA("Undergrad Student Credit Hour FTE - New",'FTE Pivot for regular counts'!$A$2,"State","TN","Category",5,"Category2","Four-Year")</f>
        <v>6755.8</v>
      </c>
      <c r="K26" s="167">
        <f>+GETPIVOTDATA("Sum of New-HS % of Total",'Pivot-HS Student % of Undergrad'!$A$3,"State","TN","Category",5,"Category2","Four-Year")</f>
        <v>2.1719608829943653E-2</v>
      </c>
      <c r="L26" s="186">
        <f>+GETPIVOTDATA("Undergrad Student Credit Hour FTE - New",'FTE Pivot for regular counts'!$A$2,"State","TN","Category",6,"Category2","Four-Year")</f>
        <v>0</v>
      </c>
      <c r="M26" s="167">
        <f>+GETPIVOTDATA("Sum of New-HS % of Total",'Pivot-HS Student % of Undergrad'!$A$3,"State","TN","Category",6,"Category2","Four-Year")</f>
        <v>0</v>
      </c>
      <c r="N26" s="186">
        <f>+GETPIVOTDATA("Undergrad Student Credit Hour FTE - New",'FTE Pivot for regular counts'!$A$2,"State","TN","Category2","Four-Year")</f>
        <v>105142.76666666666</v>
      </c>
      <c r="O26" s="167">
        <f>+GETPIVOTDATA("Sum of New-HS % of Total",'Pivot-HS Student % of Undergrad'!$A$3,"State","TN","Category2","Group1")</f>
        <v>1.3716707287618295E-2</v>
      </c>
      <c r="Q26" s="1" t="s">
        <v>76</v>
      </c>
      <c r="R26" s="239">
        <f>+GETPIVOTDATA("Sum of Old-HS % of Total",'Pivot-HS Student % of Undergrad'!$A$3,"State","TN","Category",1,"Category2","Four-Year")</f>
        <v>0</v>
      </c>
      <c r="S26" s="467">
        <f t="shared" ref="S26:S29" si="9">(C26-R26)*100</f>
        <v>0</v>
      </c>
      <c r="T26" s="240">
        <f>+GETPIVOTDATA("Sum of Old-HS % of Total",'Pivot-HS Student % of Undergrad'!$A$3,"State","TN","Category",2,"Category2","Four-Year")</f>
        <v>0</v>
      </c>
      <c r="U26" s="467">
        <f t="shared" si="0"/>
        <v>0</v>
      </c>
      <c r="V26" s="240">
        <f>+GETPIVOTDATA("Sum of Old-HS % of Total",'Pivot-HS Student % of Undergrad'!$A$3,"State","TN","Category",3,"Category2","Four-Year")</f>
        <v>6.4118984017011655E-3</v>
      </c>
      <c r="W26" s="467">
        <f t="shared" si="1"/>
        <v>8.8763157978295329E-2</v>
      </c>
      <c r="X26" s="240">
        <f>+GETPIVOTDATA("Sum of Old-HS % of Total",'Pivot-HS Student % of Undergrad'!$A$3,"State","TN","Category",4,"Category2","Four-Year")</f>
        <v>0</v>
      </c>
      <c r="Y26" s="467">
        <f t="shared" si="2"/>
        <v>0</v>
      </c>
      <c r="Z26" s="240">
        <f>+GETPIVOTDATA("Sum of Old-HS % of Total",'Pivot-HS Student % of Undergrad'!$A$3,"State","TN","Category",5,"Category2","Four-Year")</f>
        <v>2.6777625720398605E-2</v>
      </c>
      <c r="AA26" s="467">
        <f t="shared" si="3"/>
        <v>-0.50580168904549516</v>
      </c>
      <c r="AB26" s="240">
        <f>+GETPIVOTDATA("Sum of Old-HS % of Total",'Pivot-HS Student % of Undergrad'!$A$3,"State","TN","Category",6,"Category2","Four-Year")</f>
        <v>0</v>
      </c>
      <c r="AC26" s="467">
        <f t="shared" si="4"/>
        <v>0</v>
      </c>
      <c r="AD26" s="240">
        <f>+GETPIVOTDATA("Sum of Old-HS % of Total",'Pivot-HS Student % of Undergrad'!$A$3,"State","TN","Category2","Four-Year")</f>
        <v>1.5731917887062737E-2</v>
      </c>
      <c r="AE26" s="467">
        <f t="shared" si="5"/>
        <v>-0.20152105994444419</v>
      </c>
      <c r="AF26" s="1" t="s">
        <v>76</v>
      </c>
    </row>
    <row r="27" spans="1:32" ht="15" customHeight="1">
      <c r="A27" s="1" t="s">
        <v>77</v>
      </c>
      <c r="B27" s="5">
        <f>+GETPIVOTDATA("Undergrad Student Credit Hour FTE - New",'FTE Pivot for regular counts'!$A$2,"State","TX","Category",1,"Category2","Four-Year")</f>
        <v>178739.6</v>
      </c>
      <c r="C27" s="211">
        <f>+GETPIVOTDATA("Sum of New-HS % of Total",'Pivot-HS Student % of Undergrad'!$A$3,"State","TX","Category",1,"Category2","Four-Year")</f>
        <v>3.3531088428827933E-4</v>
      </c>
      <c r="D27" s="186">
        <f>+GETPIVOTDATA("Undergrad Student Credit Hour FTE - New",'FTE Pivot for regular counts'!$A$2,"State","TX","Category",2,"Category2","Four-Year")</f>
        <v>44336.4</v>
      </c>
      <c r="E27" s="167">
        <f>+GETPIVOTDATA("Sum of New-HS % of Total",'Pivot-HS Student % of Undergrad'!$A$3,"State","TX","Category",2,"Category2","Four-Year")</f>
        <v>1.6577800633339648E-3</v>
      </c>
      <c r="F27" s="186">
        <f>+GETPIVOTDATA("Undergrad Student Credit Hour FTE - New",'FTE Pivot for regular counts'!$A$2,"State","TX","Category",3,"Category2","Four-Year")</f>
        <v>144902.46666666667</v>
      </c>
      <c r="G27" s="167">
        <f>+GETPIVOTDATA("Sum of New-HS % of Total",'Pivot-HS Student % of Undergrad'!$A$3,"State","TX","Category",3,"Category2","Four-Year")</f>
        <v>7.7983489584028242E-3</v>
      </c>
      <c r="H27" s="186">
        <f>+GETPIVOTDATA("Undergrad Student Credit Hour FTE - New",'FTE Pivot for regular counts'!$A$2,"State","TX","Category",4,"Category2","Four-Year")</f>
        <v>4268.6333333333332</v>
      </c>
      <c r="I27" s="167">
        <f>+GETPIVOTDATA("Sum of New-HS % of Total",'Pivot-HS Student % of Undergrad'!$A$3,"State","TX","Category",4,"Category2","Four-Year")</f>
        <v>0</v>
      </c>
      <c r="J27" s="186">
        <f>+GETPIVOTDATA("Undergrad Student Credit Hour FTE - New",'FTE Pivot for regular counts'!$A$2,"State","TX","Category",5,"Category2","Four-Year")</f>
        <v>11772.633333333333</v>
      </c>
      <c r="K27" s="167">
        <f>+GETPIVOTDATA("Sum of New-HS % of Total",'Pivot-HS Student % of Undergrad'!$A$3,"State","TX","Category",5,"Category2","Four-Year")</f>
        <v>1.9168750123874862E-3</v>
      </c>
      <c r="L27" s="186">
        <f>+GETPIVOTDATA("Undergrad Student Credit Hour FTE - New",'FTE Pivot for regular counts'!$A$2,"State","TX","Category",6,"Category2","Four-Year")</f>
        <v>1800.5</v>
      </c>
      <c r="M27" s="167">
        <f>+GETPIVOTDATA("Sum of New-HS % of Total",'Pivot-HS Student % of Undergrad'!$A$3,"State","TX","Category",6,"Category2","Four-Year")</f>
        <v>0</v>
      </c>
      <c r="N27" s="186">
        <f>+GETPIVOTDATA("Undergrad Student Credit Hour FTE - New",'FTE Pivot for regular counts'!$A$2,"State","TX","Category2","Four-Year")</f>
        <v>385820.2333333334</v>
      </c>
      <c r="O27" s="167">
        <f>+GETPIVOTDATA("Sum of New-HS % of Total",'Pivot-HS Student % of Undergrad'!$A$3,"State","TX","Category2","Group1")</f>
        <v>3.3331585253823307E-3</v>
      </c>
      <c r="Q27" s="1" t="s">
        <v>77</v>
      </c>
      <c r="R27" s="239">
        <f>+GETPIVOTDATA("Sum of Old-HS % of Total",'Pivot-HS Student % of Undergrad'!$A$3,"State","TX","Category",1,"Category2","Four-Year")</f>
        <v>1.1278123529470849E-3</v>
      </c>
      <c r="S27" s="467">
        <f t="shared" si="9"/>
        <v>-7.9250146865880555E-2</v>
      </c>
      <c r="T27" s="240">
        <f>+GETPIVOTDATA("Sum of Old-HS % of Total",'Pivot-HS Student % of Undergrad'!$A$3,"State","TX","Category",2,"Category2","Four-Year")</f>
        <v>9.1624087604934344E-4</v>
      </c>
      <c r="U27" s="467">
        <f t="shared" si="0"/>
        <v>7.4153918728462137E-2</v>
      </c>
      <c r="V27" s="240">
        <f>+GETPIVOTDATA("Sum of Old-HS % of Total",'Pivot-HS Student % of Undergrad'!$A$3,"State","TX","Category",3,"Category2","Four-Year")</f>
        <v>8.3563715493199277E-3</v>
      </c>
      <c r="W27" s="467">
        <f t="shared" si="1"/>
        <v>-5.5802259091710348E-2</v>
      </c>
      <c r="X27" s="240">
        <f>+GETPIVOTDATA("Sum of Old-HS % of Total",'Pivot-HS Student % of Undergrad'!$A$3,"State","TX","Category",4,"Category2","Four-Year")</f>
        <v>1.310229617740509E-4</v>
      </c>
      <c r="Y27" s="467">
        <f t="shared" si="2"/>
        <v>-1.310229617740509E-2</v>
      </c>
      <c r="Z27" s="240">
        <f>+GETPIVOTDATA("Sum of Old-HS % of Total",'Pivot-HS Student % of Undergrad'!$A$3,"State","TX","Category",5,"Category2","Four-Year")</f>
        <v>1.1005254787875927E-3</v>
      </c>
      <c r="AA27" s="467">
        <f t="shared" si="3"/>
        <v>8.1634953359989354E-2</v>
      </c>
      <c r="AB27" s="240">
        <f>+GETPIVOTDATA("Sum of Old-HS % of Total",'Pivot-HS Student % of Undergrad'!$A$3,"State","TX","Category",6,"Category2","Four-Year")</f>
        <v>0</v>
      </c>
      <c r="AC27" s="467">
        <f t="shared" si="4"/>
        <v>0</v>
      </c>
      <c r="AD27" s="240">
        <f>+GETPIVOTDATA("Sum of Old-HS % of Total",'Pivot-HS Student % of Undergrad'!$A$3,"State","TX","Category2","Four-Year")</f>
        <v>3.7991607614595623E-3</v>
      </c>
      <c r="AE27" s="467">
        <f t="shared" si="5"/>
        <v>-4.660022360772316E-2</v>
      </c>
      <c r="AF27" s="1" t="s">
        <v>77</v>
      </c>
    </row>
    <row r="28" spans="1:32" ht="15" customHeight="1">
      <c r="A28" s="1" t="s">
        <v>78</v>
      </c>
      <c r="B28" s="5">
        <f>+GETPIVOTDATA("Undergrad Student Credit Hour FTE - New",'FTE Pivot for regular counts'!$A$2,"State","VA","Category",1,"Category2","Four-Year")</f>
        <v>77227.7</v>
      </c>
      <c r="C28" s="167">
        <f>+GETPIVOTDATA("Sum of New-HS % of Total",'Pivot-HS Student % of Undergrad'!$A$3,"State","VA","Category",1,"Category2","Four-Year")</f>
        <v>1.1931383860108917E-2</v>
      </c>
      <c r="D28" s="186">
        <f>+GETPIVOTDATA("Undergrad Student Credit Hour FTE - New",'FTE Pivot for regular counts'!$A$2,"State","VA","Category",2,"Category2","Four-Year")</f>
        <v>28005.95</v>
      </c>
      <c r="E28" s="167">
        <f>+GETPIVOTDATA("Sum of New-HS % of Total",'Pivot-HS Student % of Undergrad'!$A$3,"State","VA","Category",2,"Category2","Four-Year")</f>
        <v>9.2837414906475225E-3</v>
      </c>
      <c r="F28" s="186">
        <f>+GETPIVOTDATA("Undergrad Student Credit Hour FTE - New",'FTE Pivot for regular counts'!$A$2,"State","VA","Category",3,"Category2","Four-Year")</f>
        <v>23618.366666666669</v>
      </c>
      <c r="G28" s="167">
        <f>+GETPIVOTDATA("Sum of New-HS % of Total",'Pivot-HS Student % of Undergrad'!$A$3,"State","VA","Category",3,"Category2","Four-Year")</f>
        <v>8.7065010140413325E-3</v>
      </c>
      <c r="H28" s="186">
        <f>+GETPIVOTDATA("Undergrad Student Credit Hour FTE - New",'FTE Pivot for regular counts'!$A$2,"State","VA","Category",4,"Category2","Four-Year")</f>
        <v>18108.966666666667</v>
      </c>
      <c r="I28" s="211">
        <f>+GETPIVOTDATA("Sum of New-HS % of Total",'Pivot-HS Student % of Undergrad'!$A$3,"State","VA","Category",4,"Category2","Four-Year")</f>
        <v>4.3992939041248444E-4</v>
      </c>
      <c r="J28" s="186">
        <f>+GETPIVOTDATA("Undergrad Student Credit Hour FTE - New",'FTE Pivot for regular counts'!$A$2,"State","VA","Category",5,"Category2","Four-Year")</f>
        <v>9027.9333333333343</v>
      </c>
      <c r="K28" s="211">
        <f>+GETPIVOTDATA("Sum of New-HS % of Total",'Pivot-HS Student % of Undergrad'!$A$3,"State","VA","Category",5,"Category2","Four-Year")</f>
        <v>1.5876649510039213E-4</v>
      </c>
      <c r="L28" s="186">
        <f>+GETPIVOTDATA("Undergrad Student Credit Hour FTE - New",'FTE Pivot for regular counts'!$A$2,"State","VA","Category",6,"Category2","Four-Year")</f>
        <v>1794.5666666666666</v>
      </c>
      <c r="M28" s="211">
        <f>+GETPIVOTDATA("Sum of New-HS % of Total",'Pivot-HS Student % of Undergrad'!$A$3,"State","VA","Category",6,"Category2","Four-Year")</f>
        <v>4.829392425283727E-4</v>
      </c>
      <c r="N28" s="186">
        <f>+GETPIVOTDATA("Undergrad Student Credit Hour FTE - New",'FTE Pivot for regular counts'!$A$2,"State","VA","Category2","Four-Year")</f>
        <v>157783.48333333337</v>
      </c>
      <c r="O28" s="167">
        <f>+GETPIVOTDATA("Sum of New-HS % of Total",'Pivot-HS Student % of Undergrad'!$A$3,"State","VA","Category2","Group1")</f>
        <v>8.8560177771036235E-3</v>
      </c>
      <c r="Q28" s="25" t="s">
        <v>78</v>
      </c>
      <c r="R28" s="239">
        <f>+GETPIVOTDATA("Sum of Old-HS % of Total",'Pivot-HS Student % of Undergrad'!$A$3,"State","VA","Category",1,"Category2","Four-Year")</f>
        <v>1.071015389347342E-2</v>
      </c>
      <c r="S28" s="467">
        <f t="shared" si="9"/>
        <v>0.12212299666354964</v>
      </c>
      <c r="T28" s="240">
        <f>+GETPIVOTDATA("Sum of Old-HS % of Total",'Pivot-HS Student % of Undergrad'!$A$3,"State","VA","Category",2,"Category2","Four-Year")</f>
        <v>9.1870758291111836E-3</v>
      </c>
      <c r="U28" s="467">
        <f t="shared" si="0"/>
        <v>9.6665661536338848E-3</v>
      </c>
      <c r="V28" s="240">
        <f>+GETPIVOTDATA("Sum of Old-HS % of Total",'Pivot-HS Student % of Undergrad'!$A$3,"State","VA","Category",3,"Category2","Four-Year")</f>
        <v>8.816724710584244E-3</v>
      </c>
      <c r="W28" s="467">
        <f t="shared" si="1"/>
        <v>-1.1022369654291146E-2</v>
      </c>
      <c r="X28" s="240">
        <f>+GETPIVOTDATA("Sum of Old-HS % of Total",'Pivot-HS Student % of Undergrad'!$A$3,"State","VA","Category",4,"Category2","Four-Year")</f>
        <v>4.8405181623426593E-4</v>
      </c>
      <c r="Y28" s="467">
        <f t="shared" si="2"/>
        <v>-4.4122425821781488E-3</v>
      </c>
      <c r="Z28" s="240">
        <f>+GETPIVOTDATA("Sum of Old-HS % of Total",'Pivot-HS Student % of Undergrad'!$A$3,"State","VA","Category",5,"Category2","Four-Year")</f>
        <v>1.1216630524190533E-4</v>
      </c>
      <c r="AA28" s="467">
        <f t="shared" si="3"/>
        <v>4.6600189858486797E-3</v>
      </c>
      <c r="AB28" s="240">
        <f>+GETPIVOTDATA("Sum of Old-HS % of Total",'Pivot-HS Student % of Undergrad'!$A$3,"State","VA","Category",6,"Category2","Four-Year")</f>
        <v>1.566428157029588E-3</v>
      </c>
      <c r="AC28" s="467">
        <f t="shared" si="4"/>
        <v>-0.10834889145012153</v>
      </c>
      <c r="AD28" s="240">
        <f>+GETPIVOTDATA("Sum of Old-HS % of Total",'Pivot-HS Student % of Undergrad'!$A$3,"State","VA","Category2","Four-Year")</f>
        <v>8.2862508982462172E-3</v>
      </c>
      <c r="AE28" s="467">
        <f t="shared" si="5"/>
        <v>5.6976687885740632E-2</v>
      </c>
      <c r="AF28" s="25" t="s">
        <v>78</v>
      </c>
    </row>
    <row r="29" spans="1:32" s="25" customFormat="1" ht="15" customHeight="1">
      <c r="A29" s="3" t="s">
        <v>79</v>
      </c>
      <c r="B29" s="6">
        <f>+GETPIVOTDATA("Undergrad Student Credit Hour FTE - New",'FTE Pivot for regular counts'!$A$2,"State","WV","Category",1,"Category2","Four-Year")</f>
        <v>22047.233333333334</v>
      </c>
      <c r="C29" s="168">
        <f>+GETPIVOTDATA("Sum of New-HS % of Total",'Pivot-HS Student % of Undergrad'!$A$3,"State","WV","Category",1,"Category2","Four-Year")</f>
        <v>5.0543000860274233E-3</v>
      </c>
      <c r="D29" s="187">
        <f>+GETPIVOTDATA("Undergrad Student Credit Hour FTE - New",'FTE Pivot for regular counts'!$A$2,"State","WV","Category",2,"Category2","Four-Year")</f>
        <v>0</v>
      </c>
      <c r="E29" s="168">
        <f>+GETPIVOTDATA("Sum of New-HS % of Total",'Pivot-HS Student % of Undergrad'!$A$3,"State","WV","Category",2,"Category2","Four-Year")</f>
        <v>0</v>
      </c>
      <c r="F29" s="187">
        <f>+GETPIVOTDATA("Undergrad Student Credit Hour FTE - New",'FTE Pivot for regular counts'!$A$2,"State","WV","Category",3,"Category2","Four-Year")</f>
        <v>8802</v>
      </c>
      <c r="G29" s="168">
        <f>+GETPIVOTDATA("Sum of New-HS % of Total",'Pivot-HS Student % of Undergrad'!$A$3,"State","WV","Category",3,"Category2","Four-Year")</f>
        <v>1.5962281299704614E-2</v>
      </c>
      <c r="H29" s="187">
        <f>+GETPIVOTDATA("Undergrad Student Credit Hour FTE - New",'FTE Pivot for regular counts'!$A$2,"State","WV","Category",4,"Category2","Four-Year")</f>
        <v>0</v>
      </c>
      <c r="I29" s="168">
        <f>+GETPIVOTDATA("Sum of Old-HS % of Total",'Pivot-HS Student % of Undergrad'!$A$3,"State","WV","Category",4,"Category2","Four-Year")</f>
        <v>0</v>
      </c>
      <c r="J29" s="187">
        <f>+GETPIVOTDATA("Undergrad Student Credit Hour FTE - New",'FTE Pivot for regular counts'!$A$2,"State","WV","Category",5,"Category2","Four-Year")</f>
        <v>7587.6333333333332</v>
      </c>
      <c r="K29" s="834">
        <f>+GETPIVOTDATA("Sum of New-HS % of Total",'Pivot-HS Student % of Undergrad'!$A$3,"State","WV","Category",5,"Category2","Four-Year")</f>
        <v>6.238220964815555E-4</v>
      </c>
      <c r="L29" s="187">
        <f>+GETPIVOTDATA("Undergrad Student Credit Hour FTE - New",'FTE Pivot for regular counts'!$A$2,"State","WV","Category",6,"Category2","Four-Year")</f>
        <v>11475.570000000002</v>
      </c>
      <c r="M29" s="168">
        <f>GETPIVOTDATA("Sum of New-HS % of Total",'Pivot-HS Student % of Undergrad'!$A$3,"State","WV","Category",6,"Category2","Four-Year")</f>
        <v>2.2979250703886605E-2</v>
      </c>
      <c r="N29" s="187">
        <f>+GETPIVOTDATA("Undergrad Student Credit Hour FTE - New",'FTE Pivot for regular counts'!$A$2,"State","WV","Category2","Four-Year")</f>
        <v>49912.436666666668</v>
      </c>
      <c r="O29" s="168">
        <f>+GETPIVOTDATA("Sum of New-HS % of Total",'Pivot-HS Student % of Undergrad'!$A$3,"State","WV","Category2","Group1")</f>
        <v>1.0425591323899166E-2</v>
      </c>
      <c r="Q29" s="3" t="s">
        <v>79</v>
      </c>
      <c r="R29" s="431">
        <f>+GETPIVOTDATA("Sum of Old-HS % of Total",'Pivot-HS Student % of Undergrad'!$A$3,"State","WV","Category",1,"Category2","Four-Year")</f>
        <v>4.6107760685012156E-3</v>
      </c>
      <c r="S29" s="468">
        <f t="shared" si="9"/>
        <v>4.4352401752620771E-2</v>
      </c>
      <c r="T29" s="432">
        <f>+GETPIVOTDATA("Sum of Old-HS % of Total",'Pivot-HS Student % of Undergrad'!$A$3,"State","WV","Category",2,"Category2","Four-Year")</f>
        <v>0</v>
      </c>
      <c r="U29" s="468">
        <f t="shared" si="0"/>
        <v>0</v>
      </c>
      <c r="V29" s="432">
        <f>+GETPIVOTDATA("Sum of Old-HS % of Total",'Pivot-HS Student % of Undergrad'!$A$3,"State","WV","Category",3,"Category2","Four-Year")</f>
        <v>1.4993751063058799E-2</v>
      </c>
      <c r="W29" s="468">
        <f t="shared" si="1"/>
        <v>9.6853023664581456E-2</v>
      </c>
      <c r="X29" s="432">
        <f>+GETPIVOTDATA("Sum of Old-HS % of Total",'Pivot-HS Student % of Undergrad'!$A$3,"State","WV","Category",4,"Category2","Four-Year")</f>
        <v>0</v>
      </c>
      <c r="Y29" s="468">
        <f t="shared" si="2"/>
        <v>0</v>
      </c>
      <c r="Z29" s="432">
        <f>GETPIVOTDATA("Sum of Old-HS % of Total",'Pivot-HS Student % of Undergrad'!$A$3,"State","WV","Category",5,"Category2","Four-Year")</f>
        <v>4.6459506023604011E-4</v>
      </c>
      <c r="AA29" s="468">
        <f t="shared" si="3"/>
        <v>1.5922703624551539E-2</v>
      </c>
      <c r="AB29" s="432">
        <f>GETPIVOTDATA("Sum of Old-HS % of Total",'Pivot-HS Student % of Undergrad'!$A$3,"State","WV","Category",6,"Category2","Four-Year")</f>
        <v>2.1347965155580875E-2</v>
      </c>
      <c r="AC29" s="468">
        <f t="shared" si="4"/>
        <v>0.16312855483057304</v>
      </c>
      <c r="AD29" s="432">
        <f>+GETPIVOTDATA("Sum of Old-HS % of Total",'Pivot-HS Student % of Undergrad'!$A$3,"State","WV","Category2","Four-Year")</f>
        <v>9.7890886180632929E-3</v>
      </c>
      <c r="AE29" s="468">
        <f t="shared" si="5"/>
        <v>6.3650270583587298E-2</v>
      </c>
      <c r="AF29" s="3" t="s">
        <v>79</v>
      </c>
    </row>
    <row r="30" spans="1:32" ht="23.25" customHeight="1">
      <c r="A30" s="840" t="s">
        <v>986</v>
      </c>
      <c r="B30" s="841"/>
      <c r="C30" s="841"/>
      <c r="D30" s="841"/>
      <c r="E30" s="841"/>
      <c r="F30" s="841"/>
      <c r="G30" s="841"/>
      <c r="H30" s="841"/>
      <c r="I30" s="842"/>
      <c r="J30" s="842"/>
      <c r="K30" s="842"/>
      <c r="L30" s="842"/>
      <c r="M30" s="842"/>
      <c r="N30" s="842"/>
      <c r="O30" s="842"/>
    </row>
    <row r="31" spans="1:32">
      <c r="A31" s="403"/>
      <c r="B31" s="50"/>
      <c r="C31" s="50"/>
      <c r="D31" s="50"/>
      <c r="E31" s="50"/>
      <c r="F31" s="50"/>
      <c r="G31" s="50"/>
      <c r="H31" s="1"/>
      <c r="J31" s="124"/>
      <c r="K31" s="124"/>
      <c r="L31" s="124"/>
      <c r="M31" s="193"/>
      <c r="N31" s="48"/>
      <c r="O31" s="169" t="s">
        <v>987</v>
      </c>
    </row>
    <row r="32" spans="1:32" ht="18">
      <c r="A32" s="41" t="s">
        <v>164</v>
      </c>
      <c r="B32" s="43"/>
      <c r="C32" s="43"/>
      <c r="D32" s="43"/>
      <c r="E32" s="43"/>
      <c r="F32" s="51"/>
      <c r="G32" s="43"/>
      <c r="H32" s="110"/>
      <c r="I32" s="50"/>
      <c r="J32" s="124"/>
      <c r="K32" s="124"/>
      <c r="L32" s="124"/>
      <c r="M32" s="193"/>
      <c r="N32" s="48"/>
    </row>
    <row r="33" spans="1:14" ht="15.75">
      <c r="A33" s="43"/>
      <c r="B33" s="43"/>
      <c r="C33" s="43"/>
      <c r="D33" s="43"/>
      <c r="E33" s="43"/>
      <c r="F33" s="43"/>
      <c r="G33" s="43"/>
      <c r="H33" s="110"/>
      <c r="I33" s="50"/>
      <c r="J33" s="124"/>
      <c r="K33" s="124"/>
      <c r="L33" s="124"/>
      <c r="M33" s="193"/>
      <c r="N33" s="48"/>
    </row>
    <row r="34" spans="1:14" ht="15.75">
      <c r="A34" s="43" t="s">
        <v>33</v>
      </c>
      <c r="B34" s="43"/>
      <c r="C34" s="43"/>
      <c r="D34" s="43"/>
      <c r="E34" s="43"/>
      <c r="F34" s="43"/>
      <c r="G34" s="43"/>
      <c r="H34" s="110"/>
      <c r="I34" s="50"/>
      <c r="J34" s="124"/>
      <c r="K34" s="124"/>
      <c r="L34" s="124"/>
      <c r="M34" s="193"/>
      <c r="N34" s="48"/>
    </row>
    <row r="35" spans="1:14" ht="15.75">
      <c r="A35" s="43" t="s">
        <v>981</v>
      </c>
      <c r="B35" s="43"/>
      <c r="C35" s="43"/>
      <c r="D35" s="43"/>
      <c r="E35" s="43"/>
      <c r="F35" s="43"/>
      <c r="G35" s="43"/>
      <c r="H35" s="110"/>
    </row>
    <row r="37" spans="1:14" ht="15" customHeight="1">
      <c r="A37" s="52"/>
      <c r="B37" s="52" t="s">
        <v>62</v>
      </c>
      <c r="C37" s="52"/>
      <c r="D37" s="52"/>
      <c r="E37" s="52"/>
      <c r="F37" s="52"/>
      <c r="G37" s="52"/>
      <c r="H37" s="111"/>
    </row>
    <row r="38" spans="1:14" ht="15" customHeight="1">
      <c r="A38" s="53"/>
      <c r="B38" s="46">
        <v>1</v>
      </c>
      <c r="C38" s="46">
        <v>2</v>
      </c>
      <c r="D38" s="46">
        <v>3</v>
      </c>
      <c r="E38" s="46">
        <v>4</v>
      </c>
      <c r="F38" s="46">
        <v>5</v>
      </c>
      <c r="G38" s="54">
        <v>6</v>
      </c>
      <c r="H38" s="93" t="s">
        <v>30</v>
      </c>
    </row>
    <row r="39" spans="1:14" ht="15" customHeight="1">
      <c r="A39" s="1" t="s">
        <v>64</v>
      </c>
      <c r="B39" s="11">
        <f>+GETPIVOTDATA("Graduate FTE - New",'FTE Pivot for regular counts'!$A$2,"Category",1,"Category2","Four-Year")</f>
        <v>216971.47916666666</v>
      </c>
      <c r="C39" s="11">
        <f>+GETPIVOTDATA("Graduate FTE - New",'FTE Pivot for regular counts'!$A$2,"Category",2,"Category2","Four-Year")</f>
        <v>52125.833333333336</v>
      </c>
      <c r="D39" s="11">
        <f>+GETPIVOTDATA("Graduate FTE - New",'FTE Pivot for regular counts'!$A$2,"Category",3,"Category2","Four-Year")</f>
        <v>82330.833333333314</v>
      </c>
      <c r="E39" s="11">
        <f>+GETPIVOTDATA("Graduate FTE - New",'FTE Pivot for regular counts'!$A$2,"Category",4,"Category2","Four-Year")</f>
        <v>24278.791666666664</v>
      </c>
      <c r="F39" s="11">
        <f>+GETPIVOTDATA("Graduate FTE - New",'FTE Pivot for regular counts'!$A$2,"Category",5,"Category2","Four-Year")</f>
        <v>9957.7083333333358</v>
      </c>
      <c r="G39" s="12">
        <f>+GETPIVOTDATA("Graduate FTE - New",'FTE Pivot for regular counts'!$A$2,"Category",6,"Category2","Four-Year")</f>
        <v>841.20833333333337</v>
      </c>
      <c r="H39" s="112">
        <f>+GETPIVOTDATA("Graduate FTE - New",'FTE Pivot for regular counts'!$A$2,"Category2","Four-Year")</f>
        <v>386505.85416666669</v>
      </c>
    </row>
    <row r="40" spans="1:14" ht="15" customHeight="1">
      <c r="B40" s="11"/>
      <c r="C40" s="11"/>
      <c r="D40" s="11"/>
      <c r="E40" s="11"/>
      <c r="F40" s="11"/>
      <c r="G40" s="12"/>
      <c r="H40" s="112"/>
    </row>
    <row r="41" spans="1:14" ht="15" customHeight="1">
      <c r="A41" s="1" t="s">
        <v>65</v>
      </c>
      <c r="B41" s="33">
        <f>+GETPIVOTDATA("Graduate FTE - New",'FTE Pivot for regular counts'!$A$2,"State","AL","Category",1,"Category2","Four-Year")</f>
        <v>8757.0416666666661</v>
      </c>
      <c r="C41" s="33">
        <f>+GETPIVOTDATA("Graduate FTE - New",'FTE Pivot for regular counts'!$A$2,"State","AL","Category",2,"Category2","Four-Year")</f>
        <v>2932.5</v>
      </c>
      <c r="D41" s="33">
        <f>+GETPIVOTDATA("Graduate FTE - New",'FTE Pivot for regular counts'!$A$2,"State","AL","Category",3,"Category2","Four-Year")</f>
        <v>3607.875</v>
      </c>
      <c r="E41" s="33">
        <f>+GETPIVOTDATA("Graduate FTE - New",'FTE Pivot for regular counts'!$A$2,"State","AL","Category",4,"Category2","Four-Year")</f>
        <v>1764.375</v>
      </c>
      <c r="F41" s="33">
        <f>+GETPIVOTDATA("Graduate FTE - New",'FTE Pivot for regular counts'!$A$2,"State","AL","Category",5,"Category2","Four-Year")</f>
        <v>2235.4166666666665</v>
      </c>
      <c r="G41" s="12">
        <f>+GETPIVOTDATA("Graduate FTE - New",'FTE Pivot for regular counts'!$A$2,"State","AL","Category",6,"Category2","Four-Year")</f>
        <v>0</v>
      </c>
      <c r="H41" s="113">
        <f>+GETPIVOTDATA("Graduate FTE - New",'FTE Pivot for regular counts'!$A$2,"State","AL","Category2","Four-Year")</f>
        <v>19297.208333333332</v>
      </c>
    </row>
    <row r="42" spans="1:14" ht="15" customHeight="1">
      <c r="A42" s="4" t="s">
        <v>66</v>
      </c>
      <c r="B42" s="33">
        <f>+GETPIVOTDATA("Graduate FTE - New",'FTE Pivot for regular counts'!$A$2,"State","AR","Category",1,"Category2","Four-Year")</f>
        <v>3217.0416666666665</v>
      </c>
      <c r="C42" s="33">
        <f>+GETPIVOTDATA("Graduate FTE - New",'FTE Pivot for regular counts'!$A$2,"State","AR","Category",2,"Category2","Four-Year")</f>
        <v>0</v>
      </c>
      <c r="D42" s="33">
        <f>+GETPIVOTDATA("Graduate FTE - New",'FTE Pivot for regular counts'!$A$2,"State","AR","Category",3,"Category2","Four-Year")</f>
        <v>7172.666666666667</v>
      </c>
      <c r="E42" s="33">
        <f>+GETPIVOTDATA("Graduate FTE - New",'FTE Pivot for regular counts'!$A$2,"State","AR","Category",4,"Category2","Four-Year")</f>
        <v>668.125</v>
      </c>
      <c r="F42" s="33">
        <f>+GETPIVOTDATA("Graduate FTE - New",'FTE Pivot for regular counts'!$A$2,"State","AR","Category",5,"Category2","Four-Year")</f>
        <v>89.25</v>
      </c>
      <c r="G42" s="12">
        <f>+GETPIVOTDATA("Graduate FTE - New",'FTE Pivot for regular counts'!$A$2,"State","AR","Category",6,"Category2","Four-Year")</f>
        <v>68</v>
      </c>
      <c r="H42" s="113">
        <f>+GETPIVOTDATA("Graduate FTE - New",'FTE Pivot for regular counts'!$A$2,"State","AR","Category2","Four-Year")</f>
        <v>11215.083333333334</v>
      </c>
    </row>
    <row r="43" spans="1:14" ht="15" customHeight="1">
      <c r="A43" s="1" t="s">
        <v>102</v>
      </c>
      <c r="B43" s="33">
        <f>+GETPIVOTDATA("Graduate FTE - New",'FTE Pivot for regular counts'!$A$2,"State","DE","Category",1,"Category2","Four-Year")</f>
        <v>2123.1666666666665</v>
      </c>
      <c r="C43" s="33">
        <f>+GETPIVOTDATA("Graduate FTE - New",'FTE Pivot for regular counts'!$A$2,"State","DE","Category",2,"Category2","Four-Year")</f>
        <v>0</v>
      </c>
      <c r="D43" s="33">
        <f>+GETPIVOTDATA("Graduate FTE - New",'FTE Pivot for regular counts'!$A$2,"State","DE","Category",3,"Category2","Four-Year")</f>
        <v>189.04166666666666</v>
      </c>
      <c r="E43" s="33">
        <f>+GETPIVOTDATA("Graduate FTE - New",'FTE Pivot for regular counts'!$A$2,"State","DE","Category",4,"Category2","Four-Year")</f>
        <v>0</v>
      </c>
      <c r="F43" s="33">
        <f>+GETPIVOTDATA("Graduate FTE - New",'FTE Pivot for regular counts'!$A$2,"State","DE","Category",5,"Category2","Four-Year")</f>
        <v>0</v>
      </c>
      <c r="G43" s="12">
        <f>+GETPIVOTDATA("Graduate FTE - New",'FTE Pivot for regular counts'!$A$2,"State","DE","Category",6,"Category2","Four-Year")</f>
        <v>0</v>
      </c>
      <c r="H43" s="113">
        <f>+GETPIVOTDATA("Graduate FTE - New",'FTE Pivot for regular counts'!$A$2,"State","DE","Category2","Four-Year")</f>
        <v>2312.208333333333</v>
      </c>
      <c r="N43" s="95"/>
    </row>
    <row r="44" spans="1:14" ht="15" customHeight="1">
      <c r="A44" s="1" t="s">
        <v>67</v>
      </c>
      <c r="B44" s="33">
        <f>+GETPIVOTDATA("Graduate FTE - New",'FTE Pivot for regular counts'!$A$2,"State","FL","Category",1,"Category2","Four-Year")</f>
        <v>43967.291666666664</v>
      </c>
      <c r="C44" s="33">
        <f>+GETPIVOTDATA("Graduate FTE - New",'FTE Pivot for regular counts'!$A$2,"State","FL","Category",2,"Category2","Four-Year")</f>
        <v>3312.4166666666665</v>
      </c>
      <c r="D44" s="33">
        <f>+GETPIVOTDATA("Graduate FTE - New",'FTE Pivot for regular counts'!$A$2,"State","FL","Category",3,"Category2","Four-Year")</f>
        <v>4806.4375</v>
      </c>
      <c r="E44" s="33">
        <f>+GETPIVOTDATA("Graduate FTE - New",'FTE Pivot for regular counts'!$A$2,"State","FL","Category",4,"Category2","Four-Year")</f>
        <v>938.375</v>
      </c>
      <c r="F44" s="33">
        <f>+GETPIVOTDATA("Graduate FTE - New",'FTE Pivot for regular counts'!$A$2,"State","FL","Category",5,"Category2","Four-Year")</f>
        <v>0</v>
      </c>
      <c r="G44" s="12">
        <f>+GETPIVOTDATA("Graduate FTE - New",'FTE Pivot for regular counts'!$A$2,"State","FL","Category",6,"Category2","Four-Year")</f>
        <v>0</v>
      </c>
      <c r="H44" s="113">
        <f>+GETPIVOTDATA("Graduate FTE - New",'FTE Pivot for regular counts'!$A$2,"State","FL","Category2","Four-Year")</f>
        <v>53024.520833333328</v>
      </c>
    </row>
    <row r="45" spans="1:14" ht="15" customHeight="1">
      <c r="B45" s="33"/>
      <c r="C45" s="33"/>
      <c r="D45" s="33"/>
      <c r="E45" s="33"/>
      <c r="F45" s="33"/>
      <c r="G45" s="12"/>
      <c r="H45" s="113"/>
    </row>
    <row r="46" spans="1:14" ht="15" customHeight="1">
      <c r="A46" s="1" t="s">
        <v>68</v>
      </c>
      <c r="B46" s="33">
        <f>+GETPIVOTDATA("Graduate FTE - New",'FTE Pivot for regular counts'!$A$2,"State","GA","Category",1,"Category2","Four-Year")</f>
        <v>19525.5</v>
      </c>
      <c r="C46" s="33">
        <f>+GETPIVOTDATA("Graduate FTE - New",'FTE Pivot for regular counts'!$A$2,"State","GA","Category",2,"Category2","Four-Year")</f>
        <v>9755.6458333333339</v>
      </c>
      <c r="D46" s="33">
        <f>+GETPIVOTDATA("Graduate FTE - New",'FTE Pivot for regular counts'!$A$2,"State","GA","Category",3,"Category2","Four-Year")</f>
        <v>4825.7083333333339</v>
      </c>
      <c r="E46" s="33">
        <f>+GETPIVOTDATA("Graduate FTE - New",'FTE Pivot for regular counts'!$A$2,"State","GA","Category",4,"Category2","Four-Year")</f>
        <v>5050.0416666666661</v>
      </c>
      <c r="F46" s="33">
        <f>+GETPIVOTDATA("Graduate FTE - New",'FTE Pivot for regular counts'!$A$2,"State","GA","Category",5,"Category2","Four-Year")</f>
        <v>825.50000000000011</v>
      </c>
      <c r="G46" s="12">
        <f>+GETPIVOTDATA("Graduate FTE - New",'FTE Pivot for regular counts'!$A$2,"State","GA","Category",6,"Category2","Four-Year")</f>
        <v>0</v>
      </c>
      <c r="H46" s="113">
        <f>+GETPIVOTDATA("Graduate FTE - New",'FTE Pivot for regular counts'!$A$2,"State","GA","Category2","Four-Year")</f>
        <v>39982.395833333336</v>
      </c>
    </row>
    <row r="47" spans="1:14" ht="15" customHeight="1">
      <c r="A47" s="1" t="s">
        <v>69</v>
      </c>
      <c r="B47" s="33">
        <f>+GETPIVOTDATA("Graduate FTE - New",'FTE Pivot for regular counts'!$A$2,"State","KY","Category",1,"Category2","Four-Year")</f>
        <v>6743.958333333333</v>
      </c>
      <c r="C47" s="33">
        <f>+GETPIVOTDATA("Graduate FTE - New",'FTE Pivot for regular counts'!$A$2,"State","KY","Category",2,"Category2","Four-Year")</f>
        <v>0</v>
      </c>
      <c r="D47" s="33">
        <f>+GETPIVOTDATA("Graduate FTE - New",'FTE Pivot for regular counts'!$A$2,"State","KY","Category",3,"Category2","Four-Year")</f>
        <v>5717.25</v>
      </c>
      <c r="E47" s="33">
        <f>+GETPIVOTDATA("Graduate FTE - New",'FTE Pivot for regular counts'!$A$2,"State","KY","Category",4,"Category2","Four-Year")</f>
        <v>1811.0416666666667</v>
      </c>
      <c r="F47" s="33">
        <f>+GETPIVOTDATA("Graduate FTE - New",'FTE Pivot for regular counts'!$A$2,"State","KY","Category",5,"Category2","Four-Year")</f>
        <v>0</v>
      </c>
      <c r="G47" s="12">
        <f>+GETPIVOTDATA("Graduate FTE - New",'FTE Pivot for regular counts'!$A$2,"State","KY","Category",6,"Category2","Four-Year")</f>
        <v>0</v>
      </c>
      <c r="H47" s="113">
        <f>+GETPIVOTDATA("Graduate FTE - New",'FTE Pivot for regular counts'!$A$2,"State","KY","Category2","Four-Year")</f>
        <v>14272.249999999998</v>
      </c>
    </row>
    <row r="48" spans="1:14" ht="15" customHeight="1">
      <c r="A48" s="1" t="s">
        <v>70</v>
      </c>
      <c r="B48" s="33">
        <f>+GETPIVOTDATA("Graduate FTE - New",'FTE Pivot for regular counts'!$A$2,"State","LA","Category",1,"Category2","Four-Year")</f>
        <v>4854.916666666667</v>
      </c>
      <c r="C48" s="33">
        <f>+GETPIVOTDATA("Graduate FTE - New",'FTE Pivot for regular counts'!$A$2,"State","LA","Category",2,"Category2","Four-Year")</f>
        <v>4100.083333333333</v>
      </c>
      <c r="D48" s="33">
        <f>+GETPIVOTDATA("Graduate FTE - New",'FTE Pivot for regular counts'!$A$2,"State","LA","Category",3,"Category2","Four-Year")</f>
        <v>4121.958333333333</v>
      </c>
      <c r="E48" s="33">
        <f>+GETPIVOTDATA("Graduate FTE - New",'FTE Pivot for regular counts'!$A$2,"State","LA","Category",4,"Category2","Four-Year")</f>
        <v>2711.708333333333</v>
      </c>
      <c r="F48" s="33">
        <f>+GETPIVOTDATA("Graduate FTE - New",'FTE Pivot for regular counts'!$A$2,"State","LA","Category",5,"Category2","Four-Year")</f>
        <v>0</v>
      </c>
      <c r="G48" s="12">
        <f>+GETPIVOTDATA("Graduate FTE - New",'FTE Pivot for regular counts'!$A$2,"State","LA","Category",6,"Category2","Four-Year")</f>
        <v>0</v>
      </c>
      <c r="H48" s="113">
        <f>+GETPIVOTDATA("Graduate FTE - New",'FTE Pivot for regular counts'!$A$2,"State","LA","Category2","Four-Year")</f>
        <v>15788.666666666664</v>
      </c>
    </row>
    <row r="49" spans="1:13" ht="15" customHeight="1">
      <c r="A49" s="1" t="s">
        <v>71</v>
      </c>
      <c r="B49" s="33">
        <f>+GETPIVOTDATA("Graduate FTE - New",'FTE Pivot for regular counts'!$A$2,"State","MD","Category",1,"Category2","Four-Year")</f>
        <v>6631.75</v>
      </c>
      <c r="C49" s="33">
        <f>+GETPIVOTDATA("Graduate FTE - New",'FTE Pivot for regular counts'!$A$2,"State","MD","Category",2,"Category2","Four-Year")</f>
        <v>2358.8333333333335</v>
      </c>
      <c r="D49" s="33">
        <f>+GETPIVOTDATA("Graduate FTE - New",'FTE Pivot for regular counts'!$A$2,"State","MD","Category",3,"Category2","Four-Year")</f>
        <v>2368.6666666666665</v>
      </c>
      <c r="E49" s="33">
        <f>+GETPIVOTDATA("Graduate FTE - New",'FTE Pivot for regular counts'!$A$2,"State","MD","Category",4,"Category2","Four-Year")</f>
        <v>4655.916666666667</v>
      </c>
      <c r="F49" s="33">
        <f>+GETPIVOTDATA("Graduate FTE - New",'FTE Pivot for regular counts'!$A$2,"State","MD","Category",5,"Category2","Four-Year")</f>
        <v>261.04166666666669</v>
      </c>
      <c r="G49" s="12">
        <f>+GETPIVOTDATA("Graduate FTE - New",'FTE Pivot for regular counts'!$A$2,"State","MD","Category",6,"Category2","Four-Year")</f>
        <v>47.208333333333336</v>
      </c>
      <c r="H49" s="113">
        <f>+GETPIVOTDATA("Graduate FTE - New",'FTE Pivot for regular counts'!$A$2,"State","MD","Category2","Four-Year")</f>
        <v>16323.416666666668</v>
      </c>
    </row>
    <row r="50" spans="1:13" ht="15" customHeight="1">
      <c r="B50" s="33"/>
      <c r="C50" s="33"/>
      <c r="D50" s="33"/>
      <c r="E50" s="33"/>
      <c r="F50" s="33"/>
      <c r="G50" s="12"/>
      <c r="H50" s="113"/>
    </row>
    <row r="51" spans="1:13" ht="15" customHeight="1">
      <c r="A51" s="1" t="s">
        <v>72</v>
      </c>
      <c r="B51" s="33">
        <f>+GETPIVOTDATA("Graduate FTE - New",'FTE Pivot for regular counts'!$A$2,"State","MS","Category",1,"Category2","Four-Year")</f>
        <v>4886.8333333333339</v>
      </c>
      <c r="C51" s="33">
        <f>+GETPIVOTDATA("Graduate FTE - New",'FTE Pivot for regular counts'!$A$2,"State","MS","Category",2,"Category2","Four-Year")</f>
        <v>3819.083333333333</v>
      </c>
      <c r="D51" s="33">
        <f>+GETPIVOTDATA("Graduate FTE - New",'FTE Pivot for regular counts'!$A$2,"State","MS","Category",3,"Category2","Four-Year")</f>
        <v>0</v>
      </c>
      <c r="E51" s="33">
        <f>+GETPIVOTDATA("Graduate FTE - New",'FTE Pivot for regular counts'!$A$2,"State","MS","Category",4,"Category2","Four-Year")</f>
        <v>1893.5416666666665</v>
      </c>
      <c r="F51" s="33">
        <f>+GETPIVOTDATA("Graduate FTE - New",'FTE Pivot for regular counts'!$A$2,"State","MS","Category",5,"Category2","Four-Year")</f>
        <v>162.25</v>
      </c>
      <c r="G51" s="12">
        <f>+GETPIVOTDATA("Graduate FTE - New",'FTE Pivot for regular counts'!$A$2,"State","MS","Category",6,"Category2","Four-Year")</f>
        <v>0</v>
      </c>
      <c r="H51" s="113">
        <f>+GETPIVOTDATA("Graduate FTE - New",'FTE Pivot for regular counts'!$A$2,"State","MS","Category2","Four-Year")</f>
        <v>10761.708333333334</v>
      </c>
    </row>
    <row r="52" spans="1:13" ht="15" customHeight="1">
      <c r="A52" s="1" t="s">
        <v>73</v>
      </c>
      <c r="B52" s="33">
        <f>+GETPIVOTDATA("Graduate FTE - New",'FTE Pivot for regular counts'!$A$2,"State","NC","Category",1,"Category2","Four-Year")</f>
        <v>16793.041666666668</v>
      </c>
      <c r="C52" s="33">
        <f>+GETPIVOTDATA("Graduate FTE - New",'FTE Pivot for regular counts'!$A$2,"State","NC","Category",2,"Category2","Four-Year")</f>
        <v>6800.916666666667</v>
      </c>
      <c r="D52" s="33">
        <f>+GETPIVOTDATA("Graduate FTE - New",'FTE Pivot for regular counts'!$A$2,"State","NC","Category",3,"Category2","Four-Year")</f>
        <v>6605.666666666667</v>
      </c>
      <c r="E52" s="33">
        <f>+GETPIVOTDATA("Graduate FTE - New",'FTE Pivot for regular counts'!$A$2,"State","NC","Category",4,"Category2","Four-Year")</f>
        <v>473.83333333333331</v>
      </c>
      <c r="F52" s="33">
        <f>+GETPIVOTDATA("Graduate FTE - New",'FTE Pivot for regular counts'!$A$2,"State","NC","Category",5,"Category2","Four-Year")</f>
        <v>952.91666666666674</v>
      </c>
      <c r="G52" s="12">
        <f>+GETPIVOTDATA("Graduate FTE - New",'FTE Pivot for regular counts'!$A$2,"State","NC","Category",6,"Category2","Four-Year")</f>
        <v>107.54166666666666</v>
      </c>
      <c r="H52" s="113">
        <f>+GETPIVOTDATA("Graduate FTE - New",'FTE Pivot for regular counts'!$A$2,"State","NC","Category2","Four-Year")</f>
        <v>31733.916666666672</v>
      </c>
    </row>
    <row r="53" spans="1:13" ht="15" customHeight="1">
      <c r="A53" s="1" t="s">
        <v>74</v>
      </c>
      <c r="B53" s="33">
        <f>+GETPIVOTDATA("Graduate FTE - New",'FTE Pivot for regular counts'!$A$2,"State","OK","Category",1,"Category2","Four-Year")</f>
        <v>7483.875</v>
      </c>
      <c r="C53" s="33">
        <f>+GETPIVOTDATA("Graduate FTE - New",'FTE Pivot for regular counts'!$A$2,"State","OK","Category",2,"Category2","Four-Year")</f>
        <v>0</v>
      </c>
      <c r="D53" s="33">
        <f>+GETPIVOTDATA("Graduate FTE - New",'FTE Pivot for regular counts'!$A$2,"State","OK","Category",3,"Category2","Four-Year")</f>
        <v>2150.5833333333335</v>
      </c>
      <c r="E53" s="33">
        <f>+GETPIVOTDATA("Graduate FTE - New",'FTE Pivot for regular counts'!$A$2,"State","OK","Category",4,"Category2","Four-Year")</f>
        <v>255.875</v>
      </c>
      <c r="F53" s="33">
        <f>+GETPIVOTDATA("Graduate FTE - New",'FTE Pivot for regular counts'!$A$2,"State","OK","Category",5,"Category2","Four-Year")</f>
        <v>2304.3333333333335</v>
      </c>
      <c r="G53" s="12">
        <f>+GETPIVOTDATA("Graduate FTE - New",'FTE Pivot for regular counts'!$A$2,"State","OK","Category",6,"Category2","Four-Year")</f>
        <v>0</v>
      </c>
      <c r="H53" s="113">
        <f>+GETPIVOTDATA("Graduate FTE - New",'FTE Pivot for regular counts'!$A$2,"State","OK","Category2","Four-Year")</f>
        <v>12194.666666666668</v>
      </c>
    </row>
    <row r="54" spans="1:13" ht="15" customHeight="1">
      <c r="A54" s="1" t="s">
        <v>75</v>
      </c>
      <c r="B54" s="33">
        <f>+GETPIVOTDATA("Graduate FTE - New",'FTE Pivot for regular counts'!$A$2,"State","SC","Category",1,"Category2","Four-Year")</f>
        <v>8018.458333333333</v>
      </c>
      <c r="C54" s="33">
        <f>+GETPIVOTDATA("Graduate FTE - New",'FTE Pivot for regular counts'!$A$2,"State","SC","Category",2,"Category2","Four-Year")</f>
        <v>0</v>
      </c>
      <c r="D54" s="33">
        <f>+GETPIVOTDATA("Graduate FTE - New",'FTE Pivot for regular counts'!$A$2,"State","SC","Category",3,"Category2","Four-Year")</f>
        <v>1530.1875</v>
      </c>
      <c r="E54" s="33">
        <f>+GETPIVOTDATA("Graduate FTE - New",'FTE Pivot for regular counts'!$A$2,"State","SC","Category",4,"Category2","Four-Year")</f>
        <v>580.95833333333337</v>
      </c>
      <c r="F54" s="33">
        <f>+GETPIVOTDATA("Graduate FTE - New",'FTE Pivot for regular counts'!$A$2,"State","SC","Category",5,"Category2","Four-Year")</f>
        <v>1016.8333333333333</v>
      </c>
      <c r="G54" s="12">
        <f>+GETPIVOTDATA("Graduate FTE - New",'FTE Pivot for regular counts'!$A$2,"State","SC","Category",6,"Category2","Four-Year")</f>
        <v>203.04166666666669</v>
      </c>
      <c r="H54" s="113">
        <f>+GETPIVOTDATA("Graduate FTE - New",'FTE Pivot for regular counts'!$A$2,"State","SC","Category2","Four-Year")</f>
        <v>11349.479166666666</v>
      </c>
    </row>
    <row r="55" spans="1:13" ht="15" customHeight="1">
      <c r="B55" s="33"/>
      <c r="C55" s="33"/>
      <c r="D55" s="33"/>
      <c r="E55" s="33"/>
      <c r="F55" s="33"/>
      <c r="G55" s="12"/>
      <c r="H55" s="113"/>
    </row>
    <row r="56" spans="1:13" ht="15" customHeight="1">
      <c r="A56" s="1" t="s">
        <v>76</v>
      </c>
      <c r="B56" s="33">
        <f>+GETPIVOTDATA("Graduate FTE - New",'FTE Pivot for regular counts'!$A$2,"State","TN","Category",1,"Category2","Four-Year")</f>
        <v>8463.375</v>
      </c>
      <c r="C56" s="33">
        <f>+GETPIVOTDATA("Graduate FTE - New",'FTE Pivot for regular counts'!$A$2,"State","TN","Category",2,"Category2","Four-Year")</f>
        <v>1462.0833333333333</v>
      </c>
      <c r="D56" s="33">
        <f>+GETPIVOTDATA("Graduate FTE - New",'FTE Pivot for regular counts'!$A$2,"State","TN","Category",3,"Category2","Four-Year")</f>
        <v>6419.1250000000009</v>
      </c>
      <c r="E56" s="33">
        <f>+GETPIVOTDATA("Graduate FTE - New",'FTE Pivot for regular counts'!$A$2,"State","TN","Category",4,"Category2","Four-Year")</f>
        <v>0</v>
      </c>
      <c r="F56" s="33">
        <f>+GETPIVOTDATA("Graduate FTE - New",'FTE Pivot for regular counts'!$A$2,"State","TN","Category",5,"Category2","Four-Year")</f>
        <v>283.04166666666669</v>
      </c>
      <c r="G56" s="12">
        <f>+GETPIVOTDATA("Graduate FTE - New",'FTE Pivot for regular counts'!$A$2,"State","TN","Category",6,"Category2","Four-Year")</f>
        <v>0</v>
      </c>
      <c r="H56" s="113">
        <f>+GETPIVOTDATA("Graduate FTE - New",'FTE Pivot for regular counts'!$A$2,"State","TN","Category2","Four-Year")</f>
        <v>16627.625000000004</v>
      </c>
    </row>
    <row r="57" spans="1:13" ht="15" customHeight="1">
      <c r="A57" s="1" t="s">
        <v>77</v>
      </c>
      <c r="B57" s="33">
        <f>+GETPIVOTDATA("Graduate FTE - New",'FTE Pivot for regular counts'!$A$2,"State","TX","Category",1,"Category2","Four-Year")</f>
        <v>46131.041666666664</v>
      </c>
      <c r="C57" s="33">
        <f>+GETPIVOTDATA("Graduate FTE - New",'FTE Pivot for regular counts'!$A$2,"State","TX","Category",2,"Category2","Four-Year")</f>
        <v>9504.1666666666679</v>
      </c>
      <c r="D57" s="33">
        <f>+GETPIVOTDATA("Graduate FTE - New",'FTE Pivot for regular counts'!$A$2,"State","TX","Category",3,"Category2","Four-Year")</f>
        <v>28472.75</v>
      </c>
      <c r="E57" s="33">
        <f>+GETPIVOTDATA("Graduate FTE - New",'FTE Pivot for regular counts'!$A$2,"State","TX","Category",4,"Category2","Four-Year")</f>
        <v>1871.7083333333333</v>
      </c>
      <c r="F57" s="33">
        <f>+GETPIVOTDATA("Graduate FTE - New",'FTE Pivot for regular counts'!$A$2,"State","TX","Category",5,"Category2","Four-Year")</f>
        <v>933.58333333333337</v>
      </c>
      <c r="G57" s="12">
        <f>+GETPIVOTDATA("Graduate FTE - New",'FTE Pivot for regular counts'!$A$2,"State","TX","Category",6,"Category2","Four-Year")</f>
        <v>62</v>
      </c>
      <c r="H57" s="113">
        <f>+GETPIVOTDATA("Graduate FTE - New",'FTE Pivot for regular counts'!$A$2,"State","TX","Category2","Four-Year")</f>
        <v>86975.249999999985</v>
      </c>
    </row>
    <row r="58" spans="1:13" ht="15" customHeight="1">
      <c r="A58" s="1" t="s">
        <v>78</v>
      </c>
      <c r="B58" s="33">
        <f>+GETPIVOTDATA("Graduate FTE - New",'FTE Pivot for regular counts'!$A$2,"State","VA","Category",1,"Category2","Four-Year")</f>
        <v>24512.729166666668</v>
      </c>
      <c r="C58" s="33">
        <f>+GETPIVOTDATA("Graduate FTE - New",'FTE Pivot for regular counts'!$A$2,"State","VA","Category",2,"Category2","Four-Year")</f>
        <v>8080.1041666666661</v>
      </c>
      <c r="D58" s="33">
        <f>+GETPIVOTDATA("Graduate FTE - New",'FTE Pivot for regular counts'!$A$2,"State","VA","Category",3,"Category2","Four-Year")</f>
        <v>2031.0833333333335</v>
      </c>
      <c r="E58" s="33">
        <f>+GETPIVOTDATA("Graduate FTE - New",'FTE Pivot for regular counts'!$A$2,"State","VA","Category",4,"Category2","Four-Year")</f>
        <v>1603.2916666666667</v>
      </c>
      <c r="F58" s="33">
        <f>+GETPIVOTDATA("Graduate FTE - New",'FTE Pivot for regular counts'!$A$2,"State","VA","Category",5,"Category2","Four-Year")</f>
        <v>544.58333333333337</v>
      </c>
      <c r="G58" s="12">
        <f>+GETPIVOTDATA("Graduate FTE - New",'FTE Pivot for regular counts'!$A$2,"State","VA","Category",6,"Category2","Four-Year")</f>
        <v>0</v>
      </c>
      <c r="H58" s="113">
        <f>+GETPIVOTDATA("Graduate FTE - New",'FTE Pivot for regular counts'!$A$2,"State","VA","Category2","Four-Year")</f>
        <v>36771.791666666672</v>
      </c>
    </row>
    <row r="59" spans="1:13" ht="15" customHeight="1">
      <c r="A59" s="3" t="s">
        <v>79</v>
      </c>
      <c r="B59" s="13">
        <f>+GETPIVOTDATA("Graduate FTE - New",'FTE Pivot for regular counts'!$A$2,"State","WV","Category",1,"Category2","Four-Year")</f>
        <v>4861.458333333333</v>
      </c>
      <c r="C59" s="13">
        <f>+GETPIVOTDATA("Graduate FTE - New",'FTE Pivot for regular counts'!$A$2,"State","WV","Category",2,"Category2","Four-Year")</f>
        <v>0</v>
      </c>
      <c r="D59" s="13">
        <f>+GETPIVOTDATA("Graduate FTE - New",'FTE Pivot for regular counts'!$A$2,"State","WV","Category",3,"Category2","Four-Year")</f>
        <v>2311.8333333333335</v>
      </c>
      <c r="E59" s="13">
        <f>+GETPIVOTDATA("Graduate FTE - New",'FTE Pivot for regular counts'!$A$2,"State","WV","Category",4,"Category2","Four-Year")</f>
        <v>0</v>
      </c>
      <c r="F59" s="13">
        <f>+GETPIVOTDATA("Graduate FTE - New",'FTE Pivot for regular counts'!$A$2,"State","WV","Category",5,"Category2","Four-Year")</f>
        <v>348.95833333333331</v>
      </c>
      <c r="G59" s="14">
        <f>+GETPIVOTDATA("Graduate FTE - New",'FTE Pivot for regular counts'!$A$2,"State","WV","Category",6,"Category2","Four-Year")</f>
        <v>353.41666666666669</v>
      </c>
      <c r="H59" s="114">
        <f>+GETPIVOTDATA("Graduate FTE - New",'FTE Pivot for regular counts'!$A$2,"State","WV","Category2","Four-Year")</f>
        <v>7875.6666666666661</v>
      </c>
    </row>
    <row r="60" spans="1:13" s="25" customFormat="1" ht="35.25" customHeight="1">
      <c r="A60" s="837" t="s">
        <v>988</v>
      </c>
      <c r="B60" s="837"/>
      <c r="C60" s="837"/>
      <c r="D60" s="837"/>
      <c r="E60" s="837"/>
      <c r="F60" s="837"/>
      <c r="G60" s="837"/>
      <c r="H60" s="837"/>
      <c r="I60" s="15"/>
      <c r="J60" s="103"/>
      <c r="K60" s="103"/>
      <c r="L60" s="103"/>
      <c r="M60" s="103"/>
    </row>
    <row r="61" spans="1:13" ht="10.5" customHeight="1">
      <c r="A61" s="408"/>
      <c r="B61" s="408"/>
      <c r="C61" s="408"/>
      <c r="D61" s="408"/>
      <c r="E61" s="408"/>
      <c r="F61" s="408"/>
      <c r="G61" s="408"/>
      <c r="H61" s="169" t="s">
        <v>987</v>
      </c>
    </row>
    <row r="62" spans="1:13">
      <c r="A62" s="49"/>
      <c r="B62" s="50"/>
      <c r="C62" s="50"/>
      <c r="D62" s="50"/>
      <c r="E62" s="50"/>
      <c r="F62" s="50"/>
      <c r="G62" s="50"/>
      <c r="H62" s="169"/>
    </row>
    <row r="63" spans="1:13" ht="18">
      <c r="A63" s="41" t="s">
        <v>165</v>
      </c>
      <c r="B63" s="41"/>
      <c r="C63" s="41"/>
      <c r="D63" s="41"/>
      <c r="E63" s="41"/>
      <c r="F63" s="41"/>
      <c r="G63" s="41"/>
      <c r="H63" s="115"/>
    </row>
    <row r="64" spans="1:13" ht="15.75">
      <c r="A64" s="55"/>
      <c r="B64" s="43"/>
      <c r="C64" s="43"/>
      <c r="D64" s="43"/>
      <c r="E64" s="43"/>
      <c r="F64" s="43"/>
      <c r="G64" s="43"/>
      <c r="H64" s="110"/>
    </row>
    <row r="65" spans="1:24" ht="15.75">
      <c r="A65" s="43" t="s">
        <v>36</v>
      </c>
      <c r="B65" s="43"/>
      <c r="C65" s="43"/>
      <c r="D65" s="43"/>
      <c r="E65" s="43"/>
      <c r="F65" s="43"/>
      <c r="G65" s="43"/>
      <c r="H65" s="110"/>
    </row>
    <row r="66" spans="1:24" ht="15.75">
      <c r="A66" s="43" t="s">
        <v>981</v>
      </c>
      <c r="B66" s="43"/>
      <c r="C66" s="43"/>
      <c r="D66" s="43"/>
      <c r="E66" s="43"/>
      <c r="F66" s="43"/>
      <c r="G66" s="43"/>
      <c r="H66" s="110"/>
    </row>
    <row r="67" spans="1:24" ht="15.75">
      <c r="A67" s="43"/>
      <c r="B67" s="43"/>
      <c r="C67" s="43"/>
      <c r="D67" s="43"/>
      <c r="E67" s="43"/>
      <c r="F67" s="43"/>
      <c r="G67" s="43"/>
      <c r="H67" s="110"/>
      <c r="Q67" s="126" t="s">
        <v>38</v>
      </c>
      <c r="R67" s="228" t="s">
        <v>196</v>
      </c>
      <c r="S67" s="126"/>
      <c r="T67" s="126"/>
      <c r="U67" s="126"/>
      <c r="V67" s="126"/>
      <c r="W67" s="126"/>
    </row>
    <row r="68" spans="1:24" ht="15" customHeight="1">
      <c r="A68" s="52"/>
      <c r="B68" s="52" t="s">
        <v>62</v>
      </c>
      <c r="C68" s="52"/>
      <c r="D68" s="52"/>
      <c r="E68" s="52"/>
      <c r="F68" s="52"/>
      <c r="G68" s="52"/>
      <c r="H68" s="111"/>
      <c r="Q68" s="179" t="s">
        <v>62</v>
      </c>
      <c r="R68" s="180"/>
      <c r="S68" s="180"/>
      <c r="T68" s="180"/>
      <c r="U68" s="180"/>
      <c r="V68" s="180"/>
      <c r="W68" s="127"/>
    </row>
    <row r="69" spans="1:24" ht="15" customHeight="1">
      <c r="A69" s="53"/>
      <c r="B69" s="46">
        <v>1</v>
      </c>
      <c r="C69" s="46">
        <v>2</v>
      </c>
      <c r="D69" s="46">
        <v>3</v>
      </c>
      <c r="E69" s="46">
        <v>4</v>
      </c>
      <c r="F69" s="46">
        <v>5</v>
      </c>
      <c r="G69" s="54">
        <v>6</v>
      </c>
      <c r="H69" s="93" t="s">
        <v>30</v>
      </c>
      <c r="Q69" s="128">
        <v>1</v>
      </c>
      <c r="R69" s="128">
        <v>2</v>
      </c>
      <c r="S69" s="128">
        <v>3</v>
      </c>
      <c r="T69" s="128">
        <v>4</v>
      </c>
      <c r="U69" s="128">
        <v>5</v>
      </c>
      <c r="V69" s="129">
        <v>6</v>
      </c>
      <c r="W69" s="130" t="s">
        <v>30</v>
      </c>
    </row>
    <row r="70" spans="1:24" ht="15" customHeight="1">
      <c r="A70" s="1" t="s">
        <v>64</v>
      </c>
      <c r="B70" s="11">
        <f>+'NEW-Tables 80-86'!B9+'NEW-Tables 80-86'!B39</f>
        <v>1078591.4924999999</v>
      </c>
      <c r="C70" s="11">
        <f>+'NEW-Tables 80-86'!D9+'NEW-Tables 80-86'!C39</f>
        <v>283191.03333333333</v>
      </c>
      <c r="D70" s="11">
        <f>+'NEW-Tables 80-86'!F9+'NEW-Tables 80-86'!D39</f>
        <v>617034.25</v>
      </c>
      <c r="E70" s="11">
        <f>+'NEW-Tables 80-86'!H9+'NEW-Tables 80-86'!E39</f>
        <v>211436.14166666669</v>
      </c>
      <c r="F70" s="11">
        <f>+'NEW-Tables 80-86'!J9+'NEW-Tables 80-86'!F39</f>
        <v>112744.44166666668</v>
      </c>
      <c r="G70" s="12">
        <f>+'NEW-Tables 80-86'!L9+'NEW-Tables 80-86'!G39</f>
        <v>68951.345333333331</v>
      </c>
      <c r="H70" s="112">
        <f>+'NEW-Tables 80-86'!N9+'NEW-Tables 80-86'!H39</f>
        <v>2371948.7045000005</v>
      </c>
      <c r="Q70" s="126">
        <f>+GETPIVOTDATA("Grand Total FTE - Old",'FTE Pivot for regular counts'!$A$2,"Category",1,"Category2","Four-Year")</f>
        <v>1070862.1616666666</v>
      </c>
      <c r="R70" s="126">
        <f>+GETPIVOTDATA("Grand Total FTE - Old",'FTE Pivot for regular counts'!$A$2,"Category",2,"Category2","Four-Year")</f>
        <v>283177.67083333334</v>
      </c>
      <c r="S70" s="126">
        <f>+GETPIVOTDATA("Grand Total FTE - Old",'FTE Pivot for regular counts'!$A$2,"Category",3,"Category2","Four-Year")</f>
        <v>621164.89166666672</v>
      </c>
      <c r="T70" s="126">
        <f>+GETPIVOTDATA("Grand Total FTE - Old",'FTE Pivot for regular counts'!$A$2,"Category",4,"Category2","Four-Year")</f>
        <v>213342.9425</v>
      </c>
      <c r="U70" s="126">
        <f>+GETPIVOTDATA("Grand Total FTE - Old",'FTE Pivot for regular counts'!$A$2,"Category",5,"Category2","Four-Year")</f>
        <v>114954.15000000002</v>
      </c>
      <c r="V70" s="126">
        <f>+GETPIVOTDATA("Grand Total FTE - Old",'FTE Pivot for regular counts'!$A$2,"Category",6,"Category2","Four-Year")</f>
        <v>68584.156666666662</v>
      </c>
      <c r="W70" s="126">
        <f>+GETPIVOTDATA("Grand Total FTE - Old",'FTE Pivot for regular counts'!$A$2,"Category2","Four-Year")</f>
        <v>2372085.9733333332</v>
      </c>
      <c r="X70" s="1" t="s">
        <v>64</v>
      </c>
    </row>
    <row r="71" spans="1:24" ht="15" customHeight="1">
      <c r="B71" s="11"/>
      <c r="C71" s="11"/>
      <c r="D71" s="11"/>
      <c r="E71" s="11"/>
      <c r="F71" s="11"/>
      <c r="G71" s="12"/>
      <c r="H71" s="112"/>
      <c r="Q71" s="126"/>
      <c r="R71" s="126"/>
      <c r="S71" s="126"/>
      <c r="T71" s="126"/>
      <c r="U71" s="126"/>
      <c r="V71" s="126"/>
      <c r="W71" s="126"/>
    </row>
    <row r="72" spans="1:24" ht="15" customHeight="1">
      <c r="A72" s="1" t="s">
        <v>65</v>
      </c>
      <c r="B72" s="33">
        <f>+'NEW-Tables 80-86'!B11+'NEW-Tables 80-86'!B41</f>
        <v>54548.974999999999</v>
      </c>
      <c r="C72" s="33">
        <f>+'NEW-Tables 80-86'!D11+'NEW-Tables 80-86'!C41</f>
        <v>17000.633333333335</v>
      </c>
      <c r="D72" s="33">
        <f>+'NEW-Tables 80-86'!F11+'NEW-Tables 80-86'!D41</f>
        <v>33249.074999999997</v>
      </c>
      <c r="E72" s="33">
        <f>+'NEW-Tables 80-86'!H11+'NEW-Tables 80-86'!E41</f>
        <v>15831.808333333332</v>
      </c>
      <c r="F72" s="33">
        <f>+'NEW-Tables 80-86'!J11+'NEW-Tables 80-86'!F41</f>
        <v>6426.8166666666657</v>
      </c>
      <c r="G72" s="12">
        <f>+'NEW-Tables 80-86'!L11+'NEW-Tables 80-86'!G41</f>
        <v>2786.2</v>
      </c>
      <c r="H72" s="113">
        <f>+'NEW-Tables 80-86'!N11+'NEW-Tables 80-86'!H41</f>
        <v>129843.50833333332</v>
      </c>
      <c r="Q72" s="126">
        <f>+GETPIVOTDATA("Grand Total FTE - Old",'FTE Pivot for regular counts'!$A$2,"State","AL","Category",1,"Category2","Four-Year")</f>
        <v>52205.216666666674</v>
      </c>
      <c r="R72" s="126">
        <f>+GETPIVOTDATA("Grand Total FTE - Old",'FTE Pivot for regular counts'!$A$2,"State","AL","Category",2,"Category2","Four-Year")</f>
        <v>16920.5</v>
      </c>
      <c r="S72" s="126">
        <f>+GETPIVOTDATA("Grand Total FTE - Old",'FTE Pivot for regular counts'!$A$2,"State","AL","Category",3,"Category2","Four-Year")</f>
        <v>38236.791666666672</v>
      </c>
      <c r="T72" s="126">
        <f>+GETPIVOTDATA("Grand Total FTE - Old",'FTE Pivot for regular counts'!$A$2,"State","AL","Category",4,"Category2","Four-Year")</f>
        <v>16292.366666666667</v>
      </c>
      <c r="U72" s="126">
        <f>+GETPIVOTDATA("Grand Total FTE - Old",'FTE Pivot for regular counts'!$A$2,"State","AL","Category",5,"Category2","Four-Year")</f>
        <v>6587.0750000000007</v>
      </c>
      <c r="V72" s="126">
        <f>+GETPIVOTDATA("Grand Total FTE - Old",'FTE Pivot for regular counts'!$A$2,"State","AL","Category",6,"Category2","Four-Year")</f>
        <v>2856.7333333333331</v>
      </c>
      <c r="W72" s="126">
        <f>+GETPIVOTDATA("Grand Total FTE - Old",'FTE Pivot for regular counts'!$A$2,"State","AL","Category2","Four-Year")</f>
        <v>133098.68333333335</v>
      </c>
      <c r="X72" s="1" t="s">
        <v>65</v>
      </c>
    </row>
    <row r="73" spans="1:24" ht="15" customHeight="1">
      <c r="A73" s="4" t="s">
        <v>66</v>
      </c>
      <c r="B73" s="33">
        <f>+'NEW-Tables 80-86'!B12+'NEW-Tables 80-86'!B42</f>
        <v>22204.841666666667</v>
      </c>
      <c r="C73" s="33">
        <f>+'NEW-Tables 80-86'!D12+'NEW-Tables 80-86'!C42</f>
        <v>0</v>
      </c>
      <c r="D73" s="33">
        <f>+'NEW-Tables 80-86'!F12+'NEW-Tables 80-86'!D42</f>
        <v>40469.633333333331</v>
      </c>
      <c r="E73" s="33">
        <f>+'NEW-Tables 80-86'!H12+'NEW-Tables 80-86'!E42</f>
        <v>6580.458333333333</v>
      </c>
      <c r="F73" s="33">
        <f>+'NEW-Tables 80-86'!J12+'NEW-Tables 80-86'!F42</f>
        <v>2442.7166666666667</v>
      </c>
      <c r="G73" s="12">
        <f>+'NEW-Tables 80-86'!L12+'NEW-Tables 80-86'!G42</f>
        <v>8688.7999999999993</v>
      </c>
      <c r="H73" s="113">
        <f>+'NEW-Tables 80-86'!N12+'NEW-Tables 80-86'!H42</f>
        <v>80386.45</v>
      </c>
      <c r="Q73" s="126">
        <f>+GETPIVOTDATA("Grand Total FTE - Old",'FTE Pivot for regular counts'!$A$2,"State","AR","Category",1,"Category2","Four-Year")</f>
        <v>20745.724999999999</v>
      </c>
      <c r="R73" s="126">
        <f>+GETPIVOTDATA("Grand Total FTE - Old",'FTE Pivot for regular counts'!$A$2,"State","AR","Category",2,"Category2","Four-Year")</f>
        <v>0</v>
      </c>
      <c r="S73" s="126">
        <f>+GETPIVOTDATA("Grand Total FTE - Old",'FTE Pivot for regular counts'!$A$2,"State","AR","Category",3,"Category2","Four-Year")</f>
        <v>40845.449999999997</v>
      </c>
      <c r="T73" s="126">
        <f>+GETPIVOTDATA("Grand Total FTE - Old",'FTE Pivot for regular counts'!$A$2,"State","AR","Category",4,"Category2","Four-Year")</f>
        <v>6699.9</v>
      </c>
      <c r="U73" s="126">
        <f>+GETPIVOTDATA("Grand Total FTE - Old",'FTE Pivot for regular counts'!$A$2,"State","AR","Category",5,"Category2","Four-Year")</f>
        <v>2486.6916666666666</v>
      </c>
      <c r="V73" s="126">
        <f>+GETPIVOTDATA("Grand Total FTE - Old",'FTE Pivot for regular counts'!$A$2,"State","AR","Category",6,"Category2","Four-Year")</f>
        <v>9206.875</v>
      </c>
      <c r="W73" s="126">
        <f>+GETPIVOTDATA("Grand Total FTE - Old",'FTE Pivot for regular counts'!$A$2,"State","AR","Category2","Four-Year")</f>
        <v>79984.641666666663</v>
      </c>
      <c r="X73" s="4" t="s">
        <v>66</v>
      </c>
    </row>
    <row r="74" spans="1:24" ht="15" customHeight="1">
      <c r="A74" s="1" t="s">
        <v>102</v>
      </c>
      <c r="B74" s="33">
        <f>+'NEW-Tables 80-86'!B13+'NEW-Tables 80-86'!B43</f>
        <v>20083.466666666667</v>
      </c>
      <c r="C74" s="33">
        <f>+'NEW-Tables 80-86'!D13+'NEW-Tables 80-86'!C43</f>
        <v>0</v>
      </c>
      <c r="D74" s="33">
        <f>+'NEW-Tables 80-86'!F13+'NEW-Tables 80-86'!D43</f>
        <v>3856.8083333333334</v>
      </c>
      <c r="E74" s="1">
        <f>+'NEW-Tables 80-86'!H13+'NEW-Tables 80-86'!E43</f>
        <v>0</v>
      </c>
      <c r="F74" s="33">
        <f>+'NEW-Tables 80-86'!J13+'NEW-Tables 80-86'!F43</f>
        <v>0</v>
      </c>
      <c r="G74" s="12">
        <f>+'NEW-Tables 80-86'!L13+'NEW-Tables 80-86'!G43</f>
        <v>0</v>
      </c>
      <c r="H74" s="1">
        <f>+'NEW-Tables 80-86'!N13+'NEW-Tables 80-86'!H43</f>
        <v>23940.274999999998</v>
      </c>
      <c r="Q74" s="126">
        <f>+GETPIVOTDATA("Grand Total FTE - Old",'FTE Pivot for regular counts'!$A$2,"State","DE","Category",1,"Category2","Four-Year")</f>
        <v>19675.966666666667</v>
      </c>
      <c r="R74" s="126">
        <f>+GETPIVOTDATA("Grand Total FTE - Old",'FTE Pivot for regular counts'!$A$2,"State","DE","Category",2,"Category2","Four-Year")</f>
        <v>0</v>
      </c>
      <c r="S74" s="126">
        <f>+GETPIVOTDATA("Grand Total FTE - Old",'FTE Pivot for regular counts'!$A$2,"State","DE","Category",3,"Category2","Four-Year")</f>
        <v>3779.1583333333333</v>
      </c>
      <c r="T74" s="126">
        <f>+GETPIVOTDATA("Grand Total FTE - Old",'FTE Pivot for regular counts'!$A$2,"State","DE","Category",4,"Category2","Four-Year")</f>
        <v>0</v>
      </c>
      <c r="U74" s="126">
        <f>+GETPIVOTDATA("Grand Total FTE - Old",'FTE Pivot for regular counts'!$A$2,"State","DE","Category",5,"Category2","Four-Year")</f>
        <v>0</v>
      </c>
      <c r="V74" s="126">
        <f>+GETPIVOTDATA("Grand Total FTE - Old",'FTE Pivot for regular counts'!$A$2,"State","DE","Category",6,"Category2","Four-Year")</f>
        <v>0</v>
      </c>
      <c r="W74" s="126">
        <f>+GETPIVOTDATA("Grand Total FTE - Old",'FTE Pivot for regular counts'!$A$2,"State","DE","Category2","Four-Year")</f>
        <v>23455.125</v>
      </c>
      <c r="X74" s="1" t="s">
        <v>102</v>
      </c>
    </row>
    <row r="75" spans="1:24" ht="15" customHeight="1">
      <c r="A75" s="1" t="s">
        <v>67</v>
      </c>
      <c r="B75" s="33">
        <f>+'NEW-Tables 80-86'!B14+'NEW-Tables 80-86'!B44</f>
        <v>223426.89166666666</v>
      </c>
      <c r="C75" s="33">
        <f>+'NEW-Tables 80-86'!D14+'NEW-Tables 80-86'!C44</f>
        <v>23872.583333333336</v>
      </c>
      <c r="D75" s="33">
        <f>+'NEW-Tables 80-86'!F14+'NEW-Tables 80-86'!D44</f>
        <v>36164.337499999994</v>
      </c>
      <c r="E75" s="33">
        <f>+'NEW-Tables 80-86'!H14+'NEW-Tables 80-86'!E44</f>
        <v>11085.408333333333</v>
      </c>
      <c r="F75" s="33">
        <f>+'NEW-Tables 80-86'!J14+'NEW-Tables 80-86'!F44</f>
        <v>0</v>
      </c>
      <c r="G75" s="12">
        <f>+'NEW-Tables 80-86'!L14+'NEW-Tables 80-86'!G44</f>
        <v>950.66666666666663</v>
      </c>
      <c r="H75" s="113">
        <f>+'NEW-Tables 80-86'!N14+'NEW-Tables 80-86'!H44</f>
        <v>295499.88749999995</v>
      </c>
      <c r="Q75" s="126">
        <f>+GETPIVOTDATA("Grand Total FTE - Old",'FTE Pivot for regular counts'!$A$2,"State","FL","Category",1,"Category2","Four-Year")</f>
        <v>221444.49166666664</v>
      </c>
      <c r="R75" s="126">
        <f>+GETPIVOTDATA("Grand Total FTE - Old",'FTE Pivot for regular counts'!$A$2,"State","FL","Category",2,"Category2","Four-Year")</f>
        <v>23262.483333333334</v>
      </c>
      <c r="S75" s="126">
        <f>+GETPIVOTDATA("Grand Total FTE - Old",'FTE Pivot for regular counts'!$A$2,"State","FL","Category",3,"Category2","Four-Year")</f>
        <v>36853.9</v>
      </c>
      <c r="T75" s="126">
        <f>+GETPIVOTDATA("Grand Total FTE - Old",'FTE Pivot for regular counts'!$A$2,"State","FL","Category",4,"Category2","Four-Year")</f>
        <v>10617.225</v>
      </c>
      <c r="U75" s="126">
        <f>+GETPIVOTDATA("Grand Total FTE - Old",'FTE Pivot for regular counts'!$A$2,"State","FL","Category",5,"Category2","Four-Year")</f>
        <v>0</v>
      </c>
      <c r="V75" s="126">
        <f>+GETPIVOTDATA("Grand Total FTE - Old",'FTE Pivot for regular counts'!$A$2,"State","FL","Category",6,"Category2","Four-Year")</f>
        <v>940.26666666666665</v>
      </c>
      <c r="W75" s="126">
        <f>+GETPIVOTDATA("Grand Total FTE - Old",'FTE Pivot for regular counts'!$A$2,"State","FL","Category2","Four-Year")</f>
        <v>293118.36666666664</v>
      </c>
      <c r="X75" s="1" t="s">
        <v>67</v>
      </c>
    </row>
    <row r="76" spans="1:24" ht="15" customHeight="1">
      <c r="B76" s="33"/>
      <c r="C76" s="33"/>
      <c r="D76" s="33"/>
      <c r="E76" s="33"/>
      <c r="F76" s="33"/>
      <c r="G76" s="12"/>
      <c r="H76" s="113"/>
      <c r="Q76" s="126"/>
      <c r="R76" s="126"/>
      <c r="S76" s="126"/>
      <c r="T76" s="126"/>
      <c r="U76" s="126"/>
      <c r="V76" s="126"/>
      <c r="W76" s="126"/>
    </row>
    <row r="77" spans="1:24" ht="15" customHeight="1">
      <c r="A77" s="1" t="s">
        <v>68</v>
      </c>
      <c r="B77" s="33">
        <f>+'NEW-Tables 80-86'!B16+'NEW-Tables 80-86'!B46</f>
        <v>66344.78</v>
      </c>
      <c r="C77" s="33">
        <f>+'NEW-Tables 80-86'!D16+'NEW-Tables 80-86'!C46</f>
        <v>23886.579166666666</v>
      </c>
      <c r="D77" s="33">
        <f>+'NEW-Tables 80-86'!F16+'NEW-Tables 80-86'!D46</f>
        <v>40727.674999999996</v>
      </c>
      <c r="E77" s="33">
        <f>+'NEW-Tables 80-86'!H16+'NEW-Tables 80-86'!E46</f>
        <v>56176.991666666661</v>
      </c>
      <c r="F77" s="33">
        <f>+'NEW-Tables 80-86'!J16+'NEW-Tables 80-86'!F46</f>
        <v>16035.800000000001</v>
      </c>
      <c r="G77" s="12">
        <f>+'NEW-Tables 80-86'!L16+'NEW-Tables 80-86'!G46</f>
        <v>12132.766666666666</v>
      </c>
      <c r="H77" s="113">
        <f>+'NEW-Tables 80-86'!N16+'NEW-Tables 80-86'!H46</f>
        <v>215304.5925</v>
      </c>
      <c r="Q77" s="126">
        <f>+GETPIVOTDATA("Grand Total FTE - Old",'FTE Pivot for regular counts'!$A$2,"State","GA","Category",1,"Category2","Four-Year")</f>
        <v>66231.632500000007</v>
      </c>
      <c r="R77" s="126">
        <f>+GETPIVOTDATA("Grand Total FTE - Old",'FTE Pivot for regular counts'!$A$2,"State","GA","Category",2,"Category2","Four-Year")</f>
        <v>23532.5</v>
      </c>
      <c r="S77" s="126">
        <f>+GETPIVOTDATA("Grand Total FTE - Old",'FTE Pivot for regular counts'!$A$2,"State","GA","Category",3,"Category2","Four-Year")</f>
        <v>40907.941666666666</v>
      </c>
      <c r="T77" s="126">
        <f>+GETPIVOTDATA("Grand Total FTE - Old",'FTE Pivot for regular counts'!$A$2,"State","GA","Category",4,"Category2","Four-Year")</f>
        <v>56974.459166666667</v>
      </c>
      <c r="U77" s="126">
        <f>+GETPIVOTDATA("Grand Total FTE - Old",'FTE Pivot for regular counts'!$A$2,"State","GA","Category",5,"Category2","Four-Year")</f>
        <v>16366.608333333334</v>
      </c>
      <c r="V77" s="126">
        <f>+GETPIVOTDATA("Grand Total FTE - Old",'FTE Pivot for regular counts'!$A$2,"State","GA","Category",6,"Category2","Four-Year")</f>
        <v>10833.400000000001</v>
      </c>
      <c r="W77" s="126">
        <f>+GETPIVOTDATA("Grand Total FTE - Old",'FTE Pivot for regular counts'!$A$2,"State","GA","Category2","Four-Year")</f>
        <v>214846.54166666666</v>
      </c>
      <c r="X77" s="1" t="s">
        <v>68</v>
      </c>
    </row>
    <row r="78" spans="1:24" ht="15" customHeight="1">
      <c r="A78" s="1" t="s">
        <v>69</v>
      </c>
      <c r="B78" s="33">
        <f>+'NEW-Tables 80-86'!B17+'NEW-Tables 80-86'!B47</f>
        <v>39001.558333333334</v>
      </c>
      <c r="C78" s="33">
        <f>+'NEW-Tables 80-86'!D17+'NEW-Tables 80-86'!C47</f>
        <v>0</v>
      </c>
      <c r="D78" s="33">
        <f>+'NEW-Tables 80-86'!F17+'NEW-Tables 80-86'!D47</f>
        <v>47130.55</v>
      </c>
      <c r="E78" s="33">
        <f>+'NEW-Tables 80-86'!H17+'NEW-Tables 80-86'!E47</f>
        <v>14897.941666666666</v>
      </c>
      <c r="F78" s="33">
        <f>+'NEW-Tables 80-86'!J17+'NEW-Tables 80-86'!F47</f>
        <v>0</v>
      </c>
      <c r="G78" s="12">
        <f>+'NEW-Tables 80-86'!L17+'NEW-Tables 80-86'!G47</f>
        <v>0</v>
      </c>
      <c r="H78" s="113">
        <f>+'NEW-Tables 80-86'!N17+'NEW-Tables 80-86'!H47</f>
        <v>101030.04999999999</v>
      </c>
      <c r="Q78" s="126">
        <f>+GETPIVOTDATA("Grand Total FTE - Old",'FTE Pivot for regular counts'!$A$2,"State","KY","Category",1,"Category2","Four-Year")</f>
        <v>38591.800000000003</v>
      </c>
      <c r="R78" s="126">
        <f>+GETPIVOTDATA("Grand Total FTE - Old",'FTE Pivot for regular counts'!$A$2,"State","KY","Category",2,"Category2","Four-Year")</f>
        <v>0</v>
      </c>
      <c r="S78" s="126">
        <f>+GETPIVOTDATA("Grand Total FTE - Old",'FTE Pivot for regular counts'!$A$2,"State","KY","Category",3,"Category2","Four-Year")</f>
        <v>47138.858333333337</v>
      </c>
      <c r="T78" s="126">
        <f>+GETPIVOTDATA("Grand Total FTE - Old",'FTE Pivot for regular counts'!$A$2,"State","KY","Category",4,"Category2","Four-Year")</f>
        <v>15172.033333333333</v>
      </c>
      <c r="U78" s="126">
        <f>+GETPIVOTDATA("Grand Total FTE - Old",'FTE Pivot for regular counts'!$A$2,"State","KY","Category",5,"Category2","Four-Year")</f>
        <v>0</v>
      </c>
      <c r="V78" s="126">
        <f>+GETPIVOTDATA("Grand Total FTE - Old",'FTE Pivot for regular counts'!$A$2,"State","KY","Category",6,"Category2","Four-Year")</f>
        <v>0</v>
      </c>
      <c r="W78" s="126">
        <f>+GETPIVOTDATA("Grand Total FTE - Old",'FTE Pivot for regular counts'!$A$2,"State","KY","Category2","Four-Year")</f>
        <v>100902.69166666668</v>
      </c>
      <c r="X78" s="1" t="s">
        <v>69</v>
      </c>
    </row>
    <row r="79" spans="1:24" ht="15" customHeight="1">
      <c r="A79" s="1" t="s">
        <v>70</v>
      </c>
      <c r="B79" s="33">
        <f>+'NEW-Tables 80-86'!B18+'NEW-Tables 80-86'!B48</f>
        <v>29021.816666666669</v>
      </c>
      <c r="C79" s="33">
        <f>+'NEW-Tables 80-86'!D18+'NEW-Tables 80-86'!C48</f>
        <v>32201.183333333331</v>
      </c>
      <c r="D79" s="33">
        <f>+'NEW-Tables 80-86'!F18+'NEW-Tables 80-86'!D48</f>
        <v>27357.591666666664</v>
      </c>
      <c r="E79" s="33">
        <f>+'NEW-Tables 80-86'!H18+'NEW-Tables 80-86'!E48</f>
        <v>32328.074999999997</v>
      </c>
      <c r="F79" s="33">
        <f>+'NEW-Tables 80-86'!J18+'NEW-Tables 80-86'!F48</f>
        <v>0</v>
      </c>
      <c r="G79" s="12">
        <f>+'NEW-Tables 80-86'!L18+'NEW-Tables 80-86'!G48</f>
        <v>1724.3</v>
      </c>
      <c r="H79" s="113">
        <f>+'NEW-Tables 80-86'!N18+'NEW-Tables 80-86'!H48</f>
        <v>122632.96666666667</v>
      </c>
      <c r="Q79" s="126">
        <f>+GETPIVOTDATA("Grand Total FTE - Old",'FTE Pivot for regular counts'!$A$2,"State","LA","Category",1,"Category2","Four-Year")</f>
        <v>29202.274999999998</v>
      </c>
      <c r="R79" s="126">
        <f>+GETPIVOTDATA("Grand Total FTE - Old",'FTE Pivot for regular counts'!$A$2,"State","LA","Category",2,"Category2","Four-Year")</f>
        <v>33007.25</v>
      </c>
      <c r="S79" s="126">
        <f>+GETPIVOTDATA("Grand Total FTE - Old",'FTE Pivot for regular counts'!$A$2,"State","LA","Category",3,"Category2","Four-Year")</f>
        <v>28523.408333333333</v>
      </c>
      <c r="T79" s="126">
        <f>+GETPIVOTDATA("Grand Total FTE - Old",'FTE Pivot for regular counts'!$A$2,"State","LA","Category",4,"Category2","Four-Year")</f>
        <v>33287.708333333328</v>
      </c>
      <c r="U79" s="126">
        <f>+GETPIVOTDATA("Grand Total FTE - Old",'FTE Pivot for regular counts'!$A$2,"State","LA","Category",5,"Category2","Four-Year")</f>
        <v>0</v>
      </c>
      <c r="V79" s="126">
        <f>+GETPIVOTDATA("Grand Total FTE - Old",'FTE Pivot for regular counts'!$A$2,"State","LA","Category",6,"Category2","Four-Year")</f>
        <v>1861.8</v>
      </c>
      <c r="W79" s="126">
        <f>+GETPIVOTDATA("Grand Total FTE - Old",'FTE Pivot for regular counts'!$A$2,"State","LA","Category2","Four-Year")</f>
        <v>125882.44166666665</v>
      </c>
      <c r="X79" s="1" t="s">
        <v>70</v>
      </c>
    </row>
    <row r="80" spans="1:24" ht="15" customHeight="1">
      <c r="A80" s="1" t="s">
        <v>71</v>
      </c>
      <c r="B80" s="33">
        <f>+'NEW-Tables 80-86'!B19+'NEW-Tables 80-86'!B49</f>
        <v>32984.25</v>
      </c>
      <c r="C80" s="33">
        <f>+'NEW-Tables 80-86'!D19+'NEW-Tables 80-86'!C49</f>
        <v>18814.833333333332</v>
      </c>
      <c r="D80" s="33">
        <f>+'NEW-Tables 80-86'!F19+'NEW-Tables 80-86'!D49</f>
        <v>19576.7</v>
      </c>
      <c r="E80" s="33">
        <f>+'NEW-Tables 80-86'!H19+'NEW-Tables 80-86'!E49</f>
        <v>27107.75</v>
      </c>
      <c r="F80" s="33">
        <f>+'NEW-Tables 80-86'!J19+'NEW-Tables 80-86'!F49</f>
        <v>3117.4749999999999</v>
      </c>
      <c r="G80" s="12">
        <f>+'NEW-Tables 80-86'!L19+'NEW-Tables 80-86'!G49</f>
        <v>2169.4416666666666</v>
      </c>
      <c r="H80" s="113">
        <f>+'NEW-Tables 80-86'!N19+'NEW-Tables 80-86'!H49</f>
        <v>103770.45000000001</v>
      </c>
      <c r="Q80" s="126">
        <f>+GETPIVOTDATA("Grand Total FTE - Old",'FTE Pivot for regular counts'!$A$2,"State","MD","Category",1,"Category2","Four-Year")</f>
        <v>33284.341666666667</v>
      </c>
      <c r="R80" s="126">
        <f>+GETPIVOTDATA("Grand Total FTE - Old",'FTE Pivot for regular counts'!$A$2,"State","MD","Category",2,"Category2","Four-Year")</f>
        <v>18565.808333333334</v>
      </c>
      <c r="S80" s="126">
        <f>+GETPIVOTDATA("Grand Total FTE - Old",'FTE Pivot for regular counts'!$A$2,"State","MD","Category",3,"Category2","Four-Year")</f>
        <v>19273.508333333335</v>
      </c>
      <c r="T80" s="126">
        <f>+GETPIVOTDATA("Grand Total FTE - Old",'FTE Pivot for regular counts'!$A$2,"State","MD","Category",4,"Category2","Four-Year")</f>
        <v>27109.974999999999</v>
      </c>
      <c r="U80" s="126">
        <f>+GETPIVOTDATA("Grand Total FTE - Old",'FTE Pivot for regular counts'!$A$2,"State","MD","Category",5,"Category2","Four-Year")</f>
        <v>3338.65</v>
      </c>
      <c r="V80" s="126">
        <f>+GETPIVOTDATA("Grand Total FTE - Old",'FTE Pivot for regular counts'!$A$2,"State","MD","Category",6,"Category2","Four-Year")</f>
        <v>2237.4583333333335</v>
      </c>
      <c r="W80" s="126">
        <f>+GETPIVOTDATA("Grand Total FTE - Old",'FTE Pivot for regular counts'!$A$2,"State","MD","Category2","Four-Year")</f>
        <v>103809.74166666665</v>
      </c>
      <c r="X80" s="1" t="s">
        <v>71</v>
      </c>
    </row>
    <row r="81" spans="1:26" ht="15" customHeight="1">
      <c r="B81" s="33"/>
      <c r="C81" s="33"/>
      <c r="D81" s="33"/>
      <c r="E81" s="33"/>
      <c r="F81" s="33"/>
      <c r="G81" s="12"/>
      <c r="H81" s="113"/>
      <c r="Q81" s="126"/>
      <c r="R81" s="126"/>
      <c r="S81" s="126"/>
      <c r="T81" s="126"/>
      <c r="U81" s="126"/>
      <c r="V81" s="126"/>
      <c r="W81" s="126"/>
    </row>
    <row r="82" spans="1:26" ht="15" customHeight="1">
      <c r="A82" s="1" t="s">
        <v>72</v>
      </c>
      <c r="B82" s="33">
        <f>+'NEW-Tables 80-86'!B21+'NEW-Tables 80-86'!B51</f>
        <v>31555.833333333336</v>
      </c>
      <c r="C82" s="33">
        <f>+'NEW-Tables 80-86'!D21+'NEW-Tables 80-86'!C51</f>
        <v>24769.533333333333</v>
      </c>
      <c r="D82" s="33">
        <f>+'NEW-Tables 80-86'!F21+'NEW-Tables 80-86'!D51</f>
        <v>0</v>
      </c>
      <c r="E82" s="33">
        <f>+'NEW-Tables 80-86'!H21+'NEW-Tables 80-86'!E51</f>
        <v>9117.0083333333332</v>
      </c>
      <c r="F82" s="33">
        <f>+'NEW-Tables 80-86'!J21+'NEW-Tables 80-86'!F51</f>
        <v>2439.5500000000002</v>
      </c>
      <c r="G82" s="12">
        <f>+'NEW-Tables 80-86'!L21+'NEW-Tables 80-86'!G51</f>
        <v>0</v>
      </c>
      <c r="H82" s="113">
        <f>+'NEW-Tables 80-86'!N21+'NEW-Tables 80-86'!H51</f>
        <v>67881.925000000003</v>
      </c>
      <c r="Q82" s="126">
        <f>+GETPIVOTDATA("Grand Total FTE - Old",'FTE Pivot for regular counts'!$A$2,"State","MS","Category",1,"Category2","Four-Year")</f>
        <v>31479.433333333334</v>
      </c>
      <c r="R82" s="126">
        <f>+GETPIVOTDATA("Grand Total FTE - Old",'FTE Pivot for regular counts'!$A$2,"State","MS","Category",2,"Category2","Four-Year")</f>
        <v>24348.850000000002</v>
      </c>
      <c r="S82" s="126">
        <f>+GETPIVOTDATA("Grand Total FTE - Old",'FTE Pivot for regular counts'!$A$2,"State","MS","Category",3,"Category2","Four-Year")</f>
        <v>0</v>
      </c>
      <c r="T82" s="126">
        <f>+GETPIVOTDATA("Grand Total FTE - Old",'FTE Pivot for regular counts'!$A$2,"State","MS","Category",4,"Category2","Four-Year")</f>
        <v>9475.3583333333336</v>
      </c>
      <c r="U82" s="126">
        <f>+GETPIVOTDATA("Grand Total FTE - Old",'FTE Pivot for regular counts'!$A$2,"State","MS","Category",5,"Category2","Four-Year")</f>
        <v>2431.6333333333332</v>
      </c>
      <c r="V82" s="126">
        <f>+GETPIVOTDATA("Grand Total FTE - Old",'FTE Pivot for regular counts'!$A$2,"State","MS","Category",6,"Category2","Four-Year")</f>
        <v>0</v>
      </c>
      <c r="W82" s="126">
        <f>+GETPIVOTDATA("Grand Total FTE - Old",'FTE Pivot for regular counts'!$A$2,"State","MS","Category2","Four-Year")</f>
        <v>67735.275000000009</v>
      </c>
      <c r="X82" s="1" t="s">
        <v>72</v>
      </c>
    </row>
    <row r="83" spans="1:26" ht="15" customHeight="1">
      <c r="A83" s="1" t="s">
        <v>73</v>
      </c>
      <c r="B83" s="33">
        <f>+'NEW-Tables 80-86'!B22+'NEW-Tables 80-86'!B52</f>
        <v>71298.941666666666</v>
      </c>
      <c r="C83" s="33">
        <f>+'NEW-Tables 80-86'!D22+'NEW-Tables 80-86'!C52</f>
        <v>45222.816666666666</v>
      </c>
      <c r="D83" s="33">
        <f>+'NEW-Tables 80-86'!F22+'NEW-Tables 80-86'!D52</f>
        <v>56682.5</v>
      </c>
      <c r="E83" s="33">
        <f>+'NEW-Tables 80-86'!H22+'NEW-Tables 80-86'!E52</f>
        <v>5434.5666666666666</v>
      </c>
      <c r="F83" s="33">
        <f>+'NEW-Tables 80-86'!J22+'NEW-Tables 80-86'!F52</f>
        <v>11212.55</v>
      </c>
      <c r="G83" s="12">
        <f>+'NEW-Tables 80-86'!L22+'NEW-Tables 80-86'!G52</f>
        <v>6191.6750000000002</v>
      </c>
      <c r="H83" s="113">
        <f>+'NEW-Tables 80-86'!N22+'NEW-Tables 80-86'!H52</f>
        <v>196043.05</v>
      </c>
      <c r="Q83" s="126">
        <f>+GETPIVOTDATA("Grand Total FTE - Old",'FTE Pivot for regular counts'!$A$2,"State","NC","Category",1,"Category2","Four-Year")</f>
        <v>72143.024999999994</v>
      </c>
      <c r="R83" s="126">
        <f>+GETPIVOTDATA("Grand Total FTE - Old",'FTE Pivot for regular counts'!$A$2,"State","NC","Category",2,"Category2","Four-Year")</f>
        <v>46107.183333333334</v>
      </c>
      <c r="S83" s="126">
        <f>+GETPIVOTDATA("Grand Total FTE - Old",'FTE Pivot for regular counts'!$A$2,"State","NC","Category",3,"Category2","Four-Year")</f>
        <v>56505.933333333334</v>
      </c>
      <c r="T83" s="126">
        <f>+GETPIVOTDATA("Grand Total FTE - Old",'FTE Pivot for regular counts'!$A$2,"State","NC","Category",4,"Category2","Four-Year")</f>
        <v>5398.0666666666666</v>
      </c>
      <c r="U83" s="126">
        <f>+GETPIVOTDATA("Grand Total FTE - Old",'FTE Pivot for regular counts'!$A$2,"State","NC","Category",5,"Category2","Four-Year")</f>
        <v>11923.4</v>
      </c>
      <c r="V83" s="126">
        <f>+GETPIVOTDATA("Grand Total FTE - Old",'FTE Pivot for regular counts'!$A$2,"State","NC","Category",6,"Category2","Four-Year")</f>
        <v>6641.0666666666675</v>
      </c>
      <c r="W83" s="126">
        <f>+GETPIVOTDATA("Grand Total FTE - Old",'FTE Pivot for regular counts'!$A$2,"State","NC","Category2","Four-Year")</f>
        <v>198718.67500000002</v>
      </c>
      <c r="X83" s="1" t="s">
        <v>73</v>
      </c>
    </row>
    <row r="84" spans="1:26" ht="15" customHeight="1">
      <c r="A84" s="1" t="s">
        <v>74</v>
      </c>
      <c r="B84" s="33">
        <f>+'NEW-Tables 80-86'!B23+'NEW-Tables 80-86'!B53</f>
        <v>44233.675000000003</v>
      </c>
      <c r="C84" s="33">
        <f>+'NEW-Tables 80-86'!D23+'NEW-Tables 80-86'!C53</f>
        <v>0</v>
      </c>
      <c r="D84" s="33">
        <f>+'NEW-Tables 80-86'!F23+'NEW-Tables 80-86'!D53</f>
        <v>20817.816666666666</v>
      </c>
      <c r="E84" s="33">
        <f>+'NEW-Tables 80-86'!H23+'NEW-Tables 80-86'!E53</f>
        <v>3418.5749999999998</v>
      </c>
      <c r="F84" s="33">
        <f>+'NEW-Tables 80-86'!J23+'NEW-Tables 80-86'!F53</f>
        <v>17540.033333333333</v>
      </c>
      <c r="G84" s="12">
        <f>+'NEW-Tables 80-86'!L23+'NEW-Tables 80-86'!G53</f>
        <v>6500.6</v>
      </c>
      <c r="H84" s="113">
        <f>+'NEW-Tables 80-86'!N23+'NEW-Tables 80-86'!H53</f>
        <v>92510.700000000012</v>
      </c>
      <c r="Q84" s="126">
        <f>+GETPIVOTDATA("Grand Total FTE - Old",'FTE Pivot for regular counts'!$A$2,"State","OK","Category",1,"Category2","Four-Year")</f>
        <v>46376.341666666667</v>
      </c>
      <c r="R84" s="126">
        <f>+GETPIVOTDATA("Grand Total FTE - Old",'FTE Pivot for regular counts'!$A$2,"State","OK","Category",2,"Category2","Four-Year")</f>
        <v>0</v>
      </c>
      <c r="S84" s="126">
        <f>+GETPIVOTDATA("Grand Total FTE - Old",'FTE Pivot for regular counts'!$A$2,"State","OK","Category",3,"Category2","Four-Year")</f>
        <v>21518.025000000001</v>
      </c>
      <c r="T84" s="126">
        <f>+GETPIVOTDATA("Grand Total FTE - Old",'FTE Pivot for regular counts'!$A$2,"State","OK","Category",4,"Category2","Four-Year")</f>
        <v>3520.125</v>
      </c>
      <c r="U84" s="126">
        <f>+GETPIVOTDATA("Grand Total FTE - Old",'FTE Pivot for regular counts'!$A$2,"State","OK","Category",5,"Category2","Four-Year")</f>
        <v>18376.233333333334</v>
      </c>
      <c r="V84" s="126">
        <f>+GETPIVOTDATA("Grand Total FTE - Old",'FTE Pivot for regular counts'!$A$2,"State","OK","Category",6,"Category2","Four-Year")</f>
        <v>5744.1</v>
      </c>
      <c r="W84" s="126">
        <f>+GETPIVOTDATA("Grand Total FTE - Old",'FTE Pivot for regular counts'!$A$2,"State","OK","Category2","Four-Year")</f>
        <v>95534.825000000012</v>
      </c>
      <c r="X84" s="1" t="s">
        <v>74</v>
      </c>
    </row>
    <row r="85" spans="1:26" ht="15" customHeight="1">
      <c r="A85" s="1" t="s">
        <v>75</v>
      </c>
      <c r="B85" s="33">
        <f>+'NEW-Tables 80-86'!B24+'NEW-Tables 80-86'!B54</f>
        <v>47437.758333333339</v>
      </c>
      <c r="C85" s="33">
        <f>+'NEW-Tables 80-86'!D24+'NEW-Tables 80-86'!C54</f>
        <v>0</v>
      </c>
      <c r="D85" s="33">
        <f>+'NEW-Tables 80-86'!F24+'NEW-Tables 80-86'!D54</f>
        <v>16556.704166666666</v>
      </c>
      <c r="E85" s="33">
        <f>+'NEW-Tables 80-86'!H24+'NEW-Tables 80-86'!E54</f>
        <v>3604.9583333333335</v>
      </c>
      <c r="F85" s="33">
        <f>+'NEW-Tables 80-86'!J24+'NEW-Tables 80-86'!F54</f>
        <v>16275.333333333334</v>
      </c>
      <c r="G85" s="12">
        <f>+'NEW-Tables 80-86'!L24+'NEW-Tables 80-86'!G54</f>
        <v>12320.841999999999</v>
      </c>
      <c r="H85" s="113">
        <f>+'NEW-Tables 80-86'!N24+'NEW-Tables 80-86'!H54</f>
        <v>96195.59616666667</v>
      </c>
      <c r="Q85" s="126">
        <f>+GETPIVOTDATA("Grand Total FTE - Old",'FTE Pivot for regular counts'!$A$2,"State","SC","Category",1,"Category2","Four-Year")</f>
        <v>46084.175000000003</v>
      </c>
      <c r="R85" s="126">
        <f>+GETPIVOTDATA("Grand Total FTE - Old",'FTE Pivot for regular counts'!$A$2,"State","SC","Category",2,"Category2","Four-Year")</f>
        <v>0</v>
      </c>
      <c r="S85" s="126">
        <f>+GETPIVOTDATA("Grand Total FTE - Old",'FTE Pivot for regular counts'!$A$2,"State","SC","Category",3,"Category2","Four-Year")</f>
        <v>16328.766666666666</v>
      </c>
      <c r="T85" s="126">
        <f>+GETPIVOTDATA("Grand Total FTE - Old",'FTE Pivot for regular counts'!$A$2,"State","SC","Category",4,"Category2","Four-Year")</f>
        <v>3577.1833333333334</v>
      </c>
      <c r="U85" s="126">
        <f>+GETPIVOTDATA("Grand Total FTE - Old",'FTE Pivot for regular counts'!$A$2,"State","SC","Category",5,"Category2","Four-Year")</f>
        <v>16521.908333333333</v>
      </c>
      <c r="V85" s="126">
        <f>+GETPIVOTDATA("Grand Total FTE - Old",'FTE Pivot for regular counts'!$A$2,"State","SC","Category",6,"Category2","Four-Year")</f>
        <v>12438.141666666666</v>
      </c>
      <c r="W85" s="126">
        <f>+GETPIVOTDATA("Grand Total FTE - Old",'FTE Pivot for regular counts'!$A$2,"State","SC","Category2","Four-Year")</f>
        <v>94950.174999999988</v>
      </c>
      <c r="X85" s="1" t="s">
        <v>75</v>
      </c>
    </row>
    <row r="86" spans="1:26" ht="15" customHeight="1">
      <c r="B86" s="33"/>
      <c r="C86" s="33"/>
      <c r="D86" s="33"/>
      <c r="E86" s="33"/>
      <c r="F86" s="33"/>
      <c r="G86" s="12"/>
      <c r="H86" s="113"/>
      <c r="Q86" s="126"/>
      <c r="R86" s="126"/>
      <c r="S86" s="126"/>
      <c r="T86" s="126"/>
      <c r="U86" s="126"/>
      <c r="V86" s="126"/>
      <c r="W86" s="126"/>
    </row>
    <row r="87" spans="1:26" ht="15" customHeight="1">
      <c r="A87" s="1" t="s">
        <v>76</v>
      </c>
      <c r="B87" s="33">
        <f>+'NEW-Tables 80-86'!B26+'NEW-Tables 80-86'!B56</f>
        <v>42928.941666666666</v>
      </c>
      <c r="C87" s="33">
        <f>+'NEW-Tables 80-86'!D26+'NEW-Tables 80-86'!C56</f>
        <v>7496.25</v>
      </c>
      <c r="D87" s="33">
        <f>+'NEW-Tables 80-86'!F26+'NEW-Tables 80-86'!D56</f>
        <v>64306.35833333333</v>
      </c>
      <c r="E87" s="33">
        <f>+'NEW-Tables 80-86'!H26+'NEW-Tables 80-86'!E56</f>
        <v>0</v>
      </c>
      <c r="F87" s="33">
        <f>+'NEW-Tables 80-86'!J26+'NEW-Tables 80-86'!F56</f>
        <v>7038.8416666666672</v>
      </c>
      <c r="G87" s="12">
        <f>+'NEW-Tables 80-86'!L26+'NEW-Tables 80-86'!G56</f>
        <v>0</v>
      </c>
      <c r="H87" s="113">
        <f>+'NEW-Tables 80-86'!N26+'NEW-Tables 80-86'!H56</f>
        <v>121770.39166666666</v>
      </c>
      <c r="Q87" s="126">
        <f>+GETPIVOTDATA("Grand Total FTE - Old",'FTE Pivot for regular counts'!$A$2,"State","TN","Category",1,"Category2","Four-Year")</f>
        <v>42877.808333333334</v>
      </c>
      <c r="R87" s="126">
        <f>+GETPIVOTDATA("Grand Total FTE - Old",'FTE Pivot for regular counts'!$A$2,"State","TN","Category",2,"Category2","Four-Year")</f>
        <v>7687.5249999999996</v>
      </c>
      <c r="S87" s="126">
        <f>+GETPIVOTDATA("Grand Total FTE - Old",'FTE Pivot for regular counts'!$A$2,"State","TN","Category",3,"Category2","Four-Year")</f>
        <v>64219.083333333336</v>
      </c>
      <c r="T87" s="126">
        <f>+GETPIVOTDATA("Grand Total FTE - Old",'FTE Pivot for regular counts'!$A$2,"State","TN","Category",4,"Category2","Four-Year")</f>
        <v>0</v>
      </c>
      <c r="U87" s="126">
        <f>+GETPIVOTDATA("Grand Total FTE - Old",'FTE Pivot for regular counts'!$A$2,"State","TN","Category",5,"Category2","Four-Year")</f>
        <v>7225.6749999999993</v>
      </c>
      <c r="V87" s="126">
        <f>+GETPIVOTDATA("Grand Total FTE - Old",'FTE Pivot for regular counts'!$A$2,"State","TN","Category",6,"Category2","Four-Year")</f>
        <v>0</v>
      </c>
      <c r="W87" s="126">
        <f>+GETPIVOTDATA("Grand Total FTE - Old",'FTE Pivot for regular counts'!$A$2,"State","TN","Category2","Four-Year")</f>
        <v>122010.09166666667</v>
      </c>
      <c r="X87" s="1" t="s">
        <v>76</v>
      </c>
    </row>
    <row r="88" spans="1:26" ht="15" customHeight="1">
      <c r="A88" s="1" t="s">
        <v>77</v>
      </c>
      <c r="B88" s="33">
        <f>+'NEW-Tables 80-86'!B27+'NEW-Tables 80-86'!B57</f>
        <v>224870.64166666666</v>
      </c>
      <c r="C88" s="33">
        <f>+'NEW-Tables 80-86'!D27+'NEW-Tables 80-86'!C57</f>
        <v>53840.566666666666</v>
      </c>
      <c r="D88" s="33">
        <f>+'NEW-Tables 80-86'!F27+'NEW-Tables 80-86'!D57</f>
        <v>173375.21666666667</v>
      </c>
      <c r="E88" s="33">
        <f>+'NEW-Tables 80-86'!H27+'NEW-Tables 80-86'!E57</f>
        <v>6140.3416666666662</v>
      </c>
      <c r="F88" s="33">
        <f>+'NEW-Tables 80-86'!J27+'NEW-Tables 80-86'!F57</f>
        <v>12706.216666666667</v>
      </c>
      <c r="G88" s="12">
        <f>+'NEW-Tables 80-86'!L27+'NEW-Tables 80-86'!G57</f>
        <v>1862.5</v>
      </c>
      <c r="H88" s="113">
        <f>+'NEW-Tables 80-86'!N27+'NEW-Tables 80-86'!H57</f>
        <v>472795.4833333334</v>
      </c>
      <c r="Q88" s="126">
        <f>+GETPIVOTDATA("Grand Total FTE - Old",'FTE Pivot for regular counts'!$A$2,"State","TX","Category",1,"Category2","Four-Year")</f>
        <v>222420.89999999997</v>
      </c>
      <c r="R88" s="126">
        <f>+GETPIVOTDATA("Grand Total FTE - Old",'FTE Pivot for regular counts'!$A$2,"State","TX","Category",2,"Category2","Four-Year")</f>
        <v>54080.675000000003</v>
      </c>
      <c r="S88" s="126">
        <f>+GETPIVOTDATA("Grand Total FTE - Old",'FTE Pivot for regular counts'!$A$2,"State","TX","Category",3,"Category2","Four-Year")</f>
        <v>170417.81666666668</v>
      </c>
      <c r="T88" s="126">
        <f>+GETPIVOTDATA("Grand Total FTE - Old",'FTE Pivot for regular counts'!$A$2,"State","TX","Category",4,"Category2","Four-Year")</f>
        <v>6000.7416666666668</v>
      </c>
      <c r="U88" s="126">
        <f>+GETPIVOTDATA("Grand Total FTE - Old",'FTE Pivot for regular counts'!$A$2,"State","TX","Category",5,"Category2","Four-Year")</f>
        <v>12144.550000000001</v>
      </c>
      <c r="V88" s="126">
        <f>+GETPIVOTDATA("Grand Total FTE - Old",'FTE Pivot for regular counts'!$A$2,"State","TX","Category",6,"Category2","Four-Year")</f>
        <v>1855.9916666666666</v>
      </c>
      <c r="W88" s="126">
        <f>+GETPIVOTDATA("Grand Total FTE - Old",'FTE Pivot for regular counts'!$A$2,"State","TX","Category2","Four-Year")</f>
        <v>466920.67499999987</v>
      </c>
      <c r="X88" s="1" t="s">
        <v>77</v>
      </c>
    </row>
    <row r="89" spans="1:26" ht="15" customHeight="1">
      <c r="A89" s="1" t="s">
        <v>78</v>
      </c>
      <c r="B89" s="33">
        <f>+'NEW-Tables 80-86'!B28+'NEW-Tables 80-86'!B58</f>
        <v>101740.42916666667</v>
      </c>
      <c r="C89" s="33">
        <f>+'NEW-Tables 80-86'!D28+'NEW-Tables 80-86'!C58</f>
        <v>36086.054166666669</v>
      </c>
      <c r="D89" s="33">
        <f>+'NEW-Tables 80-86'!F28+'NEW-Tables 80-86'!D58</f>
        <v>25649.45</v>
      </c>
      <c r="E89" s="33">
        <f>+'NEW-Tables 80-86'!H28+'NEW-Tables 80-86'!E58</f>
        <v>19712.258333333335</v>
      </c>
      <c r="F89" s="33">
        <f>+'NEW-Tables 80-86'!J28+'NEW-Tables 80-86'!F58</f>
        <v>9572.5166666666682</v>
      </c>
      <c r="G89" s="12">
        <f>+'NEW-Tables 80-86'!L28+'NEW-Tables 80-86'!G58</f>
        <v>1794.5666666666666</v>
      </c>
      <c r="H89" s="113">
        <f>+'NEW-Tables 80-86'!N28+'NEW-Tables 80-86'!H58</f>
        <v>194555.27500000002</v>
      </c>
      <c r="Q89" s="126">
        <f>+GETPIVOTDATA("Grand Total FTE - Old",'FTE Pivot for regular counts'!$A$2,"State","VA","Category",1,"Category2","Four-Year")</f>
        <v>101312.6375</v>
      </c>
      <c r="R89" s="126">
        <f>+GETPIVOTDATA("Grand Total FTE - Old",'FTE Pivot for regular counts'!$A$2,"State","VA","Category",2,"Category2","Four-Year")</f>
        <v>35664.895833333336</v>
      </c>
      <c r="S89" s="126">
        <f>+GETPIVOTDATA("Grand Total FTE - Old",'FTE Pivot for regular counts'!$A$2,"State","VA","Category",3,"Category2","Four-Year")</f>
        <v>25153.966666666667</v>
      </c>
      <c r="T89" s="126">
        <f>+GETPIVOTDATA("Grand Total FTE - Old",'FTE Pivot for regular counts'!$A$2,"State","VA","Category",4,"Category2","Four-Year")</f>
        <v>19217.8</v>
      </c>
      <c r="U89" s="126">
        <f>+GETPIVOTDATA("Grand Total FTE - Old",'FTE Pivot for regular counts'!$A$2,"State","VA","Category",5,"Category2","Four-Year")</f>
        <v>9478.4166666666661</v>
      </c>
      <c r="V89" s="126">
        <f>+GETPIVOTDATA("Grand Total FTE - Old",'FTE Pivot for regular counts'!$A$2,"State","VA","Category",6,"Category2","Four-Year")</f>
        <v>1723.6666666666667</v>
      </c>
      <c r="W89" s="126">
        <f>+GETPIVOTDATA("Grand Total FTE - Old",'FTE Pivot for regular counts'!$A$2,"State","VA","Category2","Four-Year")</f>
        <v>192551.3833333333</v>
      </c>
      <c r="X89" s="1" t="s">
        <v>78</v>
      </c>
    </row>
    <row r="90" spans="1:26" ht="15" customHeight="1">
      <c r="A90" s="3" t="s">
        <v>79</v>
      </c>
      <c r="B90" s="13">
        <f>+'NEW-Tables 80-86'!B29+'NEW-Tables 80-86'!B59</f>
        <v>26908.691666666666</v>
      </c>
      <c r="C90" s="13">
        <f>+'NEW-Tables 80-86'!D29+'NEW-Tables 80-86'!C59</f>
        <v>0</v>
      </c>
      <c r="D90" s="13">
        <f>+'NEW-Tables 80-86'!F29+'NEW-Tables 80-86'!D59</f>
        <v>11113.833333333334</v>
      </c>
      <c r="E90" s="13">
        <f>+'NEW-Tables 80-86'!H29+'NEW-Tables 80-86'!E59</f>
        <v>0</v>
      </c>
      <c r="F90" s="13">
        <f>+'NEW-Tables 80-86'!J29+'NEW-Tables 80-86'!F59</f>
        <v>7936.5916666666662</v>
      </c>
      <c r="G90" s="14">
        <f>+'NEW-Tables 80-86'!L29+'NEW-Tables 80-86'!G59</f>
        <v>11828.986666666668</v>
      </c>
      <c r="H90" s="114">
        <f>+'NEW-Tables 80-86'!N29+'NEW-Tables 80-86'!H59</f>
        <v>57788.103333333333</v>
      </c>
      <c r="Q90" s="126">
        <f>+GETPIVOTDATA("Grand Total FTE - Old",'FTE Pivot for regular counts'!$A$2,"State","WV","Category",1,"Category2","Four-Year")</f>
        <v>26786.391666666666</v>
      </c>
      <c r="R90" s="126">
        <f>+GETPIVOTDATA("Grand Total FTE - Old",'FTE Pivot for regular counts'!$A$2,"State","WV","Category",2,"Category2","Four-Year")</f>
        <v>0</v>
      </c>
      <c r="S90" s="126">
        <f>+GETPIVOTDATA("Grand Total FTE - Old",'FTE Pivot for regular counts'!$A$2,"State","WV","Category",3,"Category2","Four-Year")</f>
        <v>11462.283333333333</v>
      </c>
      <c r="T90" s="126">
        <f>+GETPIVOTDATA("Grand Total FTE - Old",'FTE Pivot for regular counts'!$A$2,"State","WV","Category",4,"Category2","Four-Year")</f>
        <v>0</v>
      </c>
      <c r="U90" s="126">
        <f>+GETPIVOTDATA("Grand Total FTE - Old",'FTE Pivot for regular counts'!$A$2,"State","WV","Category",5,"Category2","Four-Year")</f>
        <v>8073.3083333333343</v>
      </c>
      <c r="V90" s="126">
        <f>+GETPIVOTDATA("Grand Total FTE - Old",'FTE Pivot for regular counts'!$A$2,"State","WV","Category",6,"Category2","Four-Year")</f>
        <v>12244.656666666666</v>
      </c>
      <c r="W90" s="126">
        <f>+GETPIVOTDATA("Grand Total FTE - Old",'FTE Pivot for regular counts'!$A$2,"State","WV","Category2","Four-Year")</f>
        <v>58566.64</v>
      </c>
      <c r="X90" s="25" t="s">
        <v>79</v>
      </c>
    </row>
    <row r="91" spans="1:26" s="25" customFormat="1" ht="47.25" customHeight="1">
      <c r="A91" s="837" t="s">
        <v>989</v>
      </c>
      <c r="B91" s="837"/>
      <c r="C91" s="837"/>
      <c r="D91" s="837"/>
      <c r="E91" s="837"/>
      <c r="F91" s="837"/>
      <c r="G91" s="837"/>
      <c r="H91" s="837"/>
      <c r="I91" s="15"/>
      <c r="J91" s="103"/>
      <c r="K91" s="103"/>
      <c r="L91" s="103"/>
      <c r="M91" s="103"/>
    </row>
    <row r="92" spans="1:26" ht="10.5" customHeight="1">
      <c r="A92" s="408"/>
      <c r="B92" s="408"/>
      <c r="C92" s="408"/>
      <c r="D92" s="408"/>
      <c r="E92" s="408"/>
      <c r="F92" s="408"/>
      <c r="G92" s="408"/>
      <c r="H92" s="169" t="s">
        <v>987</v>
      </c>
    </row>
    <row r="93" spans="1:26">
      <c r="A93" s="49"/>
      <c r="B93" s="50"/>
      <c r="C93" s="50"/>
      <c r="D93" s="50"/>
      <c r="E93" s="50"/>
      <c r="F93" s="50"/>
      <c r="G93" s="50"/>
      <c r="H93" s="169"/>
    </row>
    <row r="94" spans="1:26" ht="18">
      <c r="A94" s="838" t="s">
        <v>166</v>
      </c>
      <c r="B94" s="838"/>
      <c r="C94" s="838"/>
      <c r="D94" s="838"/>
      <c r="E94" s="838"/>
      <c r="F94" s="838"/>
      <c r="G94" s="838"/>
      <c r="H94" s="838"/>
      <c r="I94" s="838"/>
      <c r="J94" s="838"/>
      <c r="K94" s="164"/>
      <c r="L94" s="164"/>
      <c r="M94" s="178"/>
    </row>
    <row r="95" spans="1:26" ht="15.75">
      <c r="A95" s="21"/>
      <c r="B95" s="21"/>
      <c r="C95" s="21"/>
      <c r="D95" s="21"/>
      <c r="E95" s="21"/>
      <c r="F95" s="21"/>
      <c r="G95" s="21"/>
      <c r="H95" s="105"/>
      <c r="I95" s="21"/>
      <c r="J95" s="105"/>
      <c r="K95" s="105"/>
      <c r="L95" s="105"/>
      <c r="M95" s="198"/>
      <c r="Q95" s="1" t="s">
        <v>38</v>
      </c>
    </row>
    <row r="96" spans="1:26" ht="15.75">
      <c r="A96" s="839" t="s">
        <v>34</v>
      </c>
      <c r="B96" s="839"/>
      <c r="C96" s="839"/>
      <c r="D96" s="839"/>
      <c r="E96" s="839"/>
      <c r="F96" s="839"/>
      <c r="G96" s="839"/>
      <c r="H96" s="839"/>
      <c r="I96" s="839"/>
      <c r="J96" s="839"/>
      <c r="K96" s="132"/>
      <c r="L96" s="132"/>
      <c r="M96" s="199"/>
      <c r="Q96" s="196" t="s">
        <v>34</v>
      </c>
      <c r="R96" s="132"/>
      <c r="S96" s="132"/>
      <c r="T96" s="132"/>
      <c r="U96" s="132"/>
      <c r="V96" s="132"/>
      <c r="W96" s="132"/>
      <c r="X96" s="132"/>
      <c r="Y96" s="132"/>
      <c r="Z96" s="132"/>
    </row>
    <row r="97" spans="1:26" ht="15.75">
      <c r="A97" s="839" t="s">
        <v>982</v>
      </c>
      <c r="B97" s="839"/>
      <c r="C97" s="839"/>
      <c r="D97" s="839"/>
      <c r="E97" s="839"/>
      <c r="F97" s="839"/>
      <c r="G97" s="839"/>
      <c r="H97" s="839"/>
      <c r="I97" s="839"/>
      <c r="J97" s="839"/>
      <c r="K97" s="132"/>
      <c r="L97" s="132"/>
      <c r="M97" s="199"/>
      <c r="Q97" s="196" t="s">
        <v>170</v>
      </c>
      <c r="R97" s="132"/>
      <c r="S97" s="132"/>
      <c r="T97" s="132"/>
      <c r="U97" s="132"/>
      <c r="V97" s="132"/>
      <c r="W97" s="132"/>
      <c r="X97" s="132"/>
      <c r="Y97" s="132"/>
      <c r="Z97" s="132"/>
    </row>
    <row r="98" spans="1:26">
      <c r="B98" s="2"/>
      <c r="C98" s="2"/>
      <c r="D98" s="2"/>
      <c r="E98" s="2"/>
      <c r="F98" s="2"/>
      <c r="G98" s="2"/>
      <c r="H98" s="107"/>
      <c r="I98" s="2"/>
      <c r="J98" s="107"/>
      <c r="K98" s="107"/>
      <c r="L98" s="107"/>
      <c r="M98" s="191"/>
      <c r="Q98" s="197"/>
      <c r="R98" s="2"/>
      <c r="S98" s="2"/>
      <c r="T98" s="2"/>
      <c r="U98" s="2"/>
      <c r="V98" s="2"/>
      <c r="W98" s="2"/>
      <c r="X98" s="2"/>
      <c r="Y98" s="2"/>
      <c r="Z98" s="2"/>
    </row>
    <row r="99" spans="1:26" ht="15" customHeight="1">
      <c r="A99" s="44"/>
      <c r="B99" s="56" t="s">
        <v>63</v>
      </c>
      <c r="C99" s="56"/>
      <c r="D99" s="27"/>
      <c r="E99" s="27"/>
      <c r="F99" s="28"/>
      <c r="G99" s="57" t="s">
        <v>45</v>
      </c>
      <c r="H99" s="91"/>
      <c r="I99" s="92"/>
      <c r="K99" s="170" t="s">
        <v>28</v>
      </c>
      <c r="L99" s="170"/>
      <c r="M99" s="170"/>
      <c r="Q99" s="44"/>
      <c r="R99" s="56" t="s">
        <v>63</v>
      </c>
      <c r="S99" s="56"/>
      <c r="T99" s="27"/>
      <c r="U99" s="27"/>
      <c r="V99" s="28"/>
      <c r="W99" s="419" t="s">
        <v>45</v>
      </c>
      <c r="X99" s="420"/>
      <c r="Y99" s="421"/>
      <c r="Z99" s="417" t="s">
        <v>28</v>
      </c>
    </row>
    <row r="100" spans="1:26" ht="24">
      <c r="A100" s="45"/>
      <c r="B100" s="58" t="s">
        <v>140</v>
      </c>
      <c r="C100" s="46">
        <v>1</v>
      </c>
      <c r="D100" s="46">
        <v>2</v>
      </c>
      <c r="E100" s="46">
        <v>3</v>
      </c>
      <c r="F100" s="59" t="s">
        <v>30</v>
      </c>
      <c r="G100" s="60">
        <v>1</v>
      </c>
      <c r="H100" s="94">
        <v>2</v>
      </c>
      <c r="I100" s="93" t="s">
        <v>30</v>
      </c>
      <c r="K100" s="123"/>
      <c r="L100" s="123"/>
      <c r="M100" s="123"/>
      <c r="Q100" s="45"/>
      <c r="R100" s="58" t="s">
        <v>140</v>
      </c>
      <c r="S100" s="46">
        <v>1</v>
      </c>
      <c r="T100" s="46">
        <v>2</v>
      </c>
      <c r="U100" s="46">
        <v>3</v>
      </c>
      <c r="V100" s="59" t="s">
        <v>30</v>
      </c>
      <c r="W100" s="60">
        <v>1</v>
      </c>
      <c r="X100" s="47">
        <v>2</v>
      </c>
      <c r="Y100" s="46" t="s">
        <v>30</v>
      </c>
      <c r="Z100" s="418"/>
    </row>
    <row r="101" spans="1:26" ht="15" customHeight="1">
      <c r="A101" s="1" t="s">
        <v>64</v>
      </c>
      <c r="B101" s="5">
        <f>+GETPIVOTDATA("Undergrad Student Credit Hour FTE - New",'FTE Pivot for regular counts'!$A$2,"Category","7","Category2","Two-Year")</f>
        <v>188628.96666666667</v>
      </c>
      <c r="C101" s="15">
        <f>+GETPIVOTDATA("Undergrad Student Credit Hour FTE - New",'FTE Pivot for regular counts'!$A$2,"Category","8","Category2","Two-Year")</f>
        <v>1037228.606</v>
      </c>
      <c r="D101" s="5">
        <f>+GETPIVOTDATA("Undergrad Student Credit Hour FTE - New",'FTE Pivot for regular counts'!$A$2,"Category","9","Category2","Two-Year")</f>
        <v>423816.67766666668</v>
      </c>
      <c r="E101" s="5">
        <f>+GETPIVOTDATA("Undergrad Student Credit Hour FTE - New",'FTE Pivot for regular counts'!$A$2,"Category","10","Category2","Two-Year")</f>
        <v>125657.08933333334</v>
      </c>
      <c r="F101" s="23">
        <f>+GETPIVOTDATA("Undergrad Student Credit Hour FTE - New",'FTE Pivot for regular counts'!$A$2,"Category2","Two-Year")</f>
        <v>1775331.3396666667</v>
      </c>
      <c r="G101" s="18">
        <f>+GETPIVOTDATA("Undergrad Student Credit Hour FTE - New",'FTE Pivot for regular counts'!$A$2,"Category","12","Category2","Technical")</f>
        <v>98545.59</v>
      </c>
      <c r="H101" s="103">
        <f>+GETPIVOTDATA("Undergrad Student Credit Hour FTE - New",'FTE Pivot for regular counts'!$A$2,"Category","13","Category2","Technical")</f>
        <v>2102.1333333333332</v>
      </c>
      <c r="I101" s="4">
        <f>+GETPIVOTDATA("Undergrad Student Credit Hour FTE - New",'FTE Pivot for regular counts'!$A$2,"Category2","Technical")</f>
        <v>100647.72333333333</v>
      </c>
      <c r="Q101" s="1" t="s">
        <v>64</v>
      </c>
      <c r="R101" s="5">
        <f>+GETPIVOTDATA("Undergrad Student Credit Hour  FTE - Old",'FTE Pivot for regular counts'!$A$2,"Category","7","Category2","Two-Year")</f>
        <v>198182.16666666669</v>
      </c>
      <c r="S101" s="15">
        <f>+GETPIVOTDATA("Undergrad Student Credit Hour  FTE - Old",'FTE Pivot for regular counts'!$A$2,"Category","8","Category2","Two-Year")</f>
        <v>1062514.1726666668</v>
      </c>
      <c r="T101" s="5">
        <f>+GETPIVOTDATA("Undergrad Student Credit Hour  FTE - Old",'FTE Pivot for regular counts'!$A$2,"Category","9","Category2","Two-Year")</f>
        <v>450644.67433333333</v>
      </c>
      <c r="U101" s="5">
        <f>+GETPIVOTDATA("Undergrad Student Credit Hour  FTE - Old",'FTE Pivot for regular counts'!$A$2,"Category","10","Category2","Two-Year")</f>
        <v>130920.04099999998</v>
      </c>
      <c r="V101" s="23">
        <f>+GETPIVOTDATA("Undergrad Student Credit Hour  FTE - Old",'FTE Pivot for regular counts'!$A$2,"Category2","Two-Year")</f>
        <v>1842261.0546666668</v>
      </c>
      <c r="W101" s="18">
        <f>+GETPIVOTDATA("Undergrad Student Credit Hour  FTE - Old",'FTE Pivot for regular counts'!$A$2,"Category","12","Category2","Technical")</f>
        <v>121800.91666666666</v>
      </c>
      <c r="X101" s="15">
        <f>+GETPIVOTDATA("Undergrad Student Credit Hour  FTE - Old",'FTE Pivot for regular counts'!$A$2,"Category","13","Category2","Technical")</f>
        <v>2468.5</v>
      </c>
      <c r="Y101" s="1">
        <f>+GETPIVOTDATA("Undergrad Student Credit Hour  FTE - Old",'FTE Pivot for regular counts'!$A$2,"Category2","Technical")</f>
        <v>124269.41666666666</v>
      </c>
      <c r="Z101" s="25"/>
    </row>
    <row r="102" spans="1:26" ht="15" customHeight="1">
      <c r="B102" s="5"/>
      <c r="C102" s="15"/>
      <c r="D102" s="5"/>
      <c r="E102" s="5"/>
      <c r="F102" s="23"/>
      <c r="G102" s="18"/>
      <c r="H102" s="103"/>
      <c r="I102" s="4"/>
      <c r="R102" s="5"/>
      <c r="S102" s="15"/>
      <c r="T102" s="5"/>
      <c r="U102" s="5"/>
      <c r="V102" s="23"/>
      <c r="W102" s="18"/>
      <c r="X102" s="15"/>
      <c r="Z102" s="25"/>
    </row>
    <row r="103" spans="1:26" ht="15" customHeight="1">
      <c r="A103" s="1" t="s">
        <v>65</v>
      </c>
      <c r="B103" s="5">
        <f>+GETPIVOTDATA("Undergrad Student Credit Hour FTE - New",'FTE Pivot for regular counts'!$A$2,"State","AL","Category","7","Category2","Two-Year")</f>
        <v>0</v>
      </c>
      <c r="C103" s="15">
        <f>+GETPIVOTDATA("Undergrad Student Credit Hour FTE - New",'FTE Pivot for regular counts'!$A$2,"State","AL","Category","8","Category2","Two-Year")</f>
        <v>24454.633333333335</v>
      </c>
      <c r="D103" s="5">
        <f>+GETPIVOTDATA("Undergrad Student Credit Hour FTE - New",'FTE Pivot for regular counts'!$A$2,"State","AL","Category","9","Category2","Two-Year")</f>
        <v>34235.100000000006</v>
      </c>
      <c r="E103" s="5">
        <f>+GETPIVOTDATA("Undergrad Student Credit Hour FTE - New",'FTE Pivot for regular counts'!$A$2,"State","AL","Category","10","Category2","Two-Year")</f>
        <v>8541.4333333333343</v>
      </c>
      <c r="F103" s="23">
        <f>+GETPIVOTDATA("Undergrad Student Credit Hour FTE - New",'FTE Pivot for regular counts'!$A$2,"State","AL","Category2","Two-Year")</f>
        <v>67231.166666666672</v>
      </c>
      <c r="G103" s="18">
        <f>+GETPIVOTDATA("Undergrad Student Credit Hour FTE - New",'FTE Pivot for regular counts'!$A$2,"State","AL","Category","12","Category2","Technical")</f>
        <v>1349.2666666666667</v>
      </c>
      <c r="H103" s="103">
        <f>+GETPIVOTDATA("Undergrad Student Credit Hour FTE - New",'FTE Pivot for regular counts'!$A$2,"State","AL","Category","13","Category2","Technical")</f>
        <v>2102.1333333333332</v>
      </c>
      <c r="I103" s="4">
        <f>+GETPIVOTDATA("Undergrad Student Credit Hour FTE - New",'FTE Pivot for regular counts'!$A$2,"State","AL","Category2","Technical")</f>
        <v>3451.3999999999996</v>
      </c>
      <c r="Q103" s="1" t="s">
        <v>65</v>
      </c>
      <c r="R103" s="5">
        <f>+GETPIVOTDATA("Undergrad Student Credit Hour  FTE - Old",'FTE Pivot for regular counts'!$A$2,"State","AL","Category","7","Category2","Two-Year")</f>
        <v>0</v>
      </c>
      <c r="S103" s="15">
        <f>+GETPIVOTDATA("Undergrad Student Credit Hour  FTE - Old",'FTE Pivot for regular counts'!$A$2,"State","AL","Category","8","Category2","Two-Year")</f>
        <v>26710.799999999999</v>
      </c>
      <c r="T103" s="5">
        <f>+GETPIVOTDATA("Undergrad Student Credit Hour  FTE - Old",'FTE Pivot for regular counts'!$A$2,"State","AL","Category","9","Category2","Two-Year")</f>
        <v>38344.900000000009</v>
      </c>
      <c r="U103" s="5">
        <f>+GETPIVOTDATA("Undergrad Student Credit Hour  FTE - Old",'FTE Pivot for regular counts'!$A$2,"State","AL","Category","10","Category2","Two-Year")</f>
        <v>9439</v>
      </c>
      <c r="V103" s="23">
        <f>+GETPIVOTDATA("Undergrad Student Credit Hour  FTE - Old",'FTE Pivot for regular counts'!$A$2,"State","AL","Category2","Two-Year")</f>
        <v>74494.700000000012</v>
      </c>
      <c r="W103" s="18">
        <f>+GETPIVOTDATA("Undergrad Student Credit Hour  FTE - Old",'FTE Pivot for regular counts'!$A$2,"State","AL","Category","12","Category2","Technical")</f>
        <v>1650.0666666666666</v>
      </c>
      <c r="X103" s="15">
        <f>+GETPIVOTDATA("Undergrad Student Credit Hour  FTE - Old",'FTE Pivot for regular counts'!$A$2,"State","AL","Category","13","Category2","Technical")</f>
        <v>2468.5</v>
      </c>
      <c r="Y103" s="1">
        <f>+GETPIVOTDATA("Undergrad Student Credit Hour  FTE - Old",'FTE Pivot for regular counts'!$A$2,"State","AL","Category2","Technical")</f>
        <v>4118.5666666666666</v>
      </c>
      <c r="Z103" s="25"/>
    </row>
    <row r="104" spans="1:26" ht="15" customHeight="1">
      <c r="A104" s="4" t="s">
        <v>66</v>
      </c>
      <c r="B104" s="15">
        <f>+GETPIVOTDATA("Undergrad Student Credit Hour FTE - New",'FTE Pivot for regular counts'!$A$2,"State","AR","Category","7","Category2","Two-Year")</f>
        <v>0</v>
      </c>
      <c r="C104" s="15">
        <f>+GETPIVOTDATA("Undergrad Student Credit Hour FTE - New",'FTE Pivot for regular counts'!$A$2,"State","AR","Category","8","Category2","Two-Year")</f>
        <v>14212.666666666666</v>
      </c>
      <c r="D104" s="15">
        <f>+GETPIVOTDATA("Undergrad Student Credit Hour FTE - New",'FTE Pivot for regular counts'!$A$2,"State","AR","Category","9","Category2","Two-Year")</f>
        <v>5943.9</v>
      </c>
      <c r="E104" s="15">
        <f>+GETPIVOTDATA("Undergrad Student Credit Hour FTE - New",'FTE Pivot for regular counts'!$A$2,"State","AR","Category","10","Category2","Two-Year")</f>
        <v>22035.666666666668</v>
      </c>
      <c r="F104" s="23">
        <f>+GETPIVOTDATA("Undergrad Student Credit Hour FTE - New",'FTE Pivot for regular counts'!$A$2,"State","AR","Category2","Two-Year")</f>
        <v>42192.233333333337</v>
      </c>
      <c r="G104" s="18">
        <f>+GETPIVOTDATA("Undergrad Student Credit Hour FTE - New",'FTE Pivot for regular counts'!$A$2,"State","AR","Category","12","Category2","Technical")</f>
        <v>0</v>
      </c>
      <c r="H104" s="103">
        <f>+GETPIVOTDATA("Undergrad Student Credit Hour FTE - New",'FTE Pivot for regular counts'!$A$2,"State","AR","Category","13","Category2","Technical")</f>
        <v>0</v>
      </c>
      <c r="I104" s="73">
        <f>+GETPIVOTDATA("Undergrad Student Credit Hour FTE - New",'FTE Pivot for regular counts'!$A$2,"State","AR","Category2","Technical")</f>
        <v>0</v>
      </c>
      <c r="K104" s="73"/>
      <c r="L104" s="73"/>
      <c r="Q104" s="4" t="s">
        <v>66</v>
      </c>
      <c r="R104" s="15">
        <f>+GETPIVOTDATA("Undergrad Student Credit Hour  FTE - Old",'FTE Pivot for regular counts'!$A$2,"State","AR","Category","7","Category2","Two-Year")</f>
        <v>0</v>
      </c>
      <c r="S104" s="15">
        <f>+GETPIVOTDATA("Undergrad Student Credit Hour  FTE - Old",'FTE Pivot for regular counts'!$A$2,"State","AR","Category","8","Category2","Two-Year")</f>
        <v>14508.2</v>
      </c>
      <c r="T104" s="15">
        <f>+GETPIVOTDATA("Undergrad Student Credit Hour  FTE - Old",'FTE Pivot for regular counts'!$A$2,"State","AR","Category","9","Category2","Two-Year")</f>
        <v>6390.6666666666661</v>
      </c>
      <c r="U104" s="15">
        <f>+GETPIVOTDATA("Undergrad Student Credit Hour  FTE - Old",'FTE Pivot for regular counts'!$A$2,"State","AR","Category","10","Category2","Two-Year")</f>
        <v>23666.500000000007</v>
      </c>
      <c r="V104" s="23">
        <f>+GETPIVOTDATA("Undergrad Student Credit Hour  FTE - Old",'FTE Pivot for regular counts'!$A$2,"State","AR","Category2","Two-Year")</f>
        <v>44565.366666666676</v>
      </c>
      <c r="W104" s="18">
        <f>+GETPIVOTDATA("Undergrad Student Credit Hour  FTE - Old",'FTE Pivot for regular counts'!$A$2,"State","AR","Category","12","Category2","Technical")</f>
        <v>0</v>
      </c>
      <c r="X104" s="15">
        <f>+GETPIVOTDATA("Undergrad Student Credit Hour  FTE - Old",'FTE Pivot for regular counts'!$A$2,"State","AR","Category","13","Category2","Technical")</f>
        <v>0</v>
      </c>
      <c r="Y104" s="25">
        <f>+GETPIVOTDATA("Undergrad Student Credit Hour  FTE - Old",'FTE Pivot for regular counts'!$A$2,"State","AR","Category2","Technical")</f>
        <v>0</v>
      </c>
      <c r="Z104" s="25"/>
    </row>
    <row r="105" spans="1:26" ht="15" customHeight="1">
      <c r="A105" s="1" t="s">
        <v>102</v>
      </c>
      <c r="B105" s="15">
        <f>+GETPIVOTDATA("Undergrad Student Credit Hour FTE - New",'FTE Pivot for regular counts'!$A$2,"State","DE","Category","7","Category2","Two-Year")</f>
        <v>0</v>
      </c>
      <c r="C105" s="15">
        <f>+GETPIVOTDATA("Undergrad Student Credit Hour FTE - New",'FTE Pivot for regular counts'!$A$2,"State","DE","Category","8","Category2","Two-Year")</f>
        <v>5113.5333333333338</v>
      </c>
      <c r="D105" s="15">
        <f>+GETPIVOTDATA("Undergrad Student Credit Hour FTE - New",'FTE Pivot for regular counts'!$A$2,"State","DE","Category","9","Category2","Two-Year")</f>
        <v>5661.4333333333334</v>
      </c>
      <c r="E105" s="15">
        <f>+GETPIVOTDATA("Undergrad Student Credit Hour FTE - New",'FTE Pivot for regular counts'!$A$2,"State","DE","Category","10","Category2","Two-Year")</f>
        <v>0</v>
      </c>
      <c r="F105" s="23">
        <f>+GETPIVOTDATA("Undergrad Student Credit Hour FTE - New",'FTE Pivot for regular counts'!$A$2,"State","DE","Category2","Two-Year")</f>
        <v>10774.966666666667</v>
      </c>
      <c r="G105" s="18">
        <f>+GETPIVOTDATA("Undergrad Student Credit Hour FTE - New",'FTE Pivot for regular counts'!$A$2,"State","DE","Category","12","Category2","Technical")</f>
        <v>0</v>
      </c>
      <c r="H105" s="103">
        <f>+GETPIVOTDATA("Undergrad Student Credit Hour FTE - New",'FTE Pivot for regular counts'!$A$2,"State","DE","Category","13","Category2","Technical")</f>
        <v>0</v>
      </c>
      <c r="I105" s="73">
        <f>+GETPIVOTDATA("Undergrad Student Credit Hour FTE - New",'FTE Pivot for regular counts'!$A$2,"State","DE","Category2","Technical")</f>
        <v>0</v>
      </c>
      <c r="K105" s="73"/>
      <c r="L105" s="73"/>
      <c r="Q105" s="1" t="s">
        <v>102</v>
      </c>
      <c r="R105" s="15">
        <f>+GETPIVOTDATA("Undergrad Student Credit Hour  FTE - Old",'FTE Pivot for regular counts'!$A$2,"State","DE","Category","7","Category2","Two-Year")</f>
        <v>0</v>
      </c>
      <c r="S105" s="15">
        <f>+GETPIVOTDATA("Undergrad Student Credit Hour  FTE - Old",'FTE Pivot for regular counts'!$A$2,"State","DE","Category","8","Category2","Two-Year")</f>
        <v>5258.4</v>
      </c>
      <c r="T105" s="15">
        <f>+GETPIVOTDATA("Undergrad Student Credit Hour  FTE - Old",'FTE Pivot for regular counts'!$A$2,"State","DE","Category","9","Category2","Two-Year")</f>
        <v>5958.9333333333334</v>
      </c>
      <c r="U105" s="15">
        <f>+GETPIVOTDATA("Undergrad Student Credit Hour  FTE - Old",'FTE Pivot for regular counts'!$A$2,"State","DE","Category","10","Category2","Two-Year")</f>
        <v>0</v>
      </c>
      <c r="V105" s="23">
        <f>+GETPIVOTDATA("Undergrad Student Credit Hour  FTE - Old",'FTE Pivot for regular counts'!$A$2,"State","DE","Category2","Two-Year")</f>
        <v>11217.333333333332</v>
      </c>
      <c r="W105" s="18">
        <f>+GETPIVOTDATA("Undergrad Student Credit Hour  FTE - Old",'FTE Pivot for regular counts'!$A$2,"State","DE","Category","12","Category2","Technical")</f>
        <v>0</v>
      </c>
      <c r="X105" s="15">
        <f>+GETPIVOTDATA("Undergrad Student Credit Hour  FTE - Old",'FTE Pivot for regular counts'!$A$2,"State","DE","Category","13","Category2","Technical")</f>
        <v>0</v>
      </c>
      <c r="Y105" s="25">
        <f>+GETPIVOTDATA("Undergrad Student Credit Hour  FTE - Old",'FTE Pivot for regular counts'!$A$2,"State","DE","Category2","Technical")</f>
        <v>0</v>
      </c>
      <c r="Z105" s="25"/>
    </row>
    <row r="106" spans="1:26" ht="15" customHeight="1">
      <c r="A106" s="1" t="s">
        <v>67</v>
      </c>
      <c r="B106" s="15">
        <f>+GETPIVOTDATA("Undergrad Student Credit Hour FTE - New",'FTE Pivot for regular counts'!$A$2,"State","FL","Category","7","Category2","Two-Year")</f>
        <v>135834.26666666666</v>
      </c>
      <c r="C106" s="15">
        <f>+GETPIVOTDATA("Undergrad Student Credit Hour FTE - New",'FTE Pivot for regular counts'!$A$2,"State","FL","Category","8","Category2","Two-Year")</f>
        <v>184127.06666666665</v>
      </c>
      <c r="D106" s="15">
        <f>+GETPIVOTDATA("Undergrad Student Credit Hour FTE - New",'FTE Pivot for regular counts'!$A$2,"State","FL","Category","9","Category2","Two-Year")</f>
        <v>15595.633333333333</v>
      </c>
      <c r="E106" s="15">
        <f>+GETPIVOTDATA("Undergrad Student Credit Hour FTE - New",'FTE Pivot for regular counts'!$A$2,"State","FL","Category","10","Category2","Two-Year")</f>
        <v>1642.3333333333335</v>
      </c>
      <c r="F106" s="23">
        <f>+GETPIVOTDATA("Undergrad Student Credit Hour FTE - New",'FTE Pivot for regular counts'!$A$2,"State","FL","Category2","Two-Year")</f>
        <v>337199.3</v>
      </c>
      <c r="G106" s="18">
        <f>+GETPIVOTDATA("Undergrad Student Credit Hour FTE - New",'FTE Pivot for regular counts'!$A$2,"State","FL","Category","12","Category2","Technical")</f>
        <v>0</v>
      </c>
      <c r="H106" s="103">
        <f>+GETPIVOTDATA("Undergrad Student Credit Hour FTE - New",'FTE Pivot for regular counts'!$A$2,"State","FL","Category","13","Category2","Technical")</f>
        <v>0</v>
      </c>
      <c r="I106" s="73">
        <f>+GETPIVOTDATA("Undergrad Student Credit Hour FTE - New",'FTE Pivot for regular counts'!$A$2,"State","FL","Category2","Technical")</f>
        <v>0</v>
      </c>
      <c r="K106" s="73"/>
      <c r="L106" s="73"/>
      <c r="Q106" s="1" t="s">
        <v>67</v>
      </c>
      <c r="R106" s="15">
        <f>GETPIVOTDATA("Undergrad Student Credit Hour  FTE - Old",'FTE Pivot for regular counts'!$A$2,"State","FL","Category","7","Category2","Two-Year")</f>
        <v>143650.26666666666</v>
      </c>
      <c r="S106" s="15">
        <f>GETPIVOTDATA("Undergrad Student Credit Hour  FTE - Old",'FTE Pivot for regular counts'!$A$2,"State","FL","Category","8","Category2","Two-Year")</f>
        <v>190091.36666666667</v>
      </c>
      <c r="T106" s="15">
        <f>GETPIVOTDATA("Undergrad Student Credit Hour  FTE - Old",'FTE Pivot for regular counts'!$A$2,"State","FL","Category","9","Category2","Two-Year")</f>
        <v>16191.333333333332</v>
      </c>
      <c r="U106" s="15">
        <f>GETPIVOTDATA("Undergrad Student Credit Hour  FTE - Old",'FTE Pivot for regular counts'!$A$2,"State","FL","Category","10","Category2","Two-Year")</f>
        <v>1795.1333333333332</v>
      </c>
      <c r="V106" s="23">
        <f>GETPIVOTDATA("Undergrad Student Credit Hour  FTE - Old",'FTE Pivot for regular counts'!$A$2,"State","FL","Category2","Two-Year")</f>
        <v>351728.1</v>
      </c>
      <c r="W106" s="18">
        <f>GETPIVOTDATA("Undergrad Student Credit Hour  FTE - Old",'FTE Pivot for regular counts'!$A$2,"State","FL","Category","12","Category2","Technical")</f>
        <v>0</v>
      </c>
      <c r="X106" s="15">
        <f>GETPIVOTDATA("Undergrad Student Credit Hour  FTE - Old",'FTE Pivot for regular counts'!$A$2,"State","FL","Category","13","Category2","Technical")</f>
        <v>0</v>
      </c>
      <c r="Y106" s="25">
        <f>GETPIVOTDATA("Undergrad Student Credit Hour  FTE - Old",'FTE Pivot for regular counts'!$A$2,"State","FL","Category2","Technical")</f>
        <v>0</v>
      </c>
      <c r="Z106" s="25"/>
    </row>
    <row r="107" spans="1:26" ht="15" customHeight="1">
      <c r="B107" s="15"/>
      <c r="C107" s="15"/>
      <c r="D107" s="15"/>
      <c r="E107" s="15"/>
      <c r="F107" s="23"/>
      <c r="G107" s="18"/>
      <c r="H107" s="103"/>
      <c r="I107" s="73"/>
      <c r="K107" s="73"/>
      <c r="L107" s="73"/>
      <c r="R107" s="15"/>
      <c r="S107" s="15"/>
      <c r="T107" s="15"/>
      <c r="U107" s="15"/>
      <c r="V107" s="23"/>
      <c r="W107" s="18"/>
      <c r="X107" s="15"/>
      <c r="Y107" s="25"/>
      <c r="Z107" s="25"/>
    </row>
    <row r="108" spans="1:26" ht="15" customHeight="1">
      <c r="A108" s="1" t="s">
        <v>68</v>
      </c>
      <c r="B108" s="15">
        <f>+GETPIVOTDATA("Undergrad Student Credit Hour FTE - New",'FTE Pivot for regular counts'!$A$2,"State","GA","Category","7","Category2","Two-Year")</f>
        <v>14036.3</v>
      </c>
      <c r="C108" s="15">
        <f>+GETPIVOTDATA("Undergrad Student Credit Hour FTE - New",'FTE Pivot for regular counts'!$A$2,"State","GA","Category","8","Category2","Two-Year")</f>
        <v>18381.833333333332</v>
      </c>
      <c r="D108" s="15">
        <f>+GETPIVOTDATA("Undergrad Student Credit Hour FTE - New",'FTE Pivot for regular counts'!$A$2,"State","GA","Category","9","Category2","Two-Year")</f>
        <v>24652.283333333333</v>
      </c>
      <c r="E108" s="15">
        <f>+GETPIVOTDATA("Undergrad Student Credit Hour FTE - New",'FTE Pivot for regular counts'!$A$2,"State","GA","Category","10","Category2","Two-Year")</f>
        <v>2628.4333333333334</v>
      </c>
      <c r="F108" s="23">
        <f>+GETPIVOTDATA("Undergrad Student Credit Hour FTE - New",'FTE Pivot for regular counts'!$A$2,"State","GA","Category2","Two-Year")</f>
        <v>59698.85</v>
      </c>
      <c r="G108" s="18">
        <f>+GETPIVOTDATA("Undergrad Student Credit Hour FTE - New",'FTE Pivot for regular counts'!$A$2,"State","GA","Category","12","Category2","Technical")</f>
        <v>77975.723333333342</v>
      </c>
      <c r="H108" s="103">
        <f>+GETPIVOTDATA("Undergrad Student Credit Hour FTE - New",'FTE Pivot for regular counts'!$A$2,"State","GA","Category","13","Category2","Technical")</f>
        <v>0</v>
      </c>
      <c r="I108" s="73">
        <f>+GETPIVOTDATA("Undergrad Student Credit Hour FTE - New",'FTE Pivot for regular counts'!$A$2,"State","GA","Category2","Technical")</f>
        <v>77975.723333333342</v>
      </c>
      <c r="K108" s="73"/>
      <c r="L108" s="73"/>
      <c r="Q108" s="1" t="s">
        <v>68</v>
      </c>
      <c r="R108" s="15">
        <f>+GETPIVOTDATA("Undergrad Student Credit Hour  FTE - Old",'FTE Pivot for regular counts'!$A$2,"State","GA","Category","7","Category2","Two-Year")</f>
        <v>15149.266666666666</v>
      </c>
      <c r="S108" s="15">
        <f>+GETPIVOTDATA("Undergrad Student Credit Hour  FTE - Old",'FTE Pivot for regular counts'!$A$2,"State","GA","Category","8","Category2","Two-Year")</f>
        <v>20341.233333333334</v>
      </c>
      <c r="T108" s="15">
        <f>+GETPIVOTDATA("Undergrad Student Credit Hour  FTE - Old",'FTE Pivot for regular counts'!$A$2,"State","GA","Category","9","Category2","Two-Year")</f>
        <v>26135.266666666663</v>
      </c>
      <c r="U108" s="15">
        <f>+GETPIVOTDATA("Undergrad Student Credit Hour  FTE - Old",'FTE Pivot for regular counts'!$A$2,"State","GA","Category","10","Category2","Two-Year")</f>
        <v>2721.1666666666665</v>
      </c>
      <c r="V108" s="23">
        <f>+GETPIVOTDATA("Undergrad Student Credit Hour  FTE - Old",'FTE Pivot for regular counts'!$A$2,"State","GA","Category2","Two-Year")</f>
        <v>64346.933333333327</v>
      </c>
      <c r="W108" s="18">
        <f>+GETPIVOTDATA("Undergrad Student Credit Hour  FTE - Old",'FTE Pivot for regular counts'!$A$2,"State","GA","Category","12","Category2","Technical")</f>
        <v>96674.833333333328</v>
      </c>
      <c r="X108" s="15">
        <f>+GETPIVOTDATA("Undergrad Student Credit Hour  FTE - Old",'FTE Pivot for regular counts'!$A$2,"State","GA","Category","13","Category2","Technical")</f>
        <v>0</v>
      </c>
      <c r="Y108" s="25">
        <f>+GETPIVOTDATA("Undergrad Student Credit Hour  FTE - Old",'FTE Pivot for regular counts'!$A$2,"State","GA","Category2","Technical")</f>
        <v>96674.833333333328</v>
      </c>
      <c r="Z108" s="25"/>
    </row>
    <row r="109" spans="1:26" ht="15" customHeight="1">
      <c r="A109" s="1" t="s">
        <v>69</v>
      </c>
      <c r="B109" s="15">
        <f>+GETPIVOTDATA("Undergrad Student Credit Hour FTE - New",'FTE Pivot for regular counts'!$A$2,"State","KY","Category","7","Category2","Two-Year")</f>
        <v>0</v>
      </c>
      <c r="C109" s="15">
        <f>+GETPIVOTDATA("Undergrad Student Credit Hour FTE - New",'FTE Pivot for regular counts'!$A$2,"State","KY","Category","8","Category2","Two-Year")</f>
        <v>17112</v>
      </c>
      <c r="D109" s="15">
        <f>+GETPIVOTDATA("Undergrad Student Credit Hour FTE - New",'FTE Pivot for regular counts'!$A$2,"State","KY","Category","9","Category2","Two-Year")</f>
        <v>32833.599999999999</v>
      </c>
      <c r="E109" s="15">
        <f>+GETPIVOTDATA("Undergrad Student Credit Hour FTE - New",'FTE Pivot for regular counts'!$A$2,"State","KY","Category","10","Category2","Two-Year")</f>
        <v>1273.7666666666667</v>
      </c>
      <c r="F109" s="23">
        <f>+GETPIVOTDATA("Undergrad Student Credit Hour FTE - New",'FTE Pivot for regular counts'!$A$2,"State","KY","Category2","Two-Year")</f>
        <v>51219.366666666669</v>
      </c>
      <c r="G109" s="18">
        <f>+GETPIVOTDATA("Undergrad Student Credit Hour FTE - New",'FTE Pivot for regular counts'!$A$2,"State","KY","Category","12","Category2","Technical")</f>
        <v>5047.0666666666666</v>
      </c>
      <c r="H109" s="103">
        <f>+GETPIVOTDATA("Undergrad Student Credit Hour FTE - New",'FTE Pivot for regular counts'!$A$2,"State","KY","Category","13","Category2","Technical")</f>
        <v>0</v>
      </c>
      <c r="I109" s="73">
        <f>+GETPIVOTDATA("Undergrad Student Credit Hour FTE - New",'FTE Pivot for regular counts'!$A$2,"State","KY","Category2","Technical")</f>
        <v>5047.0666666666666</v>
      </c>
      <c r="K109" s="73"/>
      <c r="L109" s="73"/>
      <c r="Q109" s="1" t="s">
        <v>69</v>
      </c>
      <c r="R109" s="15">
        <f>+GETPIVOTDATA("Undergrad Student Credit Hour  FTE - Old",'FTE Pivot for regular counts'!$A$2,"State","KY","Category","7","Category2","Two-Year")</f>
        <v>0</v>
      </c>
      <c r="S109" s="15">
        <f>+GETPIVOTDATA("Undergrad Student Credit Hour  FTE - Old",'FTE Pivot for regular counts'!$A$2,"State","KY","Category","8","Category2","Two-Year")</f>
        <v>18423.433333333334</v>
      </c>
      <c r="T109" s="15">
        <f>+GETPIVOTDATA("Undergrad Student Credit Hour  FTE - Old",'FTE Pivot for regular counts'!$A$2,"State","KY","Category","9","Category2","Two-Year")</f>
        <v>36209.100000000006</v>
      </c>
      <c r="U109" s="15">
        <f>+GETPIVOTDATA("Undergrad Student Credit Hour  FTE - Old",'FTE Pivot for regular counts'!$A$2,"State","KY","Category","10","Category2","Two-Year")</f>
        <v>1441.1666666666667</v>
      </c>
      <c r="V109" s="23">
        <f>+GETPIVOTDATA("Undergrad Student Credit Hour  FTE - Old",'FTE Pivot for regular counts'!$A$2,"State","KY","Category2","Two-Year")</f>
        <v>56073.700000000004</v>
      </c>
      <c r="W109" s="18">
        <f>+GETPIVOTDATA("Undergrad Student Credit Hour  FTE - Old",'FTE Pivot for regular counts'!$A$2,"State","KY","Category","12","Category2","Technical")</f>
        <v>4817.2</v>
      </c>
      <c r="X109" s="15">
        <f>+GETPIVOTDATA("Undergrad Student Credit Hour  FTE - Old",'FTE Pivot for regular counts'!$A$2,"State","KY","Category","13","Category2","Technical")</f>
        <v>0</v>
      </c>
      <c r="Y109" s="25">
        <f>+GETPIVOTDATA("Undergrad Student Credit Hour  FTE - Old",'FTE Pivot for regular counts'!$A$2,"State","KY","Category2","Technical")</f>
        <v>4817.2</v>
      </c>
      <c r="Z109" s="25"/>
    </row>
    <row r="110" spans="1:26" ht="15" customHeight="1">
      <c r="A110" s="1" t="s">
        <v>70</v>
      </c>
      <c r="B110" s="15">
        <f>+GETPIVOTDATA("Undergrad Student Credit Hour FTE - New",'FTE Pivot for regular counts'!$A$2,"State","LA","Category","7","Category2","Two-Year")</f>
        <v>0</v>
      </c>
      <c r="C110" s="15">
        <f>+GETPIVOTDATA("Undergrad Student Credit Hour FTE - New",'FTE Pivot for regular counts'!$A$2,"State","LA","Category","8","Category2","Two-Year")</f>
        <v>25425.199999999997</v>
      </c>
      <c r="D110" s="15">
        <f>+GETPIVOTDATA("Undergrad Student Credit Hour FTE - New",'FTE Pivot for regular counts'!$A$2,"State","LA","Category","9","Category2","Two-Year")</f>
        <v>7391.3833333333332</v>
      </c>
      <c r="E110" s="15">
        <f>+GETPIVOTDATA("Undergrad Student Credit Hour FTE - New",'FTE Pivot for regular counts'!$A$2,"State","LA","Category","10","Category2","Two-Year")</f>
        <v>8497.6</v>
      </c>
      <c r="F110" s="23">
        <f>+GETPIVOTDATA("Undergrad Student Credit Hour FTE - New",'FTE Pivot for regular counts'!$A$2,"State","LA","Category2","Two-Year")</f>
        <v>41314.183333333327</v>
      </c>
      <c r="G110" s="18">
        <f>+GETPIVOTDATA("Undergrad Student Credit Hour FTE - New",'FTE Pivot for regular counts'!$A$2,"State","LA","Category","12","Category2","Technical")</f>
        <v>14173.533333333333</v>
      </c>
      <c r="H110" s="103">
        <f>+GETPIVOTDATA("Undergrad Student Credit Hour FTE - New",'FTE Pivot for regular counts'!$A$2,"State","LA","Category","13","Category2","Technical")</f>
        <v>0</v>
      </c>
      <c r="I110" s="73">
        <f>+GETPIVOTDATA("Undergrad Student Credit Hour FTE - New",'FTE Pivot for regular counts'!$A$2,"State","LA","Category2","Technical")</f>
        <v>14173.533333333333</v>
      </c>
      <c r="K110" s="73"/>
      <c r="L110" s="73"/>
      <c r="Q110" s="1" t="s">
        <v>70</v>
      </c>
      <c r="R110" s="15">
        <f>+GETPIVOTDATA("Undergrad Student Credit Hour  FTE - Old",'FTE Pivot for regular counts'!$A$2,"State","LA","Category","7","Category2","Two-Year")</f>
        <v>0</v>
      </c>
      <c r="S110" s="15">
        <f>+GETPIVOTDATA("Undergrad Student Credit Hour  FTE - Old",'FTE Pivot for regular counts'!$A$2,"State","LA","Category","8","Category2","Two-Year")</f>
        <v>25316.166666666668</v>
      </c>
      <c r="T110" s="15">
        <f>+GETPIVOTDATA("Undergrad Student Credit Hour  FTE - Old",'FTE Pivot for regular counts'!$A$2,"State","LA","Category","9","Category2","Two-Year")</f>
        <v>4755.8333333333339</v>
      </c>
      <c r="U110" s="15">
        <f>+GETPIVOTDATA("Undergrad Student Credit Hour  FTE - Old",'FTE Pivot for regular counts'!$A$2,"State","LA","Category","10","Category2","Two-Year")</f>
        <v>7497.0333333333328</v>
      </c>
      <c r="V110" s="23">
        <f>+GETPIVOTDATA("Undergrad Student Credit Hour  FTE - Old",'FTE Pivot for regular counts'!$A$2,"State","LA","Category2","Two-Year")</f>
        <v>37569.033333333333</v>
      </c>
      <c r="W110" s="18">
        <f>+GETPIVOTDATA("Undergrad Student Credit Hour  FTE - Old",'FTE Pivot for regular counts'!$A$2,"State","LA","Category","12","Category2","Technical")</f>
        <v>18658.816666666669</v>
      </c>
      <c r="X110" s="15">
        <f>+GETPIVOTDATA("Undergrad Student Credit Hour  FTE - Old",'FTE Pivot for regular counts'!$A$2,"State","LA","Category","13","Category2","Technical")</f>
        <v>0</v>
      </c>
      <c r="Y110" s="25">
        <f>+GETPIVOTDATA("Undergrad Student Credit Hour  FTE - Old",'FTE Pivot for regular counts'!$A$2,"State","LA","Category2","Technical")</f>
        <v>18658.816666666669</v>
      </c>
      <c r="Z110" s="25"/>
    </row>
    <row r="111" spans="1:26" ht="15" customHeight="1">
      <c r="A111" s="1" t="s">
        <v>71</v>
      </c>
      <c r="B111" s="15">
        <f>+GETPIVOTDATA("Undergrad Student Credit Hour FTE - New",'FTE Pivot for regular counts'!$A$2,"State","MD","Category","7","Category2","Two-Year")</f>
        <v>0</v>
      </c>
      <c r="C111" s="15">
        <f>+GETPIVOTDATA("Undergrad Student Credit Hour FTE - New",'FTE Pivot for regular counts'!$A$2,"State","MD","Category","8","Category2","Two-Year")</f>
        <v>77461.149999999994</v>
      </c>
      <c r="D111" s="15">
        <f>+GETPIVOTDATA("Undergrad Student Credit Hour FTE - New",'FTE Pivot for regular counts'!$A$2,"State","MD","Category","9","Category2","Two-Year")</f>
        <v>22938.799999999999</v>
      </c>
      <c r="E111" s="15">
        <f>+GETPIVOTDATA("Undergrad Student Credit Hour FTE - New",'FTE Pivot for regular counts'!$A$2,"State","MD","Category","10","Category2","Two-Year")</f>
        <v>4085.5666666666666</v>
      </c>
      <c r="F111" s="23">
        <f>+GETPIVOTDATA("Undergrad Student Credit Hour FTE - New",'FTE Pivot for regular counts'!$A$2,"State","MD","Category2","Two-Year")</f>
        <v>104485.51666666666</v>
      </c>
      <c r="G111" s="18">
        <f>+GETPIVOTDATA("Undergrad Student Credit Hour FTE - New",'FTE Pivot for regular counts'!$A$2,"State","MD","Category","12","Category2","Technical")</f>
        <v>0</v>
      </c>
      <c r="H111" s="103">
        <f>+GETPIVOTDATA("Undergrad Student Credit Hour FTE - New",'FTE Pivot for regular counts'!$A$2,"State","MD","Category","13","Category2","Technical")</f>
        <v>0</v>
      </c>
      <c r="I111" s="73">
        <f>+GETPIVOTDATA("Undergrad Student Credit Hour FTE - New",'FTE Pivot for regular counts'!$A$2,"State","MD","Category2","Technical")</f>
        <v>0</v>
      </c>
      <c r="K111" s="73"/>
      <c r="L111" s="73"/>
      <c r="Q111" s="1" t="s">
        <v>71</v>
      </c>
      <c r="R111" s="15">
        <f>+GETPIVOTDATA("Undergrad Student Credit Hour  FTE - Old",'FTE Pivot for regular counts'!$A$2,"State","MD","Category","7","Category2","Two-Year")</f>
        <v>0</v>
      </c>
      <c r="S111" s="15">
        <f>+GETPIVOTDATA("Undergrad Student Credit Hour  FTE - Old",'FTE Pivot for regular counts'!$A$2,"State","MD","Category","8","Category2","Two-Year")</f>
        <v>70204.950000000012</v>
      </c>
      <c r="T111" s="15">
        <f>+GETPIVOTDATA("Undergrad Student Credit Hour  FTE - Old",'FTE Pivot for regular counts'!$A$2,"State","MD","Category","9","Category2","Two-Year")</f>
        <v>24798.749999999996</v>
      </c>
      <c r="U111" s="15">
        <f>+GETPIVOTDATA("Undergrad Student Credit Hour  FTE - Old",'FTE Pivot for regular counts'!$A$2,"State","MD","Category","10","Category2","Two-Year")</f>
        <v>4195.625</v>
      </c>
      <c r="V111" s="23">
        <f>+GETPIVOTDATA("Undergrad Student Credit Hour  FTE - Old",'FTE Pivot for regular counts'!$A$2,"State","MD","Category2","Two-Year")</f>
        <v>99199.325000000012</v>
      </c>
      <c r="W111" s="18">
        <f>+GETPIVOTDATA("Undergrad Student Credit Hour  FTE - Old",'FTE Pivot for regular counts'!$A$2,"State","MD","Category","12","Category2","Technical")</f>
        <v>0</v>
      </c>
      <c r="X111" s="15">
        <f>+GETPIVOTDATA("Undergrad Student Credit Hour  FTE - Old",'FTE Pivot for regular counts'!$A$2,"State","MD","Category","13","Category2","Technical")</f>
        <v>0</v>
      </c>
      <c r="Y111" s="25">
        <f>+GETPIVOTDATA("Undergrad Student Credit Hour  FTE - Old",'FTE Pivot for regular counts'!$A$2,"State","MD","Category2","Technical")</f>
        <v>0</v>
      </c>
      <c r="Z111" s="25"/>
    </row>
    <row r="112" spans="1:26" ht="15" customHeight="1">
      <c r="B112" s="15"/>
      <c r="C112" s="15"/>
      <c r="D112" s="15"/>
      <c r="E112" s="15"/>
      <c r="F112" s="23"/>
      <c r="G112" s="18"/>
      <c r="H112" s="103"/>
      <c r="I112" s="73"/>
      <c r="K112" s="73"/>
      <c r="L112" s="73"/>
      <c r="R112" s="15"/>
      <c r="S112" s="15"/>
      <c r="T112" s="15"/>
      <c r="U112" s="15"/>
      <c r="V112" s="23"/>
      <c r="W112" s="18"/>
      <c r="X112" s="15"/>
      <c r="Y112" s="25"/>
      <c r="Z112" s="25"/>
    </row>
    <row r="113" spans="1:26" ht="15" customHeight="1">
      <c r="A113" s="1" t="s">
        <v>72</v>
      </c>
      <c r="B113" s="15">
        <f>+GETPIVOTDATA("Undergrad Student Credit Hour FTE - New",'FTE Pivot for regular counts'!$A$2,"State","MS","Category","7","Category2","Two-Year")</f>
        <v>0</v>
      </c>
      <c r="C113" s="15">
        <f>+GETPIVOTDATA("Undergrad Student Credit Hour FTE - New",'FTE Pivot for regular counts'!$A$2,"State","MS","Category","8","Category2","Two-Year")</f>
        <v>30720.26666666667</v>
      </c>
      <c r="D113" s="15">
        <f>+GETPIVOTDATA("Undergrad Student Credit Hour FTE - New",'FTE Pivot for regular counts'!$A$2,"State","MS","Category","9","Category2","Two-Year")</f>
        <v>31317.4</v>
      </c>
      <c r="E113" s="15">
        <f>+GETPIVOTDATA("Undergrad Student Credit Hour FTE - New",'FTE Pivot for regular counts'!$A$2,"State","MS","Category","10","Category2","Two-Year")</f>
        <v>3812.2</v>
      </c>
      <c r="F113" s="23">
        <f>+GETPIVOTDATA("Undergrad Student Credit Hour FTE - New",'FTE Pivot for regular counts'!$A$2,"State","MS","Category2","Two-Year")</f>
        <v>65849.866666666669</v>
      </c>
      <c r="G113" s="18">
        <f>+GETPIVOTDATA("Undergrad Student Credit Hour FTE - New",'FTE Pivot for regular counts'!$A$2,"State","MS","Category","12","Category2","Technical")</f>
        <v>0</v>
      </c>
      <c r="H113" s="103">
        <f>+GETPIVOTDATA("Undergrad Student Credit Hour FTE - New",'FTE Pivot for regular counts'!$A$2,"State","MS","Category","13","Category2","Technical")</f>
        <v>0</v>
      </c>
      <c r="I113" s="73">
        <f>+GETPIVOTDATA("Undergrad Student Credit Hour FTE - New",'FTE Pivot for regular counts'!$A$2,"State","MS","Category2","Technical")</f>
        <v>0</v>
      </c>
      <c r="K113" s="73"/>
      <c r="L113" s="73"/>
      <c r="Q113" s="1" t="s">
        <v>72</v>
      </c>
      <c r="R113" s="15">
        <f>+GETPIVOTDATA("Undergrad Student Credit Hour  FTE - Old",'FTE Pivot for regular counts'!$A$2,"State","MS","Category","7","Category2","Two-Year")</f>
        <v>0</v>
      </c>
      <c r="S113" s="15">
        <f>+GETPIVOTDATA("Undergrad Student Credit Hour  FTE - Old",'FTE Pivot for regular counts'!$A$2,"State","MS","Category","8","Category2","Two-Year")</f>
        <v>33757.566666666666</v>
      </c>
      <c r="T113" s="15">
        <f>+GETPIVOTDATA("Undergrad Student Credit Hour  FTE - Old",'FTE Pivot for regular counts'!$A$2,"State","MS","Category","9","Category2","Two-Year")</f>
        <v>34043.916666666672</v>
      </c>
      <c r="U113" s="15">
        <f>+GETPIVOTDATA("Undergrad Student Credit Hour  FTE - Old",'FTE Pivot for regular counts'!$A$2,"State","MS","Category","10","Category2","Two-Year")</f>
        <v>4316.0666666666666</v>
      </c>
      <c r="V113" s="23">
        <f>+GETPIVOTDATA("Undergrad Student Credit Hour  FTE - Old",'FTE Pivot for regular counts'!$A$2,"State","MS","Category2","Two-Year")</f>
        <v>72117.55</v>
      </c>
      <c r="W113" s="18">
        <f>+GETPIVOTDATA("Undergrad Student Credit Hour  FTE - Old",'FTE Pivot for regular counts'!$A$2,"State","MS","Category","12","Category2","Technical")</f>
        <v>0</v>
      </c>
      <c r="X113" s="15">
        <f>+GETPIVOTDATA("Undergrad Student Credit Hour  FTE - Old",'FTE Pivot for regular counts'!$A$2,"State","MS","Category","13","Category2","Technical")</f>
        <v>0</v>
      </c>
      <c r="Y113" s="25">
        <f>+GETPIVOTDATA("Undergrad Student Credit Hour  FTE - Old",'FTE Pivot for regular counts'!$A$2,"State","MS","Category2","Technical")</f>
        <v>0</v>
      </c>
      <c r="Z113" s="25"/>
    </row>
    <row r="114" spans="1:26" ht="15" customHeight="1">
      <c r="A114" s="1" t="s">
        <v>73</v>
      </c>
      <c r="B114" s="15">
        <f>+GETPIVOTDATA("Undergrad Student Credit Hour FTE - New",'FTE Pivot for regular counts'!$A$2,"State","NC","Category","7","Category2","Two-Year")</f>
        <v>0</v>
      </c>
      <c r="C114" s="15">
        <f>+GETPIVOTDATA("Undergrad Student Credit Hour FTE - New",'FTE Pivot for regular counts'!$A$2,"State","NC","Category","8","Category2","Two-Year")</f>
        <v>81917.100000000006</v>
      </c>
      <c r="D114" s="15">
        <f>+GETPIVOTDATA("Undergrad Student Credit Hour FTE - New",'FTE Pivot for regular counts'!$A$2,"State","NC","Category","9","Category2","Two-Year")</f>
        <v>62035.233333333337</v>
      </c>
      <c r="E114" s="15">
        <f>+GETPIVOTDATA("Undergrad Student Credit Hour FTE - New",'FTE Pivot for regular counts'!$A$2,"State","NC","Category","10","Category2","Two-Year")</f>
        <v>25348.866666666665</v>
      </c>
      <c r="F114" s="23">
        <f>+GETPIVOTDATA("Undergrad Student Credit Hour FTE - New",'FTE Pivot for regular counts'!$A$2,"State","NC","Category2","Two-Year")</f>
        <v>169301.2</v>
      </c>
      <c r="G114" s="18">
        <f>+GETPIVOTDATA("Undergrad Student Credit Hour FTE - New",'FTE Pivot for regular counts'!$A$2,"State","NC","Category","12","Category2","Technical")</f>
        <v>0</v>
      </c>
      <c r="H114" s="103">
        <f>+GETPIVOTDATA("Undergrad Student Credit Hour FTE - New",'FTE Pivot for regular counts'!$A$2,"State","NC","Category","13","Category2","Technical")</f>
        <v>0</v>
      </c>
      <c r="I114" s="73">
        <f>+GETPIVOTDATA("Undergrad Student Credit Hour FTE - New",'FTE Pivot for regular counts'!$A$2,"State","NC","Category2","Technical")</f>
        <v>0</v>
      </c>
      <c r="K114" s="73"/>
      <c r="L114" s="73"/>
      <c r="Q114" s="1" t="s">
        <v>73</v>
      </c>
      <c r="R114" s="15">
        <f>+GETPIVOTDATA("Undergrad Student Credit Hour  FTE - Old",'FTE Pivot for regular counts'!$A$2,"State","NC","Category","7","Category2","Two-Year")</f>
        <v>0</v>
      </c>
      <c r="S114" s="15">
        <f>+GETPIVOTDATA("Undergrad Student Credit Hour  FTE - Old",'FTE Pivot for regular counts'!$A$2,"State","NC","Category","8","Category2","Two-Year")</f>
        <v>82142.633333333331</v>
      </c>
      <c r="T114" s="15">
        <f>+GETPIVOTDATA("Undergrad Student Credit Hour  FTE - Old",'FTE Pivot for regular counts'!$A$2,"State","NC","Category","9","Category2","Two-Year")</f>
        <v>66190.000000000015</v>
      </c>
      <c r="U114" s="15">
        <f>+GETPIVOTDATA("Undergrad Student Credit Hour  FTE - Old",'FTE Pivot for regular counts'!$A$2,"State","NC","Category","10","Category2","Two-Year")</f>
        <v>27244.7</v>
      </c>
      <c r="V114" s="23">
        <f>+GETPIVOTDATA("Undergrad Student Credit Hour  FTE - Old",'FTE Pivot for regular counts'!$A$2,"State","NC","Category2","Two-Year")</f>
        <v>175577.33333333337</v>
      </c>
      <c r="W114" s="18">
        <f>+GETPIVOTDATA("Undergrad Student Credit Hour  FTE - Old",'FTE Pivot for regular counts'!$A$2,"State","NC","Category","12","Category2","Technical")</f>
        <v>0</v>
      </c>
      <c r="X114" s="15">
        <f>+GETPIVOTDATA("Undergrad Student Credit Hour  FTE - Old",'FTE Pivot for regular counts'!$A$2,"State","NC","Category","13","Category2","Technical")</f>
        <v>0</v>
      </c>
      <c r="Y114" s="25">
        <f>+GETPIVOTDATA("Undergrad Student Credit Hour  FTE - Old",'FTE Pivot for regular counts'!$A$2,"State","NC","Category2","Technical")</f>
        <v>0</v>
      </c>
      <c r="Z114" s="25"/>
    </row>
    <row r="115" spans="1:26" ht="15" customHeight="1">
      <c r="A115" s="1" t="s">
        <v>74</v>
      </c>
      <c r="B115" s="15">
        <f>+GETPIVOTDATA("Undergrad Student Credit Hour FTE - New",'FTE Pivot for regular counts'!$A$2,"State","OK","Category","7","Category2","Two-Year")</f>
        <v>9498.9666666666672</v>
      </c>
      <c r="C115" s="15">
        <f>+GETPIVOTDATA("Undergrad Student Credit Hour FTE - New",'FTE Pivot for regular counts'!$A$2,"State","OK","Category","8","Category2","Two-Year")</f>
        <v>27029.933333333334</v>
      </c>
      <c r="D115" s="15">
        <f>+GETPIVOTDATA("Undergrad Student Credit Hour FTE - New",'FTE Pivot for regular counts'!$A$2,"State","OK","Category","9","Category2","Two-Year")</f>
        <v>5035.9666666666672</v>
      </c>
      <c r="E115" s="15">
        <f>+GETPIVOTDATA("Undergrad Student Credit Hour FTE - New",'FTE Pivot for regular counts'!$A$2,"State","OK","Category","10","Category2","Two-Year")</f>
        <v>12412.7</v>
      </c>
      <c r="F115" s="23">
        <f>+GETPIVOTDATA("Undergrad Student Credit Hour FTE - New",'FTE Pivot for regular counts'!$A$2,"State","OK","Category2","Two-Year")</f>
        <v>53977.566666666666</v>
      </c>
      <c r="G115" s="18">
        <f>+GETPIVOTDATA("Undergrad Student Credit Hour FTE - New",'FTE Pivot for regular counts'!$A$2,"State","OK","Category","12","Category2","Technical")</f>
        <v>0</v>
      </c>
      <c r="H115" s="103">
        <f>+GETPIVOTDATA("Undergrad Student Credit Hour FTE - New",'FTE Pivot for regular counts'!$A$2,"State","OK","Category","13","Category2","Technical")</f>
        <v>0</v>
      </c>
      <c r="I115" s="73">
        <f>+GETPIVOTDATA("Undergrad Student Credit Hour FTE - New",'FTE Pivot for regular counts'!$A$2,"State","OK","Category2","Technical")</f>
        <v>0</v>
      </c>
      <c r="K115" s="73"/>
      <c r="L115" s="73"/>
      <c r="Q115" s="1" t="s">
        <v>74</v>
      </c>
      <c r="R115" s="15">
        <f>+GETPIVOTDATA("Undergrad Student Credit Hour  FTE - Old",'FTE Pivot for regular counts'!$A$2,"State","OK","Category","7","Category2","Two-Year")</f>
        <v>8835.7333333333336</v>
      </c>
      <c r="S115" s="15">
        <f>+GETPIVOTDATA("Undergrad Student Credit Hour  FTE - Old",'FTE Pivot for regular counts'!$A$2,"State","OK","Category","8","Category2","Two-Year")</f>
        <v>28434.266666666663</v>
      </c>
      <c r="T115" s="15">
        <f>+GETPIVOTDATA("Undergrad Student Credit Hour  FTE - Old",'FTE Pivot for regular counts'!$A$2,"State","OK","Category","9","Category2","Two-Year")</f>
        <v>6122.3666666666668</v>
      </c>
      <c r="U115" s="15">
        <f>+GETPIVOTDATA("Undergrad Student Credit Hour  FTE - Old",'FTE Pivot for regular counts'!$A$2,"State","OK","Category","10","Category2","Two-Year")</f>
        <v>12909.900000000001</v>
      </c>
      <c r="V115" s="23">
        <f>+GETPIVOTDATA("Undergrad Student Credit Hour  FTE - Old",'FTE Pivot for regular counts'!$A$2,"State","OK","Category2","Two-Year")</f>
        <v>56302.26666666667</v>
      </c>
      <c r="W115" s="18">
        <f>+GETPIVOTDATA("Undergrad Student Credit Hour  FTE - Old",'FTE Pivot for regular counts'!$A$2,"State","OK","Category","12","Category2","Technical")</f>
        <v>0</v>
      </c>
      <c r="X115" s="15">
        <f>+GETPIVOTDATA("Undergrad Student Credit Hour  FTE - Old",'FTE Pivot for regular counts'!$A$2,"State","OK","Category","13","Category2","Technical")</f>
        <v>0</v>
      </c>
      <c r="Y115" s="25">
        <f>+GETPIVOTDATA("Undergrad Student Credit Hour  FTE - Old",'FTE Pivot for regular counts'!$A$2,"State","OK","Category2","Technical")</f>
        <v>0</v>
      </c>
      <c r="Z115" s="25"/>
    </row>
    <row r="116" spans="1:26" ht="15" customHeight="1">
      <c r="A116" s="1" t="s">
        <v>75</v>
      </c>
      <c r="B116" s="15">
        <f>+GETPIVOTDATA("Undergrad Student Credit Hour FTE - New",'FTE Pivot for regular counts'!$A$2,"State","SC","Category","7","Category2","Two-Year")</f>
        <v>0</v>
      </c>
      <c r="C116" s="15">
        <f>+GETPIVOTDATA("Undergrad Student Credit Hour FTE - New",'FTE Pivot for regular counts'!$A$2,"State","SC","Category","8","Category2","Two-Year")</f>
        <v>57001.922666666665</v>
      </c>
      <c r="D116" s="15">
        <f>+GETPIVOTDATA("Undergrad Student Credit Hour FTE - New",'FTE Pivot for regular counts'!$A$2,"State","SC","Category","9","Category2","Two-Year")</f>
        <v>16852.201000000001</v>
      </c>
      <c r="E116" s="15">
        <f>+GETPIVOTDATA("Undergrad Student Credit Hour FTE - New",'FTE Pivot for regular counts'!$A$2,"State","SC","Category","10","Category2","Two-Year")</f>
        <v>8725.2860000000001</v>
      </c>
      <c r="F116" s="23">
        <f>+GETPIVOTDATA("Undergrad Student Credit Hour FTE - New",'FTE Pivot for regular counts'!$A$2,"State","SC","Category2","Two-Year")</f>
        <v>82579.409666666674</v>
      </c>
      <c r="G116" s="18">
        <f>+GETPIVOTDATA("Undergrad Student Credit Hour FTE - New",'FTE Pivot for regular counts'!$A$2,"State","SC","Category","12","Category2","Technical")</f>
        <v>0</v>
      </c>
      <c r="H116" s="103">
        <f>+GETPIVOTDATA("Undergrad Student Credit Hour FTE - New",'FTE Pivot for regular counts'!$A$2,"State","SC","Category","13","Category2","Technical")</f>
        <v>0</v>
      </c>
      <c r="I116" s="73">
        <f>+GETPIVOTDATA("Undergrad Student Credit Hour FTE - New",'FTE Pivot for regular counts'!$A$2,"State","SC","Category2","Technical")</f>
        <v>0</v>
      </c>
      <c r="K116" s="73"/>
      <c r="L116" s="73"/>
      <c r="Q116" s="1" t="s">
        <v>75</v>
      </c>
      <c r="R116" s="15">
        <f>+GETPIVOTDATA("Undergrad Student Credit Hour  FTE - Old",'FTE Pivot for regular counts'!$A$2,"State","SC","Category","7","Category2","Two-Year")</f>
        <v>0</v>
      </c>
      <c r="S116" s="15">
        <f>+GETPIVOTDATA("Undergrad Student Credit Hour  FTE - Old",'FTE Pivot for regular counts'!$A$2,"State","SC","Category","8","Category2","Two-Year")</f>
        <v>57517.322666666667</v>
      </c>
      <c r="T116" s="15">
        <f>+GETPIVOTDATA("Undergrad Student Credit Hour  FTE - Old",'FTE Pivot for regular counts'!$A$2,"State","SC","Category","9","Category2","Two-Year")</f>
        <v>17807.101000000002</v>
      </c>
      <c r="U116" s="15">
        <f>+GETPIVOTDATA("Undergrad Student Credit Hour  FTE - Old",'FTE Pivot for regular counts'!$A$2,"State","SC","Category","10","Category2","Two-Year")</f>
        <v>8309.9860000000008</v>
      </c>
      <c r="V116" s="23">
        <f>+GETPIVOTDATA("Undergrad Student Credit Hour  FTE - Old",'FTE Pivot for regular counts'!$A$2,"State","SC","Category2","Two-Year")</f>
        <v>83634.409666666674</v>
      </c>
      <c r="W116" s="18">
        <f>+GETPIVOTDATA("Undergrad Student Credit Hour  FTE - Old",'FTE Pivot for regular counts'!$A$2,"State","SC","Category","12","Category2","Technical")</f>
        <v>0</v>
      </c>
      <c r="X116" s="15">
        <f>+GETPIVOTDATA("Undergrad Student Credit Hour  FTE - Old",'FTE Pivot for regular counts'!$A$2,"State","SC","Category","13","Category2","Technical")</f>
        <v>0</v>
      </c>
      <c r="Y116" s="25">
        <f>+GETPIVOTDATA("Undergrad Student Credit Hour  FTE - Old",'FTE Pivot for regular counts'!$A$2,"State","SC","Category2","Technical")</f>
        <v>0</v>
      </c>
      <c r="Z116" s="25"/>
    </row>
    <row r="117" spans="1:26" ht="15" customHeight="1">
      <c r="B117" s="15"/>
      <c r="C117" s="15"/>
      <c r="D117" s="15"/>
      <c r="E117" s="15"/>
      <c r="F117" s="23"/>
      <c r="G117" s="18"/>
      <c r="H117" s="103"/>
      <c r="I117" s="73"/>
      <c r="K117" s="73"/>
      <c r="L117" s="73"/>
      <c r="R117" s="15"/>
      <c r="S117" s="15"/>
      <c r="T117" s="15"/>
      <c r="U117" s="15"/>
      <c r="V117" s="23"/>
      <c r="W117" s="18"/>
      <c r="X117" s="15"/>
      <c r="Y117" s="25"/>
      <c r="Z117" s="25"/>
    </row>
    <row r="118" spans="1:26" ht="15" customHeight="1">
      <c r="A118" s="1" t="s">
        <v>76</v>
      </c>
      <c r="B118" s="15">
        <f>+GETPIVOTDATA("Undergrad Student Credit Hour FTE - New",'FTE Pivot for regular counts'!$A$2,"State","TN","Category","7","Category2","Two-Year")</f>
        <v>0</v>
      </c>
      <c r="C118" s="15">
        <f>+GETPIVOTDATA("Undergrad Student Credit Hour FTE - New",'FTE Pivot for regular counts'!$A$2,"State","TN","Category","8","Category2","Two-Year")</f>
        <v>34985.633333333331</v>
      </c>
      <c r="D118" s="15">
        <f>+GETPIVOTDATA("Undergrad Student Credit Hour FTE - New",'FTE Pivot for regular counts'!$A$2,"State","TN","Category","9","Category2","Two-Year")</f>
        <v>28006.433333333327</v>
      </c>
      <c r="E118" s="15">
        <f>+GETPIVOTDATA("Undergrad Student Credit Hour FTE - New",'FTE Pivot for regular counts'!$A$2,"State","TN","Category","10","Category2","Two-Year")</f>
        <v>0</v>
      </c>
      <c r="F118" s="23">
        <f>+GETPIVOTDATA("Undergrad Student Credit Hour FTE - New",'FTE Pivot for regular counts'!$A$2,"State","TN","Category2","Two-Year")</f>
        <v>62992.066666666658</v>
      </c>
      <c r="G118" s="18">
        <f>+GETPIVOTDATA("Undergrad Student Credit Hour FTE - New",'FTE Pivot for regular counts'!$A$2,"State","TN","Category","12","Category2","Technical")</f>
        <v>0</v>
      </c>
      <c r="H118" s="103">
        <f>+GETPIVOTDATA("Undergrad Student Credit Hour FTE - New",'FTE Pivot for regular counts'!$A$2,"State","TN","Category","13","Category2","Technical")</f>
        <v>0</v>
      </c>
      <c r="I118" s="73">
        <f>+GETPIVOTDATA("Undergrad Student Credit Hour FTE - New",'FTE Pivot for regular counts'!$A$2,"State","TN","Category2","Technical")</f>
        <v>0</v>
      </c>
      <c r="K118" s="73"/>
      <c r="L118" s="73"/>
      <c r="Q118" s="1" t="s">
        <v>76</v>
      </c>
      <c r="R118" s="15">
        <f>+GETPIVOTDATA("Undergrad Student Credit Hour  FTE - Old",'FTE Pivot for regular counts'!$A$2,"State","TN","Category","7","Category2","Two-Year")</f>
        <v>0</v>
      </c>
      <c r="S118" s="15">
        <f>+GETPIVOTDATA("Undergrad Student Credit Hour  FTE - Old",'FTE Pivot for regular counts'!$A$2,"State","TN","Category","8","Category2","Two-Year")</f>
        <v>37019.933333333334</v>
      </c>
      <c r="T118" s="15">
        <f>+GETPIVOTDATA("Undergrad Student Credit Hour  FTE - Old",'FTE Pivot for regular counts'!$A$2,"State","TN","Category","9","Category2","Two-Year")</f>
        <v>29790.466666666667</v>
      </c>
      <c r="U118" s="15">
        <f>+GETPIVOTDATA("Undergrad Student Credit Hour  FTE - Old",'FTE Pivot for regular counts'!$A$2,"State","TN","Category","10","Category2","Two-Year")</f>
        <v>0</v>
      </c>
      <c r="V118" s="23">
        <f>+GETPIVOTDATA("Undergrad Student Credit Hour  FTE - Old",'FTE Pivot for regular counts'!$A$2,"State","TN","Category2","Two-Year")</f>
        <v>66810.399999999994</v>
      </c>
      <c r="W118" s="18">
        <f>+GETPIVOTDATA("Undergrad Student Credit Hour  FTE - Old",'FTE Pivot for regular counts'!$A$2,"State","TN","Category","12","Category2","Technical")</f>
        <v>0</v>
      </c>
      <c r="X118" s="15">
        <f>+GETPIVOTDATA("Undergrad Student Credit Hour  FTE - Old",'FTE Pivot for regular counts'!$A$2,"State","TN","Category","13","Category2","Technical")</f>
        <v>0</v>
      </c>
      <c r="Y118" s="25">
        <f>+GETPIVOTDATA("Undergrad Student Credit Hour  FTE - Old",'FTE Pivot for regular counts'!$A$2,"State","TN","Category2","Technical")</f>
        <v>0</v>
      </c>
      <c r="Z118" s="25"/>
    </row>
    <row r="119" spans="1:26" ht="15" customHeight="1">
      <c r="A119" s="1" t="s">
        <v>77</v>
      </c>
      <c r="B119" s="15">
        <f>+GETPIVOTDATA("Undergrad Student Credit Hour FTE - New",'FTE Pivot for regular counts'!$A$2,"State","TX","Category","7","Category2","Two-Year")</f>
        <v>24786.933333333334</v>
      </c>
      <c r="C119" s="15">
        <f>+GETPIVOTDATA("Undergrad Student Credit Hour FTE - New",'FTE Pivot for regular counts'!$A$2,"State","TX","Category","8","Category2","Two-Year")</f>
        <v>365243.16666666663</v>
      </c>
      <c r="D119" s="15">
        <f>+GETPIVOTDATA("Undergrad Student Credit Hour FTE - New",'FTE Pivot for regular counts'!$A$2,"State","TX","Category","9","Category2","Two-Year")</f>
        <v>77561.766666666677</v>
      </c>
      <c r="E119" s="15">
        <f>+GETPIVOTDATA("Undergrad Student Credit Hour FTE - New",'FTE Pivot for regular counts'!$A$2,"State","TX","Category","10","Category2","Two-Year")</f>
        <v>11588.999999999998</v>
      </c>
      <c r="F119" s="23">
        <f>+GETPIVOTDATA("Undergrad Student Credit Hour FTE - New",'FTE Pivot for regular counts'!$A$2,"State","TX","Category2","Two-Year")</f>
        <v>479180.86666666664</v>
      </c>
      <c r="G119" s="18">
        <f>+GETPIVOTDATA("Undergrad Student Credit Hour FTE - New",'FTE Pivot for regular counts'!$A$2,"State","TX","Category","12","Category2","Technical")</f>
        <v>0</v>
      </c>
      <c r="H119" s="103">
        <f>+GETPIVOTDATA("Undergrad Student Credit Hour FTE - New",'FTE Pivot for regular counts'!$A$2,"State","TX","Category","13","Category2","Technical")</f>
        <v>0</v>
      </c>
      <c r="I119" s="73">
        <f>+GETPIVOTDATA("Undergrad Student Credit Hour FTE - New",'FTE Pivot for regular counts'!$A$2,"State","TX","Category2","Technical")</f>
        <v>0</v>
      </c>
      <c r="K119" s="73"/>
      <c r="L119" s="73"/>
      <c r="Q119" s="1" t="s">
        <v>77</v>
      </c>
      <c r="R119" s="15">
        <f>+GETPIVOTDATA("Undergrad Student Credit Hour  FTE - Old",'FTE Pivot for regular counts'!$A$2,"State","TX","Category","7","Category2","Two-Year")</f>
        <v>25594.699999999997</v>
      </c>
      <c r="S119" s="15">
        <f>+GETPIVOTDATA("Undergrad Student Credit Hour  FTE - Old",'FTE Pivot for regular counts'!$A$2,"State","TX","Category","8","Category2","Two-Year")</f>
        <v>378903.30000000005</v>
      </c>
      <c r="T119" s="15">
        <f>+GETPIVOTDATA("Undergrad Student Credit Hour  FTE - Old",'FTE Pivot for regular counts'!$A$2,"State","TX","Category","9","Category2","Two-Year")</f>
        <v>82406.299999999988</v>
      </c>
      <c r="U119" s="15">
        <f>+GETPIVOTDATA("Undergrad Student Credit Hour  FTE - Old",'FTE Pivot for regular counts'!$A$2,"State","TX","Category","10","Category2","Two-Year")</f>
        <v>11892.766666666668</v>
      </c>
      <c r="V119" s="23">
        <f>+GETPIVOTDATA("Undergrad Student Credit Hour  FTE - Old",'FTE Pivot for regular counts'!$A$2,"State","TX","Category2","Two-Year")</f>
        <v>498797.06666666671</v>
      </c>
      <c r="W119" s="18">
        <f>+GETPIVOTDATA("Undergrad Student Credit Hour  FTE - Old",'FTE Pivot for regular counts'!$A$2,"State","TX","Category","12","Category2","Technical")</f>
        <v>0</v>
      </c>
      <c r="X119" s="15">
        <f>+GETPIVOTDATA("Undergrad Student Credit Hour  FTE - Old",'FTE Pivot for regular counts'!$A$2,"State","TX","Category","13","Category2","Technical")</f>
        <v>0</v>
      </c>
      <c r="Y119" s="25">
        <f>+GETPIVOTDATA("Undergrad Student Credit Hour  FTE - Old",'FTE Pivot for regular counts'!$A$2,"State","TX","Category2","Technical")</f>
        <v>0</v>
      </c>
      <c r="Z119" s="25"/>
    </row>
    <row r="120" spans="1:26" ht="15" customHeight="1">
      <c r="A120" s="1" t="s">
        <v>78</v>
      </c>
      <c r="B120" s="15">
        <f>+GETPIVOTDATA("Undergrad Student Credit Hour FTE - New",'FTE Pivot for regular counts'!$A$2,"State","VA","Category","7","Category2","Two-Year")</f>
        <v>0</v>
      </c>
      <c r="C120" s="15">
        <f>+GETPIVOTDATA("Undergrad Student Credit Hour FTE - New",'FTE Pivot for regular counts'!$A$2,"State","VA","Category","8","Category2","Two-Year")</f>
        <v>74042.5</v>
      </c>
      <c r="D120" s="15">
        <f>+GETPIVOTDATA("Undergrad Student Credit Hour FTE - New",'FTE Pivot for regular counts'!$A$2,"State","VA","Category","9","Category2","Two-Year")</f>
        <v>47442</v>
      </c>
      <c r="E120" s="15">
        <f>+GETPIVOTDATA("Undergrad Student Credit Hour FTE - New",'FTE Pivot for regular counts'!$A$2,"State","VA","Category","10","Category2","Two-Year")</f>
        <v>7484.2</v>
      </c>
      <c r="F120" s="23">
        <f>+GETPIVOTDATA("Undergrad Student Credit Hour FTE - New",'FTE Pivot for regular counts'!$A$2,"State","VA","Category2","Two-Year")</f>
        <v>128968.7</v>
      </c>
      <c r="G120" s="18">
        <f>+GETPIVOTDATA("Undergrad Student Credit Hour FTE - New",'FTE Pivot for regular counts'!$A$2,"State","VA","Category","12","Category2","Technical")</f>
        <v>0</v>
      </c>
      <c r="H120" s="103">
        <f>+GETPIVOTDATA("Undergrad Student Credit Hour FTE - New",'FTE Pivot for regular counts'!$A$2,"State","VA","Category","13","Category2","Technical")</f>
        <v>0</v>
      </c>
      <c r="I120" s="73">
        <f>+GETPIVOTDATA("Undergrad Student Credit Hour FTE - New",'FTE Pivot for regular counts'!$A$2,"State","VA","Category2","Technical")</f>
        <v>0</v>
      </c>
      <c r="K120" s="73"/>
      <c r="L120" s="73"/>
      <c r="Q120" s="1" t="s">
        <v>78</v>
      </c>
      <c r="R120" s="15">
        <f>+GETPIVOTDATA("Undergrad Student Credit Hour  FTE - Old",'FTE Pivot for regular counts'!$A$2,"State","VA","Category","7","Category2","Two-Year")</f>
        <v>0</v>
      </c>
      <c r="S120" s="15">
        <f>+GETPIVOTDATA("Undergrad Student Credit Hour  FTE - Old",'FTE Pivot for regular counts'!$A$2,"State","VA","Category","8","Category2","Two-Year")</f>
        <v>73884.600000000006</v>
      </c>
      <c r="T120" s="15">
        <f>+GETPIVOTDATA("Undergrad Student Credit Hour  FTE - Old",'FTE Pivot for regular counts'!$A$2,"State","VA","Category","9","Category2","Two-Year")</f>
        <v>48716.466666666674</v>
      </c>
      <c r="U120" s="15">
        <f>+GETPIVOTDATA("Undergrad Student Credit Hour  FTE - Old",'FTE Pivot for regular counts'!$A$2,"State","VA","Category","10","Category2","Two-Year")</f>
        <v>7702.833333333333</v>
      </c>
      <c r="V120" s="23">
        <f>+GETPIVOTDATA("Undergrad Student Credit Hour  FTE - Old",'FTE Pivot for regular counts'!$A$2,"State","VA","Category2","Two-Year")</f>
        <v>130303.90000000001</v>
      </c>
      <c r="W120" s="18">
        <f>+GETPIVOTDATA("Undergrad Student Credit Hour  FTE - Old",'FTE Pivot for regular counts'!$A$2,"State","VA","Category","12","Category2","Technical")</f>
        <v>0</v>
      </c>
      <c r="X120" s="15">
        <f>+GETPIVOTDATA("Undergrad Student Credit Hour  FTE - Old",'FTE Pivot for regular counts'!$A$2,"State","VA","Category","13","Category2","Technical")</f>
        <v>0</v>
      </c>
      <c r="Y120" s="25">
        <f>+GETPIVOTDATA("Undergrad Student Credit Hour  FTE - Old",'FTE Pivot for regular counts'!$A$2,"State","VA","Category2","Technical")</f>
        <v>0</v>
      </c>
      <c r="Z120" s="25"/>
    </row>
    <row r="121" spans="1:26" ht="15" customHeight="1">
      <c r="A121" s="3" t="s">
        <v>79</v>
      </c>
      <c r="B121" s="6">
        <f>+GETPIVOTDATA("Undergrad Student Credit Hour FTE - New",'FTE Pivot for regular counts'!$A$2,"State","WV","Category","7","Category2","Two-Year")</f>
        <v>4472.5</v>
      </c>
      <c r="C121" s="6">
        <f>+GETPIVOTDATA("Undergrad Student Credit Hour FTE - New",'FTE Pivot for regular counts'!$A$2,"State","WV","Category","8","Category2","Two-Year")</f>
        <v>0</v>
      </c>
      <c r="D121" s="6">
        <f>+GETPIVOTDATA("Undergrad Student Credit Hour FTE - New",'FTE Pivot for regular counts'!$A$2,"State","WV","Category","9","Category2","Two-Year")</f>
        <v>6313.5433333333331</v>
      </c>
      <c r="E121" s="6">
        <f>+GETPIVOTDATA("Undergrad Student Credit Hour FTE - New",'FTE Pivot for regular counts'!$A$2,"State","WV","Category","10","Category2","Two-Year")</f>
        <v>7580.0366666666669</v>
      </c>
      <c r="F121" s="24">
        <f>+GETPIVOTDATA("Undergrad Student Credit Hour FTE - New",'FTE Pivot for regular counts'!$A$2,"State","WV","Category2","Two-Year")</f>
        <v>18366.080000000002</v>
      </c>
      <c r="G121" s="19">
        <f>+GETPIVOTDATA("Undergrad Student Credit Hour FTE - New",'FTE Pivot for regular counts'!$A$2,"State","WV","Category","12","Category2","Technical")</f>
        <v>0</v>
      </c>
      <c r="H121" s="116">
        <f>+GETPIVOTDATA("Undergrad Student Credit Hour FTE - New",'FTE Pivot for regular counts'!$A$2,"State","WV","Category","13","Category2","Technical")</f>
        <v>0</v>
      </c>
      <c r="I121" s="83">
        <f>+GETPIVOTDATA("Undergrad Student Credit Hour FTE - New",'FTE Pivot for regular counts'!$A$2,"State","WV","Category2","Technical")</f>
        <v>0</v>
      </c>
      <c r="K121" s="73"/>
      <c r="L121" s="73"/>
      <c r="Q121" s="3" t="s">
        <v>79</v>
      </c>
      <c r="R121" s="6">
        <f>+GETPIVOTDATA("Undergrad Student Credit Hour  FTE - Old",'FTE Pivot for regular counts'!$A$2,"State","WV","Category","7","Category2","Two-Year")</f>
        <v>4952.2</v>
      </c>
      <c r="S121" s="6">
        <f>+GETPIVOTDATA("Undergrad Student Credit Hour  FTE - Old",'FTE Pivot for regular counts'!$A$2,"State","WV","Category","8","Category2","Two-Year")</f>
        <v>0</v>
      </c>
      <c r="T121" s="6">
        <f>+GETPIVOTDATA("Undergrad Student Credit Hour  FTE - Old",'FTE Pivot for regular counts'!$A$2,"State","WV","Category","9","Category2","Two-Year")</f>
        <v>6783.2733333333326</v>
      </c>
      <c r="U121" s="6">
        <f>+GETPIVOTDATA("Undergrad Student Credit Hour  FTE - Old",'FTE Pivot for regular counts'!$A$2,"State","WV","Category","10","Category2","Two-Year")</f>
        <v>7788.1633333333339</v>
      </c>
      <c r="V121" s="24">
        <f>+GETPIVOTDATA("Undergrad Student Credit Hour  FTE - Old",'FTE Pivot for regular counts'!$A$2,"State","WV","Category2","Two-Year")</f>
        <v>19523.636666666665</v>
      </c>
      <c r="W121" s="19">
        <f>+GETPIVOTDATA("Undergrad Student Credit Hour  FTE - Old",'FTE Pivot for regular counts'!$A$2,"State","WV","Category","12","Category2","Technical")</f>
        <v>0</v>
      </c>
      <c r="X121" s="6">
        <f>+GETPIVOTDATA("Undergrad Student Credit Hour  FTE - Old",'FTE Pivot for regular counts'!$A$2,"State","WV","Category","13","Category2","Technical")</f>
        <v>0</v>
      </c>
      <c r="Y121" s="3">
        <f>+GETPIVOTDATA("Undergrad Student Credit Hour  FTE - Old",'FTE Pivot for regular counts'!$A$2,"State","WV","Category2","Technical")</f>
        <v>0</v>
      </c>
      <c r="Z121" s="25"/>
    </row>
    <row r="122" spans="1:26" ht="36.75" customHeight="1">
      <c r="A122" s="837" t="s">
        <v>986</v>
      </c>
      <c r="B122" s="837"/>
      <c r="C122" s="837"/>
      <c r="D122" s="837"/>
      <c r="E122" s="837"/>
      <c r="F122" s="837"/>
      <c r="G122" s="837"/>
      <c r="H122" s="837"/>
      <c r="I122" s="837"/>
      <c r="J122" s="333"/>
      <c r="K122" s="163"/>
      <c r="L122" s="163"/>
      <c r="M122" s="200"/>
    </row>
    <row r="123" spans="1:26" ht="10.5" customHeight="1">
      <c r="I123" s="169" t="s">
        <v>987</v>
      </c>
      <c r="J123" s="169"/>
      <c r="K123" s="169"/>
      <c r="L123" s="169"/>
      <c r="M123" s="201"/>
    </row>
    <row r="124" spans="1:26" ht="18">
      <c r="A124" s="838" t="s">
        <v>167</v>
      </c>
      <c r="B124" s="838"/>
      <c r="C124" s="838"/>
      <c r="D124" s="838"/>
      <c r="E124" s="838"/>
      <c r="F124" s="838"/>
      <c r="G124" s="838"/>
      <c r="H124" s="838"/>
      <c r="I124" s="838"/>
      <c r="J124" s="838"/>
      <c r="K124" s="164"/>
      <c r="L124" s="164"/>
      <c r="M124" s="178"/>
    </row>
    <row r="125" spans="1:26" ht="15.75">
      <c r="A125" s="77"/>
      <c r="B125" s="17"/>
      <c r="C125" s="43"/>
      <c r="D125" s="55"/>
      <c r="E125" s="17"/>
      <c r="F125" s="17"/>
      <c r="G125" s="17"/>
      <c r="H125" s="117"/>
      <c r="I125" s="17"/>
      <c r="J125" s="117"/>
      <c r="K125" s="117"/>
      <c r="L125" s="117"/>
      <c r="Q125" s="1" t="s">
        <v>38</v>
      </c>
    </row>
    <row r="126" spans="1:26" ht="15.75">
      <c r="A126" s="839" t="s">
        <v>35</v>
      </c>
      <c r="B126" s="839"/>
      <c r="C126" s="839"/>
      <c r="D126" s="839"/>
      <c r="E126" s="839"/>
      <c r="F126" s="839"/>
      <c r="G126" s="839"/>
      <c r="H126" s="839"/>
      <c r="I126" s="839"/>
      <c r="J126" s="839"/>
      <c r="K126" s="132"/>
      <c r="L126" s="132"/>
      <c r="Q126" s="196" t="s">
        <v>35</v>
      </c>
      <c r="R126" s="132"/>
      <c r="S126" s="132"/>
      <c r="T126" s="132"/>
      <c r="U126" s="132"/>
      <c r="V126" s="132"/>
      <c r="W126" s="132"/>
      <c r="X126" s="132"/>
      <c r="Y126" s="132"/>
      <c r="Z126" s="132"/>
    </row>
    <row r="127" spans="1:26" ht="15.75">
      <c r="A127" s="839" t="s">
        <v>982</v>
      </c>
      <c r="B127" s="839"/>
      <c r="C127" s="839"/>
      <c r="D127" s="839"/>
      <c r="E127" s="839"/>
      <c r="F127" s="839"/>
      <c r="G127" s="839"/>
      <c r="H127" s="839"/>
      <c r="I127" s="839"/>
      <c r="J127" s="839"/>
      <c r="K127" s="132"/>
      <c r="L127" s="132"/>
      <c r="Q127" s="196" t="s">
        <v>170</v>
      </c>
      <c r="R127" s="132"/>
      <c r="S127" s="132"/>
      <c r="T127" s="132"/>
      <c r="U127" s="132"/>
      <c r="V127" s="132"/>
      <c r="W127" s="132"/>
      <c r="X127" s="132"/>
      <c r="Y127" s="132"/>
      <c r="Z127" s="132"/>
    </row>
    <row r="128" spans="1:26">
      <c r="A128" s="22"/>
      <c r="B128" s="22"/>
      <c r="C128" s="22"/>
      <c r="D128" s="22"/>
      <c r="E128" s="22"/>
      <c r="F128" s="22"/>
      <c r="G128" s="22"/>
      <c r="H128" s="106"/>
      <c r="I128" s="22"/>
      <c r="J128" s="106"/>
      <c r="K128" s="106"/>
      <c r="L128" s="106"/>
      <c r="Q128" s="22"/>
      <c r="R128" s="22"/>
      <c r="S128" s="22"/>
      <c r="T128" s="22"/>
      <c r="U128" s="22"/>
      <c r="V128" s="22"/>
      <c r="W128" s="22"/>
      <c r="X128" s="22"/>
      <c r="Y128" s="22"/>
      <c r="Z128" s="22"/>
    </row>
    <row r="129" spans="1:25">
      <c r="A129" s="404"/>
      <c r="B129" s="405" t="s">
        <v>63</v>
      </c>
      <c r="C129" s="405"/>
      <c r="D129" s="354"/>
      <c r="E129" s="354"/>
      <c r="F129" s="354"/>
      <c r="G129" s="406" t="s">
        <v>45</v>
      </c>
      <c r="H129" s="108"/>
      <c r="I129" s="407"/>
      <c r="J129" s="170" t="s">
        <v>28</v>
      </c>
      <c r="K129" s="170"/>
      <c r="L129" s="73"/>
      <c r="M129" s="1"/>
      <c r="P129" s="61"/>
      <c r="Q129" s="56" t="s">
        <v>63</v>
      </c>
      <c r="R129" s="56"/>
      <c r="S129" s="27"/>
      <c r="T129" s="27"/>
      <c r="U129" s="27"/>
      <c r="V129" s="57" t="s">
        <v>45</v>
      </c>
      <c r="W129" s="29"/>
      <c r="X129" s="30"/>
      <c r="Y129" s="417" t="s">
        <v>28</v>
      </c>
    </row>
    <row r="130" spans="1:25" ht="24">
      <c r="A130" s="45"/>
      <c r="B130" s="58" t="s">
        <v>140</v>
      </c>
      <c r="C130" s="46">
        <v>1</v>
      </c>
      <c r="D130" s="46">
        <v>2</v>
      </c>
      <c r="E130" s="46">
        <v>3</v>
      </c>
      <c r="F130" s="46" t="s">
        <v>30</v>
      </c>
      <c r="G130" s="60">
        <v>1</v>
      </c>
      <c r="H130" s="94">
        <v>2</v>
      </c>
      <c r="I130" s="93" t="s">
        <v>30</v>
      </c>
      <c r="J130" s="123"/>
      <c r="K130" s="123"/>
      <c r="L130" s="73"/>
      <c r="M130" s="1"/>
      <c r="P130" s="45"/>
      <c r="Q130" s="58" t="s">
        <v>140</v>
      </c>
      <c r="R130" s="46">
        <v>1</v>
      </c>
      <c r="S130" s="46">
        <v>2</v>
      </c>
      <c r="T130" s="46">
        <v>3</v>
      </c>
      <c r="U130" s="46" t="s">
        <v>30</v>
      </c>
      <c r="V130" s="60">
        <v>1</v>
      </c>
      <c r="W130" s="47">
        <v>2</v>
      </c>
      <c r="X130" s="46" t="s">
        <v>30</v>
      </c>
      <c r="Y130" s="418"/>
    </row>
    <row r="131" spans="1:25" ht="15" customHeight="1">
      <c r="A131" s="1" t="s">
        <v>64</v>
      </c>
      <c r="B131" s="7">
        <f>+GETPIVOTDATA(" Undergrad Contact Hour FTE - New",'FTE Pivot for regular counts'!$A$2,"Category","7","Category2","Two-Year")</f>
        <v>11868.126666666667</v>
      </c>
      <c r="C131" s="7">
        <f>+GETPIVOTDATA(" Undergrad Contact Hour FTE - New",'FTE Pivot for regular counts'!$A$2,"Category","8","Category2","Two-Year")</f>
        <v>36406.478888888887</v>
      </c>
      <c r="D131" s="7">
        <f>+GETPIVOTDATA(" Undergrad Contact Hour FTE - New",'FTE Pivot for regular counts'!$A$2,"Category","9","Category2","Two-Year")</f>
        <v>22838.25</v>
      </c>
      <c r="E131" s="7">
        <f>+GETPIVOTDATA(" Undergrad Contact Hour FTE - New",'FTE Pivot for regular counts'!$A$2,"Category","10","Category2","Two-Year")</f>
        <v>10133.348888888888</v>
      </c>
      <c r="F131" s="8">
        <f>+GETPIVOTDATA(" Undergrad Contact Hour FTE - New",'FTE Pivot for regular counts'!$A$2,"Category2","Two-Year")</f>
        <v>81246.204444444447</v>
      </c>
      <c r="G131" s="7">
        <f>+GETPIVOTDATA(" Undergrad Contact Hour FTE - New",'FTE Pivot for regular counts'!$A$2,"Category","12","Category2","Technical")</f>
        <v>5209.4522222222213</v>
      </c>
      <c r="H131" s="118">
        <f>+GETPIVOTDATA(" Undergrad Contact Hour FTE - New",'FTE Pivot for regular counts'!$A$2,"Category","13","Category2","Technical")</f>
        <v>26223.767777777772</v>
      </c>
      <c r="I131" s="118">
        <f>+GETPIVOTDATA(" Undergrad Contact Hour FTE - New",'FTE Pivot for regular counts'!$A$2,"Category2","Technical")</f>
        <v>31433.219999999994</v>
      </c>
      <c r="J131" s="118"/>
      <c r="K131" s="118"/>
      <c r="L131" s="73"/>
      <c r="M131" s="1"/>
      <c r="P131" s="1" t="s">
        <v>64</v>
      </c>
      <c r="Q131" s="7">
        <f>+GETPIVOTDATA(" Undergrad Contact Hour FTE - Old",'FTE Pivot for regular counts'!$A$2,"Category","7","Category2","Two-Year")</f>
        <v>14589.29888888889</v>
      </c>
      <c r="R131" s="7">
        <f>+GETPIVOTDATA(" Undergrad Contact Hour FTE - Old",'FTE Pivot for regular counts'!$A$2,"Category","8","Category2","Two-Year")</f>
        <v>37476.965555555551</v>
      </c>
      <c r="S131" s="7">
        <f>+GETPIVOTDATA(" Undergrad Contact Hour FTE - Old",'FTE Pivot for regular counts'!$A$2,"Category","9","Category2","Two-Year")</f>
        <v>23488.522222222226</v>
      </c>
      <c r="T131" s="7">
        <f>+GETPIVOTDATA(" Undergrad Contact Hour FTE - Old",'FTE Pivot for regular counts'!$A$2,"Category","10","Category2","Two-Year")</f>
        <v>9621.3166666666675</v>
      </c>
      <c r="U131" s="8">
        <f>+GETPIVOTDATA(" Undergrad Contact Hour FTE - Old",'FTE Pivot for regular counts'!$A$2,"Category2","Two-Year")</f>
        <v>85176.103333333347</v>
      </c>
      <c r="V131" s="7">
        <f>+GETPIVOTDATA(" Undergrad Contact Hour FTE - Old",'FTE Pivot for regular counts'!$A$2,"Category","12","Category2","Technical")</f>
        <v>5377.0617888888883</v>
      </c>
      <c r="W131" s="7">
        <f>+GETPIVOTDATA(" Undergrad Contact Hour FTE - Old",'FTE Pivot for regular counts'!$A$2,"Category","13","Category2","Technical")</f>
        <v>26880.628744444439</v>
      </c>
      <c r="X131" s="7">
        <f>+GETPIVOTDATA(" Undergrad Contact Hour FTE - Old",'FTE Pivot for regular counts'!$A$2,"Category2","Technical")</f>
        <v>32257.690533333327</v>
      </c>
      <c r="Y131" s="32"/>
    </row>
    <row r="132" spans="1:25" ht="15" customHeight="1">
      <c r="B132" s="7"/>
      <c r="C132" s="32"/>
      <c r="D132" s="32"/>
      <c r="G132" s="31"/>
      <c r="I132" s="4"/>
      <c r="L132" s="73"/>
      <c r="M132" s="1"/>
      <c r="Q132" s="7"/>
      <c r="R132" s="32"/>
      <c r="S132" s="32"/>
      <c r="V132" s="31"/>
      <c r="Y132" s="25"/>
    </row>
    <row r="133" spans="1:25" ht="15" customHeight="1">
      <c r="A133" s="1" t="s">
        <v>65</v>
      </c>
      <c r="B133" s="7">
        <f>+GETPIVOTDATA(" Undergrad Contact Hour FTE - New",'FTE Pivot for regular counts'!$A$2,"State","AL","Category","7","Category2","Two-Year")</f>
        <v>0</v>
      </c>
      <c r="C133" s="7">
        <f>+GETPIVOTDATA(" Undergrad Contact Hour FTE - New",'FTE Pivot for regular counts'!$A$2,"State","AL","Category","8","Category2","Two-Year")</f>
        <v>0</v>
      </c>
      <c r="D133" s="7">
        <f>+GETPIVOTDATA(" Undergrad Contact Hour FTE - New",'FTE Pivot for regular counts'!$A$2,"State","AL","Category","9","Category2","Two-Year")</f>
        <v>0</v>
      </c>
      <c r="E133" s="7">
        <f>+GETPIVOTDATA(" Undergrad Contact Hour FTE - New",'FTE Pivot for regular counts'!$A$2,"State","AL","Category","10","Category2","Two-Year")</f>
        <v>0</v>
      </c>
      <c r="F133" s="8">
        <f>+GETPIVOTDATA(" Undergrad Contact Hour FTE - New",'FTE Pivot for regular counts'!$A$2,"State","AL","Category2","Two-Year")</f>
        <v>0</v>
      </c>
      <c r="G133" s="7">
        <f>+GETPIVOTDATA(" Undergrad Contact Hour FTE - New",'FTE Pivot for regular counts'!$A$2,"State","AL","Category","12","Category2","Technical")</f>
        <v>0</v>
      </c>
      <c r="H133" s="118">
        <f>+GETPIVOTDATA(" Undergrad Contact Hour FTE - New",'FTE Pivot for regular counts'!$A$2,"State","AL","Category","13","Category2","Technical")</f>
        <v>0</v>
      </c>
      <c r="I133" s="118">
        <f>+GETPIVOTDATA(" Undergrad Contact Hour FTE - New",'FTE Pivot for regular counts'!$A$2,"State","AL","Category2","Technical")</f>
        <v>0</v>
      </c>
      <c r="J133" s="118"/>
      <c r="K133" s="118"/>
      <c r="L133" s="73"/>
      <c r="M133" s="1"/>
      <c r="P133" s="1" t="s">
        <v>65</v>
      </c>
      <c r="Q133" s="7">
        <f>+GETPIVOTDATA(" Undergrad Contact Hour FTE - Old",'FTE Pivot for regular counts'!$A$2,"State","AL","Category","7","Category2","Two-Year")</f>
        <v>0</v>
      </c>
      <c r="R133" s="7">
        <f>+GETPIVOTDATA(" Undergrad Contact Hour FTE - Old",'FTE Pivot for regular counts'!$A$2,"State","AL","Category","8","Category2","Two-Year")</f>
        <v>0</v>
      </c>
      <c r="S133" s="7">
        <f>+GETPIVOTDATA(" Undergrad Contact Hour FTE - Old",'FTE Pivot for regular counts'!$A$2,"State","AL","Category","9","Category2","Two-Year")</f>
        <v>0</v>
      </c>
      <c r="T133" s="7">
        <f>+GETPIVOTDATA(" Undergrad Contact Hour FTE - Old",'FTE Pivot for regular counts'!$A$2,"State","AL","Category","10","Category2","Two-Year")</f>
        <v>0</v>
      </c>
      <c r="U133" s="8">
        <f>+GETPIVOTDATA(" Undergrad Contact Hour FTE - Old",'FTE Pivot for regular counts'!$A$2,"State","AL","Category2","Two-Year")</f>
        <v>0</v>
      </c>
      <c r="V133" s="7">
        <f>+GETPIVOTDATA(" Undergrad Contact Hour FTE - Old",'FTE Pivot for regular counts'!$A$2,"State","AL","Category","12","Category2","Technical")</f>
        <v>0</v>
      </c>
      <c r="W133" s="7">
        <f>+GETPIVOTDATA(" Undergrad Contact Hour FTE - Old",'FTE Pivot for regular counts'!$A$2,"State","AL","Category","13","Category2","Technical")</f>
        <v>0</v>
      </c>
      <c r="X133" s="7">
        <f>+GETPIVOTDATA(" Undergrad Contact Hour FTE - Old",'FTE Pivot for regular counts'!$A$2,"State","AL","Category2","Technical")</f>
        <v>0</v>
      </c>
      <c r="Y133" s="32"/>
    </row>
    <row r="134" spans="1:25" ht="15" customHeight="1">
      <c r="A134" s="1" t="s">
        <v>66</v>
      </c>
      <c r="B134" s="32">
        <f>+GETPIVOTDATA(" Undergrad Contact Hour FTE - New",'FTE Pivot for regular counts'!$A$2,"State","AR","Category","7","Category2","Two-Year")</f>
        <v>0</v>
      </c>
      <c r="C134" s="32">
        <f>+GETPIVOTDATA(" Undergrad Contact Hour FTE - New",'FTE Pivot for regular counts'!$A$2,"State","AR","Category","8","Category2","Two-Year")</f>
        <v>0</v>
      </c>
      <c r="D134" s="32">
        <f>+GETPIVOTDATA(" Undergrad Contact Hour FTE - New",'FTE Pivot for regular counts'!$A$2,"State","AR","Category","9","Category2","Two-Year")</f>
        <v>0</v>
      </c>
      <c r="E134" s="32">
        <f>+GETPIVOTDATA(" Undergrad Contact Hour FTE - New",'FTE Pivot for regular counts'!$A$2,"State","AR","Category","10","Category2","Two-Year")</f>
        <v>0</v>
      </c>
      <c r="F134" s="8">
        <f>+GETPIVOTDATA(" Undergrad Contact Hour FTE - New",'FTE Pivot for regular counts'!$A$2,"State","AR","Category2","Two-Year")</f>
        <v>0</v>
      </c>
      <c r="G134" s="32">
        <f>+GETPIVOTDATA(" Undergrad Contact Hour FTE - New",'FTE Pivot for regular counts'!$A$2,"State","AR","Category","12","Category2","Technical")</f>
        <v>0</v>
      </c>
      <c r="H134" s="119">
        <f>+GETPIVOTDATA(" Undergrad Contact Hour FTE - New",'FTE Pivot for regular counts'!$A$2,"State","AR","Category","13","Category2","Technical")</f>
        <v>0</v>
      </c>
      <c r="I134" s="119">
        <f>+GETPIVOTDATA(" Undergrad Contact Hour FTE - New",'FTE Pivot for regular counts'!$A$2,"State","AR","Category2","Technical")</f>
        <v>0</v>
      </c>
      <c r="J134" s="119"/>
      <c r="K134" s="119"/>
      <c r="L134" s="73"/>
      <c r="M134" s="1"/>
      <c r="P134" s="1" t="s">
        <v>66</v>
      </c>
      <c r="Q134" s="32">
        <f>+GETPIVOTDATA(" Undergrad Contact Hour FTE - Old",'FTE Pivot for regular counts'!$A$2,"State","AR","Category","7","Category2","Two-Year")</f>
        <v>0</v>
      </c>
      <c r="R134" s="32">
        <f>+GETPIVOTDATA(" Undergrad Contact Hour FTE - Old",'FTE Pivot for regular counts'!$A$2,"State","AR","Category","8","Category2","Two-Year")</f>
        <v>0</v>
      </c>
      <c r="S134" s="32">
        <f>+GETPIVOTDATA(" Undergrad Contact Hour FTE - Old",'FTE Pivot for regular counts'!$A$2,"State","AR","Category","9","Category2","Two-Year")</f>
        <v>0</v>
      </c>
      <c r="T134" s="32">
        <f>+GETPIVOTDATA(" Undergrad Contact Hour FTE - Old",'FTE Pivot for regular counts'!$A$2,"State","AR","Category","10","Category2","Two-Year")</f>
        <v>0</v>
      </c>
      <c r="U134" s="8">
        <f>+GETPIVOTDATA(" Undergrad Contact Hour FTE - Old",'FTE Pivot for regular counts'!$A$2,"State","AR","Category2","Two-Year")</f>
        <v>0</v>
      </c>
      <c r="V134" s="32">
        <f>+GETPIVOTDATA(" Undergrad Contact Hour FTE - Old",'FTE Pivot for regular counts'!$A$2,"State","AR","Category","12","Category2","Technical")</f>
        <v>0</v>
      </c>
      <c r="W134" s="32">
        <f>+GETPIVOTDATA(" Undergrad Contact Hour FTE - Old",'FTE Pivot for regular counts'!$A$2,"State","AR","Category","13","Category2","Technical")</f>
        <v>0</v>
      </c>
      <c r="X134" s="32">
        <f>+GETPIVOTDATA(" Undergrad Contact Hour FTE - Old",'FTE Pivot for regular counts'!$A$2,"State","AR","Category2","Technical")</f>
        <v>0</v>
      </c>
      <c r="Y134" s="32"/>
    </row>
    <row r="135" spans="1:25" ht="15" customHeight="1">
      <c r="A135" s="1" t="s">
        <v>102</v>
      </c>
      <c r="B135" s="32">
        <f>+GETPIVOTDATA(" Undergrad Contact Hour FTE - New",'FTE Pivot for regular counts'!$A$2,"State","DE","Category","7","Category2","Two-Year")</f>
        <v>0</v>
      </c>
      <c r="C135" s="32">
        <f>+GETPIVOTDATA(" Undergrad Contact Hour FTE - New",'FTE Pivot for regular counts'!$A$2,"State","DE","Category","8","Category2","Two-Year")</f>
        <v>0</v>
      </c>
      <c r="D135" s="32">
        <f>+GETPIVOTDATA(" Undergrad Contact Hour FTE - New",'FTE Pivot for regular counts'!$A$2,"State","DE","Category","9","Category2","Two-Year")</f>
        <v>0</v>
      </c>
      <c r="E135" s="32">
        <f>+GETPIVOTDATA(" Undergrad Contact Hour FTE - New",'FTE Pivot for regular counts'!$A$2,"State","DE","Category","10","Category2","Two-Year")</f>
        <v>0</v>
      </c>
      <c r="F135" s="8">
        <f>+GETPIVOTDATA(" Undergrad Contact Hour FTE - New",'FTE Pivot for regular counts'!$A$2,"State","DE","Category2","Two-Year")</f>
        <v>0</v>
      </c>
      <c r="G135" s="32">
        <f>+GETPIVOTDATA(" Undergrad Contact Hour FTE - New",'FTE Pivot for regular counts'!$A$2,"State","DE","Category","12","Category2","Technical")</f>
        <v>0</v>
      </c>
      <c r="H135" s="119">
        <f>+GETPIVOTDATA(" Undergrad Contact Hour FTE - New",'FTE Pivot for regular counts'!$A$2,"State","DE","Category","13","Category2","Technical")</f>
        <v>0</v>
      </c>
      <c r="I135" s="119">
        <f>+GETPIVOTDATA(" Undergrad Contact Hour FTE - New",'FTE Pivot for regular counts'!$A$2,"State","DE","Category2","Technical")</f>
        <v>0</v>
      </c>
      <c r="J135" s="119"/>
      <c r="K135" s="119"/>
      <c r="L135" s="73"/>
      <c r="M135" s="1"/>
      <c r="P135" s="1" t="s">
        <v>102</v>
      </c>
      <c r="Q135" s="32">
        <f>+GETPIVOTDATA(" Undergrad Contact Hour FTE - Old",'FTE Pivot for regular counts'!$A$2,"State","DE","Category","7","Category2","Two-Year")</f>
        <v>0</v>
      </c>
      <c r="R135" s="32">
        <f>+GETPIVOTDATA(" Undergrad Contact Hour FTE - Old",'FTE Pivot for regular counts'!$A$2,"State","DE","Category","8","Category2","Two-Year")</f>
        <v>0</v>
      </c>
      <c r="S135" s="32">
        <f>+GETPIVOTDATA(" Undergrad Contact Hour FTE - Old",'FTE Pivot for regular counts'!$A$2,"State","DE","Category","9","Category2","Two-Year")</f>
        <v>0</v>
      </c>
      <c r="T135" s="32">
        <f>+GETPIVOTDATA(" Undergrad Contact Hour FTE - Old",'FTE Pivot for regular counts'!$A$2,"State","DE","Category","10","Category2","Two-Year")</f>
        <v>0</v>
      </c>
      <c r="U135" s="8">
        <f>+GETPIVOTDATA(" Undergrad Contact Hour FTE - Old",'FTE Pivot for regular counts'!$A$2,"State","DE","Category2","Two-Year")</f>
        <v>0</v>
      </c>
      <c r="V135" s="32">
        <f>+GETPIVOTDATA(" Undergrad Contact Hour FTE - Old",'FTE Pivot for regular counts'!$A$2,"State","DE","Category","12","Category2","Technical")</f>
        <v>0</v>
      </c>
      <c r="W135" s="32">
        <f>+GETPIVOTDATA(" Undergrad Contact Hour FTE - Old",'FTE Pivot for regular counts'!$A$2,"State","DE","Category","13","Category2","Technical")</f>
        <v>0</v>
      </c>
      <c r="X135" s="32">
        <f>+GETPIVOTDATA(" Undergrad Contact Hour FTE - Old",'FTE Pivot for regular counts'!$A$2,"State","DE","Category2","Technical")</f>
        <v>0</v>
      </c>
      <c r="Y135" s="32"/>
    </row>
    <row r="136" spans="1:25" ht="15" customHeight="1">
      <c r="A136" s="1" t="s">
        <v>67</v>
      </c>
      <c r="B136" s="32">
        <f>+GETPIVOTDATA(" Undergrad Contact Hour FTE - New",'FTE Pivot for regular counts'!$A$2,"State","FL","Category","7","Category2","Two-Year")</f>
        <v>11167.383333333333</v>
      </c>
      <c r="C136" s="32">
        <f>+GETPIVOTDATA(" Undergrad Contact Hour FTE - New",'FTE Pivot for regular counts'!$A$2,"State","FL","Category","8","Category2","Two-Year")</f>
        <v>8892.5588888888888</v>
      </c>
      <c r="D136" s="32">
        <f>+GETPIVOTDATA(" Undergrad Contact Hour FTE - New",'FTE Pivot for regular counts'!$A$2,"State","FL","Category","9","Category2","Two-Year")</f>
        <v>1609.8533333333335</v>
      </c>
      <c r="E136" s="32">
        <f>+GETPIVOTDATA(" Undergrad Contact Hour FTE - New",'FTE Pivot for regular counts'!$A$2,"State","FL","Category","10","Category2","Two-Year")</f>
        <v>135.48444444444445</v>
      </c>
      <c r="F136" s="8">
        <f>+GETPIVOTDATA(" Undergrad Contact Hour FTE - New",'FTE Pivot for regular counts'!$A$2,"State","FL","Category2","Two-Year")</f>
        <v>21805.279999999999</v>
      </c>
      <c r="G136" s="32">
        <f>+GETPIVOTDATA(" Undergrad Contact Hour FTE - New",'FTE Pivot for regular counts'!$A$2,"State","FL","Category","12","Category2","Technical")</f>
        <v>0</v>
      </c>
      <c r="H136" s="119">
        <f>+GETPIVOTDATA(" Undergrad Contact Hour FTE - New",'FTE Pivot for regular counts'!$A$2,"State","FL","Category","13","Category2","Technical")</f>
        <v>0</v>
      </c>
      <c r="I136" s="119">
        <f>+GETPIVOTDATA(" Undergrad Contact Hour FTE - New",'FTE Pivot for regular counts'!$A$2,"State","FL","Category2","Technical")</f>
        <v>0</v>
      </c>
      <c r="J136" s="119"/>
      <c r="K136" s="119"/>
      <c r="L136" s="73"/>
      <c r="M136" s="1"/>
      <c r="P136" s="1" t="s">
        <v>67</v>
      </c>
      <c r="Q136" s="32">
        <f>+GETPIVOTDATA(" Undergrad Contact Hour FTE - Old",'FTE Pivot for regular counts'!$A$2,"State","FL","Category","7","Category2","Two-Year")</f>
        <v>14118.404444444446</v>
      </c>
      <c r="R136" s="32">
        <f>+GETPIVOTDATA(" Undergrad Contact Hour FTE - Old",'FTE Pivot for regular counts'!$A$2,"State","FL","Category","8","Category2","Two-Year")</f>
        <v>10012.414444444443</v>
      </c>
      <c r="S136" s="32">
        <f>+GETPIVOTDATA(" Undergrad Contact Hour FTE - Old",'FTE Pivot for regular counts'!$A$2,"State","FL","Category","9","Category2","Two-Year")</f>
        <v>1927.6377777777777</v>
      </c>
      <c r="T136" s="32">
        <f>+GETPIVOTDATA(" Undergrad Contact Hour FTE - Old",'FTE Pivot for regular counts'!$A$2,"State","FL","Category","10","Category2","Two-Year")</f>
        <v>153.69222222222223</v>
      </c>
      <c r="U136" s="8">
        <f>+GETPIVOTDATA(" Undergrad Contact Hour FTE - Old",'FTE Pivot for regular counts'!$A$2,"State","FL","Category2","Two-Year")</f>
        <v>26212.148888888893</v>
      </c>
      <c r="V136" s="32">
        <f>+GETPIVOTDATA(" Undergrad Contact Hour FTE - Old",'FTE Pivot for regular counts'!$A$2,"State","FL","Category","12","Category2","Technical")</f>
        <v>0</v>
      </c>
      <c r="W136" s="32">
        <f>+GETPIVOTDATA(" Undergrad Contact Hour FTE - Old",'FTE Pivot for regular counts'!$A$2,"State","FL","Category","13","Category2","Technical")</f>
        <v>0</v>
      </c>
      <c r="X136" s="32">
        <f>+GETPIVOTDATA(" Undergrad Contact Hour FTE - Old",'FTE Pivot for regular counts'!$A$2,"State","FL","Category2","Technical")</f>
        <v>0</v>
      </c>
      <c r="Y136" s="32"/>
    </row>
    <row r="137" spans="1:25" ht="15" customHeight="1">
      <c r="B137" s="32"/>
      <c r="C137" s="32"/>
      <c r="D137" s="32"/>
      <c r="E137" s="32"/>
      <c r="F137" s="8"/>
      <c r="G137" s="32"/>
      <c r="H137" s="119"/>
      <c r="I137" s="119"/>
      <c r="J137" s="119"/>
      <c r="K137" s="119"/>
      <c r="L137" s="73"/>
      <c r="M137" s="1"/>
      <c r="Q137" s="32"/>
      <c r="R137" s="32"/>
      <c r="S137" s="32"/>
      <c r="T137" s="32"/>
      <c r="U137" s="8"/>
      <c r="V137" s="32"/>
      <c r="W137" s="32"/>
      <c r="X137" s="32"/>
      <c r="Y137" s="32"/>
    </row>
    <row r="138" spans="1:25" ht="15" customHeight="1">
      <c r="A138" s="1" t="s">
        <v>68</v>
      </c>
      <c r="B138" s="32">
        <f>+GETPIVOTDATA(" Undergrad Contact Hour FTE - New",'FTE Pivot for regular counts'!$A$2,"State","GA","Category","7","Category2","Two-Year")</f>
        <v>0</v>
      </c>
      <c r="C138" s="32">
        <f>+GETPIVOTDATA(" Undergrad Contact Hour FTE - New",'FTE Pivot for regular counts'!$A$2,"State","GA","Category","8","Category2","Two-Year")</f>
        <v>0</v>
      </c>
      <c r="D138" s="32">
        <f>+GETPIVOTDATA(" Undergrad Contact Hour FTE - New",'FTE Pivot for regular counts'!$A$2,"State","GA","Category","9","Category2","Two-Year")</f>
        <v>0</v>
      </c>
      <c r="E138" s="32">
        <f>+GETPIVOTDATA(" Undergrad Contact Hour FTE - New",'FTE Pivot for regular counts'!$A$2,"State","GA","Category","10","Category2","Two-Year")</f>
        <v>0</v>
      </c>
      <c r="F138" s="8">
        <f>+GETPIVOTDATA(" Undergrad Contact Hour FTE - New",'FTE Pivot for regular counts'!$A$2,"State","GA","Category2","Two-Year")</f>
        <v>0</v>
      </c>
      <c r="G138" s="32">
        <f>+GETPIVOTDATA(" Undergrad Contact Hour FTE - New",'FTE Pivot for regular counts'!$A$2,"State","GA","Category","12","Category2","Technical")</f>
        <v>0</v>
      </c>
      <c r="H138" s="119">
        <f>+GETPIVOTDATA(" Undergrad Contact Hour FTE - New",'FTE Pivot for regular counts'!$A$2,"State","GA","Category","13","Category2","Technical")</f>
        <v>0</v>
      </c>
      <c r="I138" s="119">
        <f>+GETPIVOTDATA(" Undergrad Contact Hour FTE - New",'FTE Pivot for regular counts'!$A$2,"State","GA","Category2","Technical")</f>
        <v>0</v>
      </c>
      <c r="J138" s="119"/>
      <c r="K138" s="119"/>
      <c r="L138" s="73"/>
      <c r="M138" s="1"/>
      <c r="P138" s="1" t="s">
        <v>68</v>
      </c>
      <c r="Q138" s="32">
        <f>+GETPIVOTDATA(" Undergrad Contact Hour FTE - Old",'FTE Pivot for regular counts'!$A$2,"State","GA","Category","7","Category2","Two-Year")</f>
        <v>0</v>
      </c>
      <c r="R138" s="32">
        <f>+GETPIVOTDATA(" Undergrad Contact Hour FTE - Old",'FTE Pivot for regular counts'!$A$2,"State","GA","Category","8","Category2","Two-Year")</f>
        <v>0</v>
      </c>
      <c r="S138" s="32">
        <f>+GETPIVOTDATA(" Undergrad Contact Hour FTE - Old",'FTE Pivot for regular counts'!$A$2,"State","GA","Category","9","Category2","Two-Year")</f>
        <v>0</v>
      </c>
      <c r="T138" s="32">
        <f>+GETPIVOTDATA(" Undergrad Contact Hour FTE - Old",'FTE Pivot for regular counts'!$A$2,"State","GA","Category","10","Category2","Two-Year")</f>
        <v>0</v>
      </c>
      <c r="U138" s="8">
        <f>+GETPIVOTDATA(" Undergrad Contact Hour FTE - Old",'FTE Pivot for regular counts'!$A$2,"State","GA","Category2","Two-Year")</f>
        <v>0</v>
      </c>
      <c r="V138" s="32">
        <f>+GETPIVOTDATA(" Undergrad Contact Hour FTE - Old",'FTE Pivot for regular counts'!$A$2,"State","GA","Category","12","Category2","Technical")</f>
        <v>0</v>
      </c>
      <c r="W138" s="32">
        <f>+GETPIVOTDATA(" Undergrad Contact Hour FTE - Old",'FTE Pivot for regular counts'!$A$2,"State","GA","Category","13","Category2","Technical")</f>
        <v>0</v>
      </c>
      <c r="X138" s="32">
        <f>+GETPIVOTDATA(" Undergrad Contact Hour FTE - Old",'FTE Pivot for regular counts'!$A$2,"State","GA","Category2","Technical")</f>
        <v>0</v>
      </c>
      <c r="Y138" s="32"/>
    </row>
    <row r="139" spans="1:25" ht="15" customHeight="1">
      <c r="A139" s="1" t="s">
        <v>69</v>
      </c>
      <c r="B139" s="32">
        <f>+GETPIVOTDATA(" Undergrad Contact Hour FTE - New",'FTE Pivot for regular counts'!$A$2,"State","KY","Category","7","Category2","Two-Year")</f>
        <v>0</v>
      </c>
      <c r="C139" s="32">
        <f>+GETPIVOTDATA(" Undergrad Contact Hour FTE - New",'FTE Pivot for regular counts'!$A$2,"State","KY","Category","8","Category2","Two-Year")</f>
        <v>0</v>
      </c>
      <c r="D139" s="32">
        <f>+GETPIVOTDATA(" Undergrad Contact Hour FTE - New",'FTE Pivot for regular counts'!$A$2,"State","KY","Category","9","Category2","Two-Year")</f>
        <v>0</v>
      </c>
      <c r="E139" s="32">
        <f>+GETPIVOTDATA(" Undergrad Contact Hour FTE - New",'FTE Pivot for regular counts'!$A$2,"State","KY","Category","10","Category2","Two-Year")</f>
        <v>0</v>
      </c>
      <c r="F139" s="8">
        <f>+GETPIVOTDATA(" Undergrad Contact Hour FTE - New",'FTE Pivot for regular counts'!$A$2,"State","KY","Category2","Two-Year")</f>
        <v>0</v>
      </c>
      <c r="G139" s="32">
        <f>+GETPIVOTDATA(" Undergrad Contact Hour FTE - New",'FTE Pivot for regular counts'!$A$2,"State","KY","Category","12","Category2","Technical")</f>
        <v>0</v>
      </c>
      <c r="H139" s="119">
        <f>+GETPIVOTDATA(" Undergrad Contact Hour FTE - New",'FTE Pivot for regular counts'!$A$2,"State","KY","Category","13","Category2","Technical")</f>
        <v>0</v>
      </c>
      <c r="I139" s="119">
        <f>+GETPIVOTDATA(" Undergrad Contact Hour FTE - New",'FTE Pivot for regular counts'!$A$2,"State","KY","Category2","Technical")</f>
        <v>0</v>
      </c>
      <c r="J139" s="119"/>
      <c r="K139" s="119"/>
      <c r="L139" s="73"/>
      <c r="M139" s="1"/>
      <c r="P139" s="1" t="s">
        <v>69</v>
      </c>
      <c r="Q139" s="32">
        <f>+GETPIVOTDATA(" Undergrad Contact Hour FTE - Old",'FTE Pivot for regular counts'!$A$2,"State","KY","Category","7","Category2","Two-Year")</f>
        <v>0</v>
      </c>
      <c r="R139" s="32">
        <f>+GETPIVOTDATA(" Undergrad Contact Hour FTE - Old",'FTE Pivot for regular counts'!$A$2,"State","KY","Category","8","Category2","Two-Year")</f>
        <v>0</v>
      </c>
      <c r="S139" s="32">
        <f>+GETPIVOTDATA(" Undergrad Contact Hour FTE - Old",'FTE Pivot for regular counts'!$A$2,"State","KY","Category","9","Category2","Two-Year")</f>
        <v>0</v>
      </c>
      <c r="T139" s="32">
        <f>+GETPIVOTDATA(" Undergrad Contact Hour FTE - Old",'FTE Pivot for regular counts'!$A$2,"State","KY","Category","10","Category2","Two-Year")</f>
        <v>0</v>
      </c>
      <c r="U139" s="8">
        <f>+GETPIVOTDATA(" Undergrad Contact Hour FTE - Old",'FTE Pivot for regular counts'!$A$2,"State","KY","Category2","Two-Year")</f>
        <v>0</v>
      </c>
      <c r="V139" s="32">
        <f>+GETPIVOTDATA(" Undergrad Contact Hour FTE - Old",'FTE Pivot for regular counts'!$A$2,"State","KY","Category","12","Category2","Technical")</f>
        <v>0</v>
      </c>
      <c r="W139" s="32">
        <f>+GETPIVOTDATA(" Undergrad Contact Hour FTE - Old",'FTE Pivot for regular counts'!$A$2,"State","KY","Category","13","Category2","Technical")</f>
        <v>0</v>
      </c>
      <c r="X139" s="32">
        <f>+GETPIVOTDATA(" Undergrad Contact Hour FTE - Old",'FTE Pivot for regular counts'!$A$2,"State","KY","Category2","Technical")</f>
        <v>0</v>
      </c>
      <c r="Y139" s="32"/>
    </row>
    <row r="140" spans="1:25" ht="15" customHeight="1">
      <c r="A140" s="1" t="s">
        <v>70</v>
      </c>
      <c r="B140" s="32">
        <f>+GETPIVOTDATA(" Undergrad Contact Hour FTE - New",'FTE Pivot for regular counts'!$A$2,"State","LA","Category","7","Category2","Two-Year")</f>
        <v>0</v>
      </c>
      <c r="C140" s="32">
        <f>+GETPIVOTDATA(" Undergrad Contact Hour FTE - New",'FTE Pivot for regular counts'!$A$2,"State","LA","Category","8","Category2","Two-Year")</f>
        <v>0</v>
      </c>
      <c r="D140" s="32">
        <f>+GETPIVOTDATA(" Undergrad Contact Hour FTE - New",'FTE Pivot for regular counts'!$A$2,"State","LA","Category","9","Category2","Two-Year")</f>
        <v>0</v>
      </c>
      <c r="E140" s="32">
        <f>+GETPIVOTDATA(" Undergrad Contact Hour FTE - New",'FTE Pivot for regular counts'!$A$2,"State","LA","Category","10","Category2","Two-Year")</f>
        <v>0</v>
      </c>
      <c r="F140" s="8">
        <f>+GETPIVOTDATA(" Undergrad Contact Hour FTE - New",'FTE Pivot for regular counts'!$A$2,"State","LA","Category2","Two-Year")</f>
        <v>0</v>
      </c>
      <c r="G140" s="32">
        <f>+GETPIVOTDATA(" Undergrad Contact Hour FTE - New",'FTE Pivot for regular counts'!$A$2,"State","LA","Category","12","Category2","Technical")</f>
        <v>121.38</v>
      </c>
      <c r="H140" s="119">
        <f>+GETPIVOTDATA(" Undergrad Contact Hour FTE - New",'FTE Pivot for regular counts'!$A$2,"State","LA","Category","13","Category2","Technical")</f>
        <v>0</v>
      </c>
      <c r="I140" s="119">
        <f>+GETPIVOTDATA(" Undergrad Contact Hour FTE - New",'FTE Pivot for regular counts'!$A$2,"State","LA","Category2","Technical")</f>
        <v>121.38</v>
      </c>
      <c r="J140" s="119"/>
      <c r="K140" s="119"/>
      <c r="L140" s="73"/>
      <c r="M140" s="1"/>
      <c r="P140" s="1" t="s">
        <v>70</v>
      </c>
      <c r="Q140" s="32">
        <f>+GETPIVOTDATA(" Undergrad Contact Hour FTE - Old",'FTE Pivot for regular counts'!$A$2,"State","LA","Category","7","Category2","Two-Year")</f>
        <v>0</v>
      </c>
      <c r="R140" s="32">
        <f>+GETPIVOTDATA(" Undergrad Contact Hour FTE - Old",'FTE Pivot for regular counts'!$A$2,"State","LA","Category","8","Category2","Two-Year")</f>
        <v>0</v>
      </c>
      <c r="S140" s="32">
        <f>+GETPIVOTDATA(" Undergrad Contact Hour FTE - Old",'FTE Pivot for regular counts'!$A$2,"State","LA","Category","9","Category2","Two-Year")</f>
        <v>0</v>
      </c>
      <c r="T140" s="32">
        <f>+GETPIVOTDATA(" Undergrad Contact Hour FTE - Old",'FTE Pivot for regular counts'!$A$2,"State","LA","Category","10","Category2","Two-Year")</f>
        <v>0</v>
      </c>
      <c r="U140" s="8">
        <f>+GETPIVOTDATA(" Undergrad Contact Hour FTE - Old",'FTE Pivot for regular counts'!$A$2,"State","LA","Category2","Two-Year")</f>
        <v>0</v>
      </c>
      <c r="V140" s="32">
        <f>+GETPIVOTDATA(" Undergrad Contact Hour FTE - Old",'FTE Pivot for regular counts'!$A$2,"State","LA","Category","12","Category2","Technical")</f>
        <v>0</v>
      </c>
      <c r="W140" s="32">
        <f>+GETPIVOTDATA(" Undergrad Contact Hour FTE - Old",'FTE Pivot for regular counts'!$A$2,"State","LA","Category","13","Category2","Technical")</f>
        <v>0</v>
      </c>
      <c r="X140" s="32">
        <f>+GETPIVOTDATA(" Undergrad Contact Hour FTE - Old",'FTE Pivot for regular counts'!$A$2,"State","LA","Category2","Technical")</f>
        <v>0</v>
      </c>
      <c r="Y140" s="32"/>
    </row>
    <row r="141" spans="1:25" ht="15" customHeight="1">
      <c r="A141" s="1" t="s">
        <v>71</v>
      </c>
      <c r="B141" s="32">
        <f>+GETPIVOTDATA(" Undergrad Contact Hour FTE - New",'FTE Pivot for regular counts'!$A$2,"State","MD","Category","7","Category2","Two-Year")</f>
        <v>0</v>
      </c>
      <c r="C141" s="32">
        <f>+GETPIVOTDATA(" Undergrad Contact Hour FTE - New",'FTE Pivot for regular counts'!$A$2,"State","MD","Category","8","Category2","Two-Year")</f>
        <v>0</v>
      </c>
      <c r="D141" s="32">
        <f>+GETPIVOTDATA(" Undergrad Contact Hour FTE - New",'FTE Pivot for regular counts'!$A$2,"State","MD","Category","9","Category2","Two-Year")</f>
        <v>0</v>
      </c>
      <c r="E141" s="32">
        <f>+GETPIVOTDATA(" Undergrad Contact Hour FTE - New",'FTE Pivot for regular counts'!$A$2,"State","MD","Category","10","Category2","Two-Year")</f>
        <v>0</v>
      </c>
      <c r="F141" s="8">
        <f>+GETPIVOTDATA(" Undergrad Contact Hour FTE - New",'FTE Pivot for regular counts'!$A$2,"State","MD","Category2","Two-Year")</f>
        <v>0</v>
      </c>
      <c r="G141" s="32">
        <f>+GETPIVOTDATA(" Undergrad Contact Hour FTE - New",'FTE Pivot for regular counts'!$A$2,"State","MD","Category","12","Category2","Technical")</f>
        <v>0</v>
      </c>
      <c r="H141" s="119">
        <f>+GETPIVOTDATA(" Undergrad Contact Hour FTE - New",'FTE Pivot for regular counts'!$A$2,"State","MD","Category","13","Category2","Technical")</f>
        <v>0</v>
      </c>
      <c r="I141" s="119">
        <f>+GETPIVOTDATA(" Undergrad Contact Hour FTE - New",'FTE Pivot for regular counts'!$A$2,"State","MD","Category2","Technical")</f>
        <v>0</v>
      </c>
      <c r="J141" s="119"/>
      <c r="K141" s="119"/>
      <c r="L141" s="73"/>
      <c r="M141" s="1"/>
      <c r="P141" s="1" t="s">
        <v>71</v>
      </c>
      <c r="Q141" s="32">
        <f>+GETPIVOTDATA(" Undergrad Contact Hour FTE - Old",'FTE Pivot for regular counts'!$A$2,"State","MD","Category","7","Category2","Two-Year")</f>
        <v>0</v>
      </c>
      <c r="R141" s="32">
        <f>+GETPIVOTDATA(" Undergrad Contact Hour FTE - Old",'FTE Pivot for regular counts'!$A$2,"State","MD","Category","8","Category2","Two-Year")</f>
        <v>0</v>
      </c>
      <c r="S141" s="32">
        <f>+GETPIVOTDATA(" Undergrad Contact Hour FTE - Old",'FTE Pivot for regular counts'!$A$2,"State","MD","Category","9","Category2","Two-Year")</f>
        <v>0</v>
      </c>
      <c r="T141" s="32">
        <f>+GETPIVOTDATA(" Undergrad Contact Hour FTE - Old",'FTE Pivot for regular counts'!$A$2,"State","MD","Category","10","Category2","Two-Year")</f>
        <v>0</v>
      </c>
      <c r="U141" s="8">
        <f>+GETPIVOTDATA(" Undergrad Contact Hour FTE - Old",'FTE Pivot for regular counts'!$A$2,"State","MD","Category2","Two-Year")</f>
        <v>0</v>
      </c>
      <c r="V141" s="32">
        <f>+GETPIVOTDATA(" Undergrad Contact Hour FTE - Old",'FTE Pivot for regular counts'!$A$2,"State","MD","Category","12","Category2","Technical")</f>
        <v>0</v>
      </c>
      <c r="W141" s="32">
        <f>+GETPIVOTDATA(" Undergrad Contact Hour FTE - Old",'FTE Pivot for regular counts'!$A$2,"State","MD","Category","13","Category2","Technical")</f>
        <v>0</v>
      </c>
      <c r="X141" s="32">
        <f>+GETPIVOTDATA(" Undergrad Contact Hour FTE - Old",'FTE Pivot for regular counts'!$A$2,"State","MD","Category2","Technical")</f>
        <v>0</v>
      </c>
      <c r="Y141" s="32"/>
    </row>
    <row r="142" spans="1:25" ht="15" customHeight="1">
      <c r="B142" s="32"/>
      <c r="C142" s="32"/>
      <c r="D142" s="32"/>
      <c r="E142" s="32"/>
      <c r="F142" s="8"/>
      <c r="G142" s="32"/>
      <c r="H142" s="119"/>
      <c r="I142" s="119"/>
      <c r="J142" s="119"/>
      <c r="K142" s="119"/>
      <c r="L142" s="73"/>
      <c r="M142" s="1"/>
      <c r="Q142" s="32"/>
      <c r="R142" s="32"/>
      <c r="S142" s="32"/>
      <c r="T142" s="32"/>
      <c r="U142" s="8"/>
      <c r="V142" s="32"/>
      <c r="W142" s="32"/>
      <c r="X142" s="32"/>
      <c r="Y142" s="32"/>
    </row>
    <row r="143" spans="1:25" ht="15" customHeight="1">
      <c r="A143" s="1" t="s">
        <v>72</v>
      </c>
      <c r="B143" s="32">
        <f>+GETPIVOTDATA(" Undergrad Contact Hour FTE - New",'FTE Pivot for regular counts'!$A$2,"State","MS","Category","7","Category2","Two-Year")</f>
        <v>0</v>
      </c>
      <c r="C143" s="32">
        <f>+GETPIVOTDATA(" Undergrad Contact Hour FTE - New",'FTE Pivot for regular counts'!$A$2,"State","MS","Category","8","Category2","Two-Year")</f>
        <v>0</v>
      </c>
      <c r="D143" s="32">
        <f>+GETPIVOTDATA(" Undergrad Contact Hour FTE - New",'FTE Pivot for regular counts'!$A$2,"State","MS","Category","9","Category2","Two-Year")</f>
        <v>0</v>
      </c>
      <c r="E143" s="32">
        <f>+GETPIVOTDATA(" Undergrad Contact Hour FTE - New",'FTE Pivot for regular counts'!$A$2,"State","MS","Category","10","Category2","Two-Year")</f>
        <v>0</v>
      </c>
      <c r="F143" s="8">
        <f>+GETPIVOTDATA(" Undergrad Contact Hour FTE - New",'FTE Pivot for regular counts'!$A$2,"State","MS","Category2","Two-Year")</f>
        <v>0</v>
      </c>
      <c r="G143" s="32">
        <f>+GETPIVOTDATA(" Undergrad Contact Hour FTE - New",'FTE Pivot for regular counts'!$A$2,"State","MS","Category","12","Category2","Technical")</f>
        <v>0</v>
      </c>
      <c r="H143" s="119">
        <f>+GETPIVOTDATA(" Undergrad Contact Hour FTE - New",'FTE Pivot for regular counts'!$A$2,"State","MS","Category","13","Category2","Technical")</f>
        <v>0</v>
      </c>
      <c r="I143" s="119">
        <f>+GETPIVOTDATA(" Undergrad Contact Hour FTE - New",'FTE Pivot for regular counts'!$A$2,"State","MS","Category2","Technical")</f>
        <v>0</v>
      </c>
      <c r="J143" s="119"/>
      <c r="K143" s="119"/>
      <c r="L143" s="73"/>
      <c r="M143" s="1"/>
      <c r="P143" s="1" t="s">
        <v>72</v>
      </c>
      <c r="Q143" s="32">
        <f>+GETPIVOTDATA(" Undergrad Contact Hour FTE - Old",'FTE Pivot for regular counts'!$A$2,"State","MS","Category","7","Category2","Two-Year")</f>
        <v>0</v>
      </c>
      <c r="R143" s="32">
        <f>+GETPIVOTDATA(" Undergrad Contact Hour FTE - Old",'FTE Pivot for regular counts'!$A$2,"State","MS","Category","8","Category2","Two-Year")</f>
        <v>0</v>
      </c>
      <c r="S143" s="32">
        <f>+GETPIVOTDATA(" Undergrad Contact Hour FTE - Old",'FTE Pivot for regular counts'!$A$2,"State","MS","Category","9","Category2","Two-Year")</f>
        <v>0</v>
      </c>
      <c r="T143" s="32">
        <f>+GETPIVOTDATA(" Undergrad Contact Hour FTE - Old",'FTE Pivot for regular counts'!$A$2,"State","MS","Category","10","Category2","Two-Year")</f>
        <v>0</v>
      </c>
      <c r="U143" s="8">
        <f>+GETPIVOTDATA(" Undergrad Contact Hour FTE - Old",'FTE Pivot for regular counts'!$A$2,"State","MS","Category2","Two-Year")</f>
        <v>0</v>
      </c>
      <c r="V143" s="32">
        <f>+GETPIVOTDATA(" Undergrad Contact Hour FTE - Old",'FTE Pivot for regular counts'!$A$2,"State","MS","Category","12","Category2","Technical")</f>
        <v>0</v>
      </c>
      <c r="W143" s="32">
        <f>+GETPIVOTDATA(" Undergrad Contact Hour FTE - Old",'FTE Pivot for regular counts'!$A$2,"State","MS","Category","13","Category2","Technical")</f>
        <v>0</v>
      </c>
      <c r="X143" s="32">
        <f>+GETPIVOTDATA(" Undergrad Contact Hour FTE - Old",'FTE Pivot for regular counts'!$A$2,"State","MS","Category2","Technical")</f>
        <v>0</v>
      </c>
      <c r="Y143" s="32"/>
    </row>
    <row r="144" spans="1:25" ht="15" customHeight="1">
      <c r="A144" s="1" t="s">
        <v>73</v>
      </c>
      <c r="B144" s="32">
        <f>+GETPIVOTDATA(" Undergrad Contact Hour FTE - New",'FTE Pivot for regular counts'!$A$2,"State","NC","Category","7","Category2","Two-Year")</f>
        <v>0</v>
      </c>
      <c r="C144" s="32">
        <f>+GETPIVOTDATA(" Undergrad Contact Hour FTE - New",'FTE Pivot for regular counts'!$A$2,"State","NC","Category","8","Category2","Two-Year")</f>
        <v>14198.497777777779</v>
      </c>
      <c r="D144" s="32">
        <f>+GETPIVOTDATA(" Undergrad Contact Hour FTE - New",'FTE Pivot for regular counts'!$A$2,"State","NC","Category","9","Category2","Two-Year")</f>
        <v>16688.495555555553</v>
      </c>
      <c r="E144" s="32">
        <f>+GETPIVOTDATA(" Undergrad Contact Hour FTE - New",'FTE Pivot for regular counts'!$A$2,"State","NC","Category","10","Category2","Two-Year")</f>
        <v>9527.9333333333325</v>
      </c>
      <c r="F144" s="8">
        <f>+GETPIVOTDATA(" Undergrad Contact Hour FTE - New",'FTE Pivot for regular counts'!$A$2,"State","NC","Category2","Two-Year")</f>
        <v>40414.926666666666</v>
      </c>
      <c r="G144" s="32">
        <f>+GETPIVOTDATA(" Undergrad Contact Hour FTE - New",'FTE Pivot for regular counts'!$A$2,"State","NC","Category","12","Category2","Technical")</f>
        <v>0</v>
      </c>
      <c r="H144" s="119">
        <f>+GETPIVOTDATA(" Undergrad Contact Hour FTE - New",'FTE Pivot for regular counts'!$A$2,"State","NC","Category","13","Category2","Technical")</f>
        <v>0</v>
      </c>
      <c r="I144" s="119">
        <f>+GETPIVOTDATA(" Undergrad Contact Hour FTE - New",'FTE Pivot for regular counts'!$A$2,"State","NC","Category2","Technical")</f>
        <v>0</v>
      </c>
      <c r="J144" s="119"/>
      <c r="K144" s="119"/>
      <c r="L144" s="73"/>
      <c r="M144" s="1"/>
      <c r="P144" s="1" t="s">
        <v>73</v>
      </c>
      <c r="Q144" s="32">
        <f>+GETPIVOTDATA(" Undergrad Contact Hour FTE - Old",'FTE Pivot for regular counts'!$A$2,"State","NC","Category","7","Category2","Two-Year")</f>
        <v>0</v>
      </c>
      <c r="R144" s="32">
        <f>+GETPIVOTDATA(" Undergrad Contact Hour FTE - Old",'FTE Pivot for regular counts'!$A$2,"State","NC","Category","8","Category2","Two-Year")</f>
        <v>14347.11</v>
      </c>
      <c r="S144" s="32">
        <f>+GETPIVOTDATA(" Undergrad Contact Hour FTE - Old",'FTE Pivot for regular counts'!$A$2,"State","NC","Category","9","Category2","Two-Year")</f>
        <v>16625.906666666669</v>
      </c>
      <c r="T144" s="32">
        <f>+GETPIVOTDATA(" Undergrad Contact Hour FTE - Old",'FTE Pivot for regular counts'!$A$2,"State","NC","Category","10","Category2","Two-Year")</f>
        <v>8932.3288888888892</v>
      </c>
      <c r="U144" s="8">
        <f>+GETPIVOTDATA(" Undergrad Contact Hour FTE - Old",'FTE Pivot for regular counts'!$A$2,"State","NC","Category2","Two-Year")</f>
        <v>39905.345555555556</v>
      </c>
      <c r="V144" s="32">
        <f>+GETPIVOTDATA(" Undergrad Contact Hour FTE - Old",'FTE Pivot for regular counts'!$A$2,"State","NC","Category","12","Category2","Technical")</f>
        <v>0</v>
      </c>
      <c r="W144" s="32">
        <f>+GETPIVOTDATA(" Undergrad Contact Hour FTE - Old",'FTE Pivot for regular counts'!$A$2,"State","NC","Category","13","Category2","Technical")</f>
        <v>0</v>
      </c>
      <c r="X144" s="32">
        <f>+GETPIVOTDATA(" Undergrad Contact Hour FTE - Old",'FTE Pivot for regular counts'!$A$2,"State","NC","Category2","Technical")</f>
        <v>0</v>
      </c>
      <c r="Y144" s="32"/>
    </row>
    <row r="145" spans="1:88" ht="15" customHeight="1">
      <c r="A145" s="1" t="s">
        <v>74</v>
      </c>
      <c r="B145" s="32">
        <f>+GETPIVOTDATA(" Undergrad Contact Hour FTE - New",'FTE Pivot for regular counts'!$A$2,"State","OK","Category","7","Category2","Two-Year")</f>
        <v>0</v>
      </c>
      <c r="C145" s="32">
        <f>+GETPIVOTDATA(" Undergrad Contact Hour FTE - New",'FTE Pivot for regular counts'!$A$2,"State","OK","Category","8","Category2","Two-Year")</f>
        <v>0</v>
      </c>
      <c r="D145" s="32">
        <f>+GETPIVOTDATA(" Undergrad Contact Hour FTE - New",'FTE Pivot for regular counts'!$A$2,"State","OK","Category","9","Category2","Two-Year")</f>
        <v>0</v>
      </c>
      <c r="E145" s="32">
        <f>+GETPIVOTDATA(" Undergrad Contact Hour FTE - New",'FTE Pivot for regular counts'!$A$2,"State","OK","Category","10","Category2","Two-Year")</f>
        <v>0</v>
      </c>
      <c r="F145" s="8">
        <f>+GETPIVOTDATA(" Undergrad Contact Hour FTE - New",'FTE Pivot for regular counts'!$A$2,"State","OK","Category2","Two-Year")</f>
        <v>0</v>
      </c>
      <c r="G145" s="32">
        <f>+GETPIVOTDATA(" Undergrad Contact Hour FTE - New",'FTE Pivot for regular counts'!$A$2,"State","OK","Category","12","Category2","Technical")</f>
        <v>4046.5422222222219</v>
      </c>
      <c r="H145" s="119">
        <f>+GETPIVOTDATA(" Undergrad Contact Hour FTE - New",'FTE Pivot for regular counts'!$A$2,"State","OK","Category","13","Category2","Technical")</f>
        <v>15930.953333333329</v>
      </c>
      <c r="I145" s="119">
        <f>+GETPIVOTDATA(" Undergrad Contact Hour FTE - New",'FTE Pivot for regular counts'!$A$2,"State","OK","Category2","Technical")</f>
        <v>19977.49555555555</v>
      </c>
      <c r="J145" s="119"/>
      <c r="K145" s="119"/>
      <c r="L145" s="73"/>
      <c r="M145" s="1"/>
      <c r="P145" s="1" t="s">
        <v>74</v>
      </c>
      <c r="Q145" s="32">
        <f>+GETPIVOTDATA(" Undergrad Contact Hour FTE - Old",'FTE Pivot for regular counts'!$A$2,"State","OK","Category","7","Category2","Two-Year")</f>
        <v>0</v>
      </c>
      <c r="R145" s="32">
        <f>+GETPIVOTDATA(" Undergrad Contact Hour FTE - Old",'FTE Pivot for regular counts'!$A$2,"State","OK","Category","8","Category2","Two-Year")</f>
        <v>0</v>
      </c>
      <c r="S145" s="32">
        <f>+GETPIVOTDATA(" Undergrad Contact Hour FTE - Old",'FTE Pivot for regular counts'!$A$2,"State","OK","Category","9","Category2","Two-Year")</f>
        <v>0</v>
      </c>
      <c r="T145" s="32">
        <f>+GETPIVOTDATA(" Undergrad Contact Hour FTE - Old",'FTE Pivot for regular counts'!$A$2,"State","OK","Category","10","Category2","Two-Year")</f>
        <v>0</v>
      </c>
      <c r="U145" s="8">
        <f>+GETPIVOTDATA(" Undergrad Contact Hour FTE - Old",'FTE Pivot for regular counts'!$A$2,"State","OK","Category2","Two-Year")</f>
        <v>0</v>
      </c>
      <c r="V145" s="32">
        <f>+GETPIVOTDATA(" Undergrad Contact Hour FTE - Old",'FTE Pivot for regular counts'!$A$2,"State","OK","Category","12","Category2","Technical")</f>
        <v>4304.7606777777773</v>
      </c>
      <c r="W145" s="32">
        <f>+GETPIVOTDATA(" Undergrad Contact Hour FTE - Old",'FTE Pivot for regular counts'!$A$2,"State","OK","Category","13","Category2","Technical")</f>
        <v>16254.157633333331</v>
      </c>
      <c r="X145" s="32">
        <f>+GETPIVOTDATA(" Undergrad Contact Hour FTE - Old",'FTE Pivot for regular counts'!$A$2,"State","OK","Category2","Technical")</f>
        <v>20558.918311111109</v>
      </c>
      <c r="Y145" s="32"/>
    </row>
    <row r="146" spans="1:88" ht="15" customHeight="1">
      <c r="A146" s="1" t="s">
        <v>75</v>
      </c>
      <c r="B146" s="32">
        <f>+GETPIVOTDATA(" Undergrad Contact Hour FTE - New",'FTE Pivot for regular counts'!$A$2,"State","SC","Category","7","Category2","Two-Year")</f>
        <v>0</v>
      </c>
      <c r="C146" s="32">
        <f>+GETPIVOTDATA(" Undergrad Contact Hour FTE - New",'FTE Pivot for regular counts'!$A$2,"State","SC","Category","8","Category2","Two-Year")</f>
        <v>0</v>
      </c>
      <c r="D146" s="32">
        <f>+GETPIVOTDATA(" Undergrad Contact Hour FTE - New",'FTE Pivot for regular counts'!$A$2,"State","SC","Category","9","Category2","Two-Year")</f>
        <v>0</v>
      </c>
      <c r="E146" s="32">
        <f>+GETPIVOTDATA(" Undergrad Contact Hour FTE - New",'FTE Pivot for regular counts'!$A$2,"State","SC","Category","10","Category2","Two-Year")</f>
        <v>0</v>
      </c>
      <c r="F146" s="8">
        <f>+GETPIVOTDATA(" Undergrad Contact Hour FTE - New",'FTE Pivot for regular counts'!$A$2,"State","SC","Category2","Two-Year")</f>
        <v>0</v>
      </c>
      <c r="G146" s="32">
        <f>+GETPIVOTDATA(" Undergrad Contact Hour FTE - New",'FTE Pivot for regular counts'!$A$2,"State","SC","Category","12","Category2","Technical")</f>
        <v>0</v>
      </c>
      <c r="H146" s="119">
        <f>+GETPIVOTDATA(" Undergrad Contact Hour FTE - New",'FTE Pivot for regular counts'!$A$2,"State","SC","Category","13","Category2","Technical")</f>
        <v>0</v>
      </c>
      <c r="I146" s="119">
        <f>+GETPIVOTDATA(" Undergrad Contact Hour FTE - New",'FTE Pivot for regular counts'!$A$2,"State","SC","Category2","Technical")</f>
        <v>0</v>
      </c>
      <c r="J146" s="119"/>
      <c r="K146" s="119"/>
      <c r="L146" s="73"/>
      <c r="M146" s="1"/>
      <c r="P146" s="1" t="s">
        <v>75</v>
      </c>
      <c r="Q146" s="32">
        <f>+GETPIVOTDATA(" Undergrad Contact Hour FTE - Old",'FTE Pivot for regular counts'!$A$2,"State","SC","Category","7","Category2","Two-Year")</f>
        <v>0</v>
      </c>
      <c r="R146" s="32">
        <f>+GETPIVOTDATA(" Undergrad Contact Hour FTE - Old",'FTE Pivot for regular counts'!$A$2,"State","SC","Category","8","Category2","Two-Year")</f>
        <v>0</v>
      </c>
      <c r="S146" s="32">
        <f>+GETPIVOTDATA(" Undergrad Contact Hour FTE - Old",'FTE Pivot for regular counts'!$A$2,"State","SC","Category","9","Category2","Two-Year")</f>
        <v>0</v>
      </c>
      <c r="T146" s="32">
        <f>+GETPIVOTDATA(" Undergrad Contact Hour FTE - Old",'FTE Pivot for regular counts'!$A$2,"State","SC","Category","10","Category2","Two-Year")</f>
        <v>0</v>
      </c>
      <c r="U146" s="8">
        <f>+GETPIVOTDATA(" Undergrad Contact Hour FTE - Old",'FTE Pivot for regular counts'!$A$2,"State","SC","Category2","Two-Year")</f>
        <v>0</v>
      </c>
      <c r="V146" s="32">
        <f>+GETPIVOTDATA(" Undergrad Contact Hour FTE - Old",'FTE Pivot for regular counts'!$A$2,"State","SC","Category","12","Category2","Technical")</f>
        <v>0</v>
      </c>
      <c r="W146" s="32">
        <f>+GETPIVOTDATA(" Undergrad Contact Hour FTE - Old",'FTE Pivot for regular counts'!$A$2,"State","SC","Category","13","Category2","Technical")</f>
        <v>0</v>
      </c>
      <c r="X146" s="32">
        <f>+GETPIVOTDATA(" Undergrad Contact Hour FTE - Old",'FTE Pivot for regular counts'!$A$2,"State","SC","Category2","Technical")</f>
        <v>0</v>
      </c>
      <c r="Y146" s="32"/>
    </row>
    <row r="147" spans="1:88" ht="15" customHeight="1">
      <c r="B147" s="32"/>
      <c r="C147" s="32"/>
      <c r="D147" s="32"/>
      <c r="E147" s="32"/>
      <c r="F147" s="8"/>
      <c r="G147" s="32"/>
      <c r="H147" s="119"/>
      <c r="I147" s="119"/>
      <c r="J147" s="119"/>
      <c r="K147" s="119"/>
      <c r="L147" s="73"/>
      <c r="M147" s="1"/>
      <c r="Q147" s="32"/>
      <c r="R147" s="32"/>
      <c r="S147" s="32"/>
      <c r="T147" s="32"/>
      <c r="U147" s="8"/>
      <c r="V147" s="32"/>
      <c r="W147" s="32"/>
      <c r="X147" s="32"/>
      <c r="Y147" s="32"/>
    </row>
    <row r="148" spans="1:88" ht="15" customHeight="1">
      <c r="A148" s="1" t="s">
        <v>76</v>
      </c>
      <c r="B148" s="32">
        <f>+GETPIVOTDATA(" Undergrad Contact Hour FTE - New",'FTE Pivot for regular counts'!$A$2,"State","TN","Category","7","Category2","Two-Year")</f>
        <v>0</v>
      </c>
      <c r="C148" s="32">
        <f>+GETPIVOTDATA(" Undergrad Contact Hour FTE - New",'FTE Pivot for regular counts'!$A$2,"State","TN","Category","8","Category2","Two-Year")</f>
        <v>0</v>
      </c>
      <c r="D148" s="32">
        <f>+GETPIVOTDATA(" Undergrad Contact Hour FTE - New",'FTE Pivot for regular counts'!$A$2,"State","TN","Category","9","Category2","Two-Year")</f>
        <v>0</v>
      </c>
      <c r="E148" s="32">
        <f>+GETPIVOTDATA(" Undergrad Contact Hour FTE - New",'FTE Pivot for regular counts'!$A$2,"State","TN","Category","10","Category2","Two-Year")</f>
        <v>0</v>
      </c>
      <c r="F148" s="8">
        <f>+GETPIVOTDATA(" Undergrad Contact Hour FTE - New",'FTE Pivot for regular counts'!$A$2,"State","TN","Category2","Two-Year")</f>
        <v>0</v>
      </c>
      <c r="G148" s="32">
        <f>+GETPIVOTDATA(" Undergrad Contact Hour FTE - New",'FTE Pivot for regular counts'!$A$2,"State","TN","Category","12","Category2","Technical")</f>
        <v>1041.53</v>
      </c>
      <c r="H148" s="119">
        <f>+GETPIVOTDATA(" Undergrad Contact Hour FTE - New",'FTE Pivot for regular counts'!$A$2,"State","TN","Category","13","Category2","Technical")</f>
        <v>10292.814444444444</v>
      </c>
      <c r="I148" s="119">
        <f>+GETPIVOTDATA(" Undergrad Contact Hour FTE - New",'FTE Pivot for regular counts'!$A$2,"State","TN","Category2","Technical")</f>
        <v>11334.344444444445</v>
      </c>
      <c r="J148" s="119"/>
      <c r="K148" s="119"/>
      <c r="L148" s="73"/>
      <c r="M148" s="1"/>
      <c r="P148" s="1" t="s">
        <v>76</v>
      </c>
      <c r="Q148" s="32">
        <f>+GETPIVOTDATA(" Undergrad Contact Hour FTE - Old",'FTE Pivot for regular counts'!$A$2,"State","TN","Category","7","Category2","Two-Year")</f>
        <v>0</v>
      </c>
      <c r="R148" s="32">
        <f>+GETPIVOTDATA(" Undergrad Contact Hour FTE - Old",'FTE Pivot for regular counts'!$A$2,"State","TN","Category","8","Category2","Two-Year")</f>
        <v>0</v>
      </c>
      <c r="S148" s="32">
        <f>+GETPIVOTDATA(" Undergrad Contact Hour FTE - Old",'FTE Pivot for regular counts'!$A$2,"State","TN","Category","9","Category2","Two-Year")</f>
        <v>0</v>
      </c>
      <c r="T148" s="32">
        <f>+GETPIVOTDATA(" Undergrad Contact Hour FTE - Old",'FTE Pivot for regular counts'!$A$2,"State","TN","Category","10","Category2","Two-Year")</f>
        <v>0</v>
      </c>
      <c r="U148" s="8">
        <f>+GETPIVOTDATA(" Undergrad Contact Hour FTE - Old",'FTE Pivot for regular counts'!$A$2,"State","TN","Category2","Two-Year")</f>
        <v>0</v>
      </c>
      <c r="V148" s="32">
        <f>+GETPIVOTDATA(" Undergrad Contact Hour FTE - Old",'FTE Pivot for regular counts'!$A$2,"State","TN","Category","12","Category2","Technical")</f>
        <v>1072.3011111111111</v>
      </c>
      <c r="W148" s="32">
        <f>+GETPIVOTDATA(" Undergrad Contact Hour FTE - Old",'FTE Pivot for regular counts'!$A$2,"State","TN","Category","13","Category2","Technical")</f>
        <v>10626.471111111108</v>
      </c>
      <c r="X148" s="32">
        <f>+GETPIVOTDATA(" Undergrad Contact Hour FTE - Old",'FTE Pivot for regular counts'!$A$2,"State","TN","Category2","Technical")</f>
        <v>11698.77222222222</v>
      </c>
      <c r="Y148" s="32"/>
    </row>
    <row r="149" spans="1:88" ht="15" customHeight="1">
      <c r="A149" s="1" t="s">
        <v>77</v>
      </c>
      <c r="B149" s="32">
        <f>+GETPIVOTDATA(" Undergrad Contact Hour FTE - New",'FTE Pivot for regular counts'!$A$2,"State","TX","Category","7","Category2","Two-Year")</f>
        <v>700.74333333333334</v>
      </c>
      <c r="C149" s="32">
        <f>+GETPIVOTDATA(" Undergrad Contact Hour FTE - New",'FTE Pivot for regular counts'!$A$2,"State","TX","Category","8","Category2","Two-Year")</f>
        <v>13315.422222222216</v>
      </c>
      <c r="D149" s="32">
        <f>+GETPIVOTDATA(" Undergrad Contact Hour FTE - New",'FTE Pivot for regular counts'!$A$2,"State","TX","Category","9","Category2","Two-Year")</f>
        <v>4539.9011111111122</v>
      </c>
      <c r="E149" s="32">
        <f>+GETPIVOTDATA(" Undergrad Contact Hour FTE - New",'FTE Pivot for regular counts'!$A$2,"State","TX","Category","10","Category2","Two-Year")</f>
        <v>469.93111111111108</v>
      </c>
      <c r="F149" s="8">
        <f>+GETPIVOTDATA(" Undergrad Contact Hour FTE - New",'FTE Pivot for regular counts'!$A$2,"State","TX","Category2","Two-Year")</f>
        <v>19025.997777777775</v>
      </c>
      <c r="G149" s="32">
        <f>+GETPIVOTDATA(" Undergrad Contact Hour FTE - New",'FTE Pivot for regular counts'!$A$2,"State","TX","Category","12","Category2","Technical")</f>
        <v>0</v>
      </c>
      <c r="H149" s="119">
        <f>+GETPIVOTDATA(" Undergrad Contact Hour FTE - New",'FTE Pivot for regular counts'!$A$2,"State","TX","Category","13","Category2","Technical")</f>
        <v>0</v>
      </c>
      <c r="I149" s="119">
        <f>+GETPIVOTDATA(" Undergrad Contact Hour FTE - New",'FTE Pivot for regular counts'!$A$2,"State","TX","Category2","Technical")</f>
        <v>0</v>
      </c>
      <c r="J149" s="119"/>
      <c r="K149" s="119"/>
      <c r="L149" s="73"/>
      <c r="M149" s="1"/>
      <c r="P149" s="1" t="s">
        <v>77</v>
      </c>
      <c r="Q149" s="32">
        <f>+GETPIVOTDATA(" Undergrad Contact Hour FTE - Old",'FTE Pivot for regular counts'!$A$2,"State","TX","Category","7","Category2","Two-Year")</f>
        <v>470.8944444444445</v>
      </c>
      <c r="R149" s="32">
        <f>+GETPIVOTDATA(" Undergrad Contact Hour FTE - Old",'FTE Pivot for regular counts'!$A$2,"State","TX","Category","8","Category2","Two-Year")</f>
        <v>13117.441111111111</v>
      </c>
      <c r="S149" s="32">
        <f>+GETPIVOTDATA(" Undergrad Contact Hour FTE - Old",'FTE Pivot for regular counts'!$A$2,"State","TX","Category","9","Category2","Two-Year")</f>
        <v>4934.9777777777781</v>
      </c>
      <c r="T149" s="32">
        <f>+GETPIVOTDATA(" Undergrad Contact Hour FTE - Old",'FTE Pivot for regular counts'!$A$2,"State","TX","Category","10","Category2","Two-Year")</f>
        <v>535.29555555555555</v>
      </c>
      <c r="U149" s="8">
        <f>+GETPIVOTDATA(" Undergrad Contact Hour FTE - Old",'FTE Pivot for regular counts'!$A$2,"State","TX","Category2","Two-Year")</f>
        <v>19058.608888888888</v>
      </c>
      <c r="V149" s="32">
        <f>+GETPIVOTDATA(" Undergrad Contact Hour FTE - Old",'FTE Pivot for regular counts'!$A$2,"State","TX","Category","12","Category2","Technical")</f>
        <v>0</v>
      </c>
      <c r="W149" s="32">
        <f>+GETPIVOTDATA(" Undergrad Contact Hour FTE - Old",'FTE Pivot for regular counts'!$A$2,"State","TX","Category","13","Category2","Technical")</f>
        <v>0</v>
      </c>
      <c r="X149" s="32">
        <f>+GETPIVOTDATA(" Undergrad Contact Hour FTE - Old",'FTE Pivot for regular counts'!$A$2,"State","TX","Category2","Technical")</f>
        <v>0</v>
      </c>
      <c r="Y149" s="32"/>
    </row>
    <row r="150" spans="1:88" ht="15" customHeight="1">
      <c r="A150" s="1" t="s">
        <v>78</v>
      </c>
      <c r="B150" s="32">
        <f>+GETPIVOTDATA(" Undergrad Contact Hour FTE - New",'FTE Pivot for regular counts'!$A$2,"State","VA","Category","7","Category2","Two-Year")</f>
        <v>0</v>
      </c>
      <c r="C150" s="32">
        <f>+GETPIVOTDATA(" Undergrad Contact Hour FTE - New",'FTE Pivot for regular counts'!$A$2,"State","VA","Category","8","Category2","Two-Year")</f>
        <v>0</v>
      </c>
      <c r="D150" s="32">
        <f>+GETPIVOTDATA(" Undergrad Contact Hour FTE - New",'FTE Pivot for regular counts'!$A$2,"State","VA","Category","9","Category2","Two-Year")</f>
        <v>0</v>
      </c>
      <c r="E150" s="32">
        <f>+GETPIVOTDATA(" Undergrad Contact Hour FTE - New",'FTE Pivot for regular counts'!$A$2,"State","VA","Category","10","Category2","Two-Year")</f>
        <v>0</v>
      </c>
      <c r="F150" s="8">
        <f>+GETPIVOTDATA(" Undergrad Contact Hour FTE - New",'FTE Pivot for regular counts'!$A$2,"State","VA","Category2","Two-Year")</f>
        <v>0</v>
      </c>
      <c r="G150" s="32">
        <f>+GETPIVOTDATA(" Undergrad Contact Hour FTE - New",'FTE Pivot for regular counts'!$A$2,"State","VA","Category","12","Category2","Technical")</f>
        <v>0</v>
      </c>
      <c r="H150" s="119">
        <f>+GETPIVOTDATA(" Undergrad Contact Hour FTE - New",'FTE Pivot for regular counts'!$A$2,"State","VA","Category","13","Category2","Technical")</f>
        <v>0</v>
      </c>
      <c r="I150" s="119">
        <f>+GETPIVOTDATA(" Undergrad Contact Hour FTE - New",'FTE Pivot for regular counts'!$A$2,"State","VA","Category2","Technical")</f>
        <v>0</v>
      </c>
      <c r="J150" s="119"/>
      <c r="K150" s="119"/>
      <c r="L150" s="73"/>
      <c r="M150" s="1"/>
      <c r="P150" s="1" t="s">
        <v>78</v>
      </c>
      <c r="Q150" s="32">
        <f>+GETPIVOTDATA(" Undergrad Contact Hour FTE - Old",'FTE Pivot for regular counts'!$A$2,"State","VA","Category","7","Category2","Two-Year")</f>
        <v>0</v>
      </c>
      <c r="R150" s="32">
        <f>+GETPIVOTDATA(" Undergrad Contact Hour FTE - Old",'FTE Pivot for regular counts'!$A$2,"State","VA","Category","8","Category2","Two-Year")</f>
        <v>0</v>
      </c>
      <c r="S150" s="32">
        <f>+GETPIVOTDATA(" Undergrad Contact Hour FTE - Old",'FTE Pivot for regular counts'!$A$2,"State","VA","Category","9","Category2","Two-Year")</f>
        <v>0</v>
      </c>
      <c r="T150" s="32">
        <f>+GETPIVOTDATA(" Undergrad Contact Hour FTE - Old",'FTE Pivot for regular counts'!$A$2,"State","VA","Category","10","Category2","Two-Year")</f>
        <v>0</v>
      </c>
      <c r="U150" s="8">
        <f>+GETPIVOTDATA(" Undergrad Contact Hour FTE - Old",'FTE Pivot for regular counts'!$A$2,"State","VA","Category2","Two-Year")</f>
        <v>0</v>
      </c>
      <c r="V150" s="32">
        <f>+GETPIVOTDATA(" Undergrad Contact Hour FTE - Old",'FTE Pivot for regular counts'!$A$2,"State","VA","Category","12","Category2","Technical")</f>
        <v>0</v>
      </c>
      <c r="W150" s="32">
        <f>+GETPIVOTDATA(" Undergrad Contact Hour FTE - Old",'FTE Pivot for regular counts'!$A$2,"State","VA","Category","13","Category2","Technical")</f>
        <v>0</v>
      </c>
      <c r="X150" s="32">
        <f>+GETPIVOTDATA(" Undergrad Contact Hour FTE - Old",'FTE Pivot for regular counts'!$A$2,"State","VA","Category2","Technical")</f>
        <v>0</v>
      </c>
      <c r="Y150" s="32"/>
    </row>
    <row r="151" spans="1:88" ht="15" customHeight="1">
      <c r="A151" s="3" t="s">
        <v>79</v>
      </c>
      <c r="B151" s="9">
        <f>+GETPIVOTDATA(" Undergrad Contact Hour FTE - New",'FTE Pivot for regular counts'!$A$2,"State","WV","Category","7","Category2","Two-Year")</f>
        <v>0</v>
      </c>
      <c r="C151" s="9">
        <f>+GETPIVOTDATA(" Undergrad Contact Hour FTE - New",'FTE Pivot for regular counts'!$A$2,"State","WV","Category","8","Category2","Two-Year")</f>
        <v>0</v>
      </c>
      <c r="D151" s="9">
        <f>+GETPIVOTDATA(" Undergrad Contact Hour FTE - New",'FTE Pivot for regular counts'!$A$2,"State","WV","Category","9","Category2","Two-Year")</f>
        <v>0</v>
      </c>
      <c r="E151" s="9">
        <f>+GETPIVOTDATA(" Undergrad Contact Hour FTE - New",'FTE Pivot for regular counts'!$A$2,"State","WV","Category","10","Category2","Two-Year")</f>
        <v>0</v>
      </c>
      <c r="F151" s="10">
        <f>+GETPIVOTDATA(" Undergrad Contact Hour FTE - New",'FTE Pivot for regular counts'!$A$2,"State","WV","Category2","Two-Year")</f>
        <v>0</v>
      </c>
      <c r="G151" s="9">
        <f>+GETPIVOTDATA(" Undergrad Contact Hour FTE - New",'FTE Pivot for regular counts'!$A$2,"State","WV","Category","12","Category2","Technical")</f>
        <v>0</v>
      </c>
      <c r="H151" s="120">
        <f>+GETPIVOTDATA(" Undergrad Contact Hour FTE - New",'FTE Pivot for regular counts'!$A$2,"State","WV","Category","13","Category2","Technical")</f>
        <v>0</v>
      </c>
      <c r="I151" s="120">
        <f>+GETPIVOTDATA(" Undergrad Contact Hour FTE - New",'FTE Pivot for regular counts'!$A$2,"State","WV","Category2","Technical")</f>
        <v>0</v>
      </c>
      <c r="J151" s="119"/>
      <c r="K151" s="119"/>
      <c r="L151" s="73"/>
      <c r="M151" s="1"/>
      <c r="P151" s="3" t="s">
        <v>79</v>
      </c>
      <c r="Q151" s="9">
        <f>+GETPIVOTDATA(" Undergrad Contact Hour FTE - Old",'FTE Pivot for regular counts'!$A$2,"State","WV","Category","7","Category2","Two-Year")</f>
        <v>0</v>
      </c>
      <c r="R151" s="9">
        <f>+GETPIVOTDATA(" Undergrad Contact Hour FTE - Old",'FTE Pivot for regular counts'!$A$2,"State","WV","Category","8","Category2","Two-Year")</f>
        <v>0</v>
      </c>
      <c r="S151" s="9">
        <f>+GETPIVOTDATA(" Undergrad Contact Hour FTE - Old",'FTE Pivot for regular counts'!$A$2,"State","WV","Category","9","Category2","Two-Year")</f>
        <v>0</v>
      </c>
      <c r="T151" s="9">
        <f>+GETPIVOTDATA(" Undergrad Contact Hour FTE - Old",'FTE Pivot for regular counts'!$A$2,"State","WV","Category","10","Category2","Two-Year")</f>
        <v>0</v>
      </c>
      <c r="U151" s="10">
        <f>+GETPIVOTDATA(" Undergrad Contact Hour FTE - Old",'FTE Pivot for regular counts'!$A$2,"State","WV","Category2","Two-Year")</f>
        <v>0</v>
      </c>
      <c r="V151" s="9">
        <f>+GETPIVOTDATA(" Undergrad Contact Hour FTE - Old",'FTE Pivot for regular counts'!$A$2,"State","WV","Category","12","Category2","Technical")</f>
        <v>0</v>
      </c>
      <c r="W151" s="9">
        <f>+GETPIVOTDATA(" Undergrad Contact Hour FTE - Old",'FTE Pivot for regular counts'!$A$2,"State","WV","Category","13","Category2","Technical")</f>
        <v>0</v>
      </c>
      <c r="X151" s="9">
        <f>+GETPIVOTDATA(" Undergrad Contact Hour FTE - Old",'FTE Pivot for regular counts'!$A$2,"State","WV","Category2","Technical")</f>
        <v>0</v>
      </c>
      <c r="Y151" s="32"/>
    </row>
    <row r="152" spans="1:88" s="25" customFormat="1" ht="36" customHeight="1">
      <c r="A152" s="837" t="s">
        <v>986</v>
      </c>
      <c r="B152" s="837"/>
      <c r="C152" s="837"/>
      <c r="D152" s="837"/>
      <c r="E152" s="837"/>
      <c r="F152" s="837"/>
      <c r="G152" s="837"/>
      <c r="H152" s="837"/>
      <c r="I152" s="837"/>
      <c r="J152" s="408"/>
      <c r="K152" s="103"/>
      <c r="L152" s="103"/>
    </row>
    <row r="153" spans="1:88" ht="10.5" customHeight="1">
      <c r="I153" s="169" t="s">
        <v>987</v>
      </c>
      <c r="J153" s="169"/>
      <c r="K153" s="163"/>
      <c r="L153" s="163"/>
      <c r="M153" s="1"/>
    </row>
    <row r="154" spans="1:88" ht="18">
      <c r="A154" s="115" t="s">
        <v>168</v>
      </c>
      <c r="B154" s="115"/>
      <c r="C154" s="115"/>
      <c r="D154" s="115"/>
      <c r="E154" s="115"/>
      <c r="F154" s="115"/>
      <c r="G154" s="115"/>
      <c r="H154" s="115"/>
      <c r="I154" s="115"/>
      <c r="J154" s="115"/>
      <c r="K154" s="115"/>
      <c r="L154" s="169"/>
      <c r="M154" s="1"/>
      <c r="P154" s="4"/>
      <c r="Q154" s="4"/>
      <c r="R154" s="4"/>
      <c r="S154" s="4"/>
      <c r="T154" s="4"/>
      <c r="U154" s="4"/>
      <c r="V154" s="4"/>
      <c r="W154" s="4"/>
      <c r="X154" s="4"/>
      <c r="Y154" s="4"/>
      <c r="Z154" s="4"/>
      <c r="AA154" s="4"/>
      <c r="AB154" s="4"/>
      <c r="AC154" s="4"/>
      <c r="AD154" s="228"/>
      <c r="AE154" s="146"/>
      <c r="AF154" s="146"/>
      <c r="AG154" s="146"/>
      <c r="AH154" s="146"/>
      <c r="AI154" s="4"/>
      <c r="AT154" s="4"/>
      <c r="AU154" s="4"/>
      <c r="AV154" s="25"/>
      <c r="AW154" s="25"/>
      <c r="AX154" s="25"/>
      <c r="AY154" s="25"/>
      <c r="AZ154" s="25"/>
      <c r="BA154" s="25"/>
      <c r="BB154" s="25"/>
      <c r="BC154" s="25"/>
      <c r="BD154" s="25"/>
      <c r="BE154" s="25"/>
      <c r="BF154" s="25"/>
      <c r="BG154" s="25"/>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row>
    <row r="155" spans="1:88" s="4" customFormat="1" ht="15.75" customHeight="1">
      <c r="A155" s="21"/>
      <c r="B155" s="21"/>
      <c r="C155" s="21"/>
      <c r="D155" s="21"/>
      <c r="E155" s="21"/>
      <c r="F155" s="21"/>
      <c r="G155" s="21"/>
      <c r="H155" s="105"/>
      <c r="I155" s="21"/>
      <c r="J155" s="105"/>
      <c r="K155" s="105"/>
      <c r="L155" s="177"/>
      <c r="P155" s="1"/>
      <c r="Q155" s="1"/>
      <c r="R155" s="1"/>
      <c r="S155" s="1"/>
      <c r="T155" s="1"/>
      <c r="U155" s="1"/>
      <c r="V155" s="1"/>
      <c r="W155" s="1"/>
      <c r="X155" s="1"/>
      <c r="Y155" s="1"/>
      <c r="Z155" s="1"/>
      <c r="AA155" s="1"/>
      <c r="AB155" s="1"/>
      <c r="AC155" s="146"/>
      <c r="AD155" s="1"/>
      <c r="AE155" s="1"/>
      <c r="AF155" s="1"/>
      <c r="AG155" s="1"/>
      <c r="AH155" s="1"/>
      <c r="AI155" s="146"/>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row>
    <row r="156" spans="1:88" ht="18.75" customHeight="1">
      <c r="A156" s="43" t="s">
        <v>36</v>
      </c>
      <c r="B156" s="43"/>
      <c r="C156" s="43"/>
      <c r="D156" s="43"/>
      <c r="E156" s="43"/>
      <c r="F156" s="43"/>
      <c r="G156" s="43"/>
      <c r="H156" s="43"/>
      <c r="I156" s="43"/>
      <c r="J156" s="43"/>
      <c r="K156" s="43"/>
      <c r="L156" s="105"/>
      <c r="M156" s="1"/>
      <c r="AC156" s="100"/>
      <c r="AD156" s="100"/>
      <c r="AE156" s="100"/>
      <c r="AF156" s="100"/>
      <c r="AG156" s="100"/>
      <c r="AH156" s="100"/>
      <c r="AI156" s="100"/>
      <c r="AN156" s="25"/>
      <c r="AO156" s="25"/>
      <c r="AP156" s="25"/>
      <c r="AQ156" s="25"/>
      <c r="AZ156" s="25"/>
      <c r="BA156" s="25"/>
      <c r="BB156" s="25"/>
      <c r="BC156" s="25"/>
      <c r="BD156" s="25"/>
      <c r="BE156" s="25"/>
      <c r="BF156" s="25"/>
      <c r="BG156" s="25"/>
    </row>
    <row r="157" spans="1:88" ht="15.75">
      <c r="A157" s="43" t="s">
        <v>983</v>
      </c>
      <c r="B157" s="43"/>
      <c r="C157" s="43"/>
      <c r="D157" s="43"/>
      <c r="E157" s="43"/>
      <c r="F157" s="43"/>
      <c r="G157" s="43"/>
      <c r="H157" s="43"/>
      <c r="I157" s="43"/>
      <c r="J157" s="43"/>
      <c r="K157" s="43"/>
      <c r="L157" s="132"/>
      <c r="M157" s="1"/>
      <c r="Q157" s="126" t="s">
        <v>38</v>
      </c>
      <c r="AC157" s="100"/>
      <c r="AD157" s="100"/>
      <c r="AE157" s="100"/>
      <c r="AF157" s="100"/>
      <c r="AG157" s="100"/>
      <c r="AH157" s="100"/>
      <c r="AI157" s="100"/>
    </row>
    <row r="158" spans="1:88" ht="15.75">
      <c r="B158" s="2"/>
      <c r="C158" s="2"/>
      <c r="D158" s="2"/>
      <c r="E158" s="171"/>
      <c r="F158" s="2"/>
      <c r="G158" s="171"/>
      <c r="H158" s="202"/>
      <c r="I158" s="171"/>
      <c r="J158" s="202"/>
      <c r="K158" s="202"/>
      <c r="L158" s="132"/>
      <c r="M158" s="199"/>
      <c r="P158" s="3"/>
      <c r="Q158" s="236" t="s">
        <v>153</v>
      </c>
      <c r="R158" s="3"/>
      <c r="S158" s="3"/>
      <c r="T158" s="3"/>
      <c r="U158" s="3"/>
      <c r="V158" s="3"/>
      <c r="W158" s="3"/>
      <c r="X158" s="3"/>
      <c r="Y158" s="3"/>
      <c r="Z158" s="3"/>
      <c r="AA158" s="3"/>
      <c r="AC158" s="100"/>
      <c r="AD158" s="235" t="s">
        <v>39</v>
      </c>
      <c r="AE158" s="100"/>
      <c r="AF158" s="100"/>
      <c r="AG158" s="100"/>
      <c r="AH158" s="100"/>
      <c r="AI158" s="100"/>
      <c r="AJ158" s="461"/>
      <c r="AK158" s="450" t="s">
        <v>39</v>
      </c>
      <c r="AL158" s="449"/>
      <c r="AM158" s="449"/>
      <c r="AN158" s="449"/>
      <c r="AO158" s="449"/>
      <c r="AP158" s="449"/>
      <c r="AQ158" s="25"/>
      <c r="AZ158" s="25"/>
      <c r="BA158" s="25"/>
      <c r="BB158" s="25"/>
      <c r="BC158" s="25"/>
      <c r="BD158" s="25"/>
      <c r="BE158" s="25"/>
      <c r="BF158" s="25"/>
      <c r="BG158" s="25"/>
    </row>
    <row r="159" spans="1:88" ht="12.75" customHeight="1" thickBot="1">
      <c r="A159" s="409"/>
      <c r="B159" s="410" t="s">
        <v>140</v>
      </c>
      <c r="C159" s="65"/>
      <c r="D159" s="411">
        <v>1</v>
      </c>
      <c r="F159" s="206">
        <v>2</v>
      </c>
      <c r="H159" s="206">
        <v>3</v>
      </c>
      <c r="J159" s="206" t="s">
        <v>30</v>
      </c>
      <c r="K159" s="204"/>
      <c r="L159" s="191"/>
      <c r="M159" s="191"/>
      <c r="N159" s="25"/>
      <c r="O159" s="25"/>
      <c r="P159" s="36"/>
      <c r="Q159" s="36"/>
      <c r="R159" s="36" t="s">
        <v>156</v>
      </c>
      <c r="S159" s="36"/>
      <c r="T159" s="233" t="s">
        <v>154</v>
      </c>
      <c r="U159" s="36"/>
      <c r="V159" s="233">
        <v>2</v>
      </c>
      <c r="W159" s="36"/>
      <c r="X159" s="233">
        <v>3</v>
      </c>
      <c r="Y159" s="36"/>
      <c r="Z159" s="233" t="s">
        <v>0</v>
      </c>
      <c r="AA159" s="36"/>
      <c r="AC159" s="100"/>
      <c r="AD159" s="135" t="s">
        <v>63</v>
      </c>
      <c r="AE159" s="135"/>
      <c r="AF159" s="136"/>
      <c r="AG159" s="136"/>
      <c r="AH159" s="136"/>
      <c r="AI159" s="136"/>
      <c r="AJ159" s="462"/>
      <c r="AK159" s="451" t="s">
        <v>63</v>
      </c>
      <c r="AL159" s="451"/>
      <c r="AM159" s="452"/>
      <c r="AN159" s="452"/>
      <c r="AO159" s="452"/>
      <c r="AP159" s="452"/>
    </row>
    <row r="160" spans="1:88" ht="78" customHeight="1" thickBot="1">
      <c r="A160" s="203"/>
      <c r="B160" s="204" t="s">
        <v>143</v>
      </c>
      <c r="C160" s="166" t="s">
        <v>22</v>
      </c>
      <c r="D160" s="205" t="s">
        <v>143</v>
      </c>
      <c r="E160" s="166" t="s">
        <v>22</v>
      </c>
      <c r="F160" s="205" t="s">
        <v>143</v>
      </c>
      <c r="G160" s="166" t="s">
        <v>22</v>
      </c>
      <c r="H160" s="205" t="s">
        <v>143</v>
      </c>
      <c r="I160" s="166" t="s">
        <v>22</v>
      </c>
      <c r="J160" s="205" t="s">
        <v>143</v>
      </c>
      <c r="K160" s="166" t="s">
        <v>22</v>
      </c>
      <c r="Q160" s="3"/>
      <c r="R160" s="232" t="s">
        <v>2</v>
      </c>
      <c r="S160" s="232" t="s">
        <v>4</v>
      </c>
      <c r="T160" s="234" t="s">
        <v>2</v>
      </c>
      <c r="U160" s="232" t="s">
        <v>4</v>
      </c>
      <c r="V160" s="234" t="s">
        <v>2</v>
      </c>
      <c r="W160" s="232" t="s">
        <v>4</v>
      </c>
      <c r="X160" s="234" t="s">
        <v>2</v>
      </c>
      <c r="Y160" s="232" t="s">
        <v>4</v>
      </c>
      <c r="Z160" s="234" t="s">
        <v>2</v>
      </c>
      <c r="AA160" s="232" t="s">
        <v>4</v>
      </c>
      <c r="AC160" s="310" t="s">
        <v>144</v>
      </c>
      <c r="AD160" s="141" t="s">
        <v>140</v>
      </c>
      <c r="AE160" s="448">
        <v>1</v>
      </c>
      <c r="AF160" s="142">
        <v>2</v>
      </c>
      <c r="AG160" s="142">
        <v>3</v>
      </c>
      <c r="AH160" s="141" t="s">
        <v>27</v>
      </c>
      <c r="AI160" s="142" t="s">
        <v>30</v>
      </c>
      <c r="AJ160" s="463" t="s">
        <v>38</v>
      </c>
      <c r="AK160" s="453" t="s">
        <v>140</v>
      </c>
      <c r="AL160" s="454">
        <v>1</v>
      </c>
      <c r="AM160" s="454">
        <v>2</v>
      </c>
      <c r="AN160" s="454">
        <v>3</v>
      </c>
      <c r="AO160" s="454" t="s">
        <v>27</v>
      </c>
      <c r="AP160" s="454" t="s">
        <v>30</v>
      </c>
      <c r="AQ160" s="25"/>
      <c r="AZ160" s="25"/>
      <c r="BA160" s="25"/>
      <c r="BB160" s="25"/>
      <c r="BC160" s="25"/>
      <c r="BD160" s="25"/>
      <c r="BE160" s="25"/>
      <c r="BF160" s="25"/>
      <c r="BG160" s="25"/>
    </row>
    <row r="161" spans="1:88" ht="12.75" customHeight="1">
      <c r="A161" s="1" t="s">
        <v>64</v>
      </c>
      <c r="B161" s="7">
        <f>+'NEW-Tables 80-86'!B101+'NEW-Tables 80-86'!B131</f>
        <v>200497.09333333335</v>
      </c>
      <c r="D161" s="173">
        <f>+'NEW-Tables 80-86'!C101+'NEW-Tables 80-86'!C131</f>
        <v>1073635.084888889</v>
      </c>
      <c r="F161" s="173">
        <f>+'NEW-Tables 80-86'!D101+'NEW-Tables 80-86'!D131</f>
        <v>446654.92766666668</v>
      </c>
      <c r="H161" s="175">
        <f>+'NEW-Tables 80-86'!E101+'NEW-Tables 80-86'!E131</f>
        <v>135790.43822222223</v>
      </c>
      <c r="J161" s="173">
        <f>+'NEW-Tables 80-86'!F101+'NEW-Tables 80-86'!F131</f>
        <v>1856577.5441111112</v>
      </c>
      <c r="K161" s="1"/>
      <c r="Q161" s="1" t="s">
        <v>64</v>
      </c>
      <c r="R161" s="433"/>
      <c r="S161" s="422">
        <f>C161-R161</f>
        <v>0</v>
      </c>
      <c r="T161" s="240"/>
      <c r="U161" s="422">
        <f>E161-T161</f>
        <v>0</v>
      </c>
      <c r="V161" s="240"/>
      <c r="W161" s="422">
        <f>G161-V161</f>
        <v>0</v>
      </c>
      <c r="X161" s="240"/>
      <c r="Y161" s="422">
        <f>I161-X161</f>
        <v>0</v>
      </c>
      <c r="Z161" s="240"/>
      <c r="AA161" s="422">
        <f>K161-Z161</f>
        <v>0</v>
      </c>
      <c r="AC161" s="100" t="s">
        <v>64</v>
      </c>
      <c r="AD161" s="80">
        <f t="shared" ref="AD161:AI161" si="10">SUM(AD163:AD181)</f>
        <v>200497.09333333332</v>
      </c>
      <c r="AE161" s="80">
        <f t="shared" si="10"/>
        <v>940529.05822222214</v>
      </c>
      <c r="AF161" s="80">
        <f t="shared" si="10"/>
        <v>436883.19877777778</v>
      </c>
      <c r="AG161" s="80">
        <f t="shared" si="10"/>
        <v>126962.22377777778</v>
      </c>
      <c r="AH161" s="80">
        <f t="shared" si="10"/>
        <v>6533.8566666666666</v>
      </c>
      <c r="AI161" s="80">
        <f t="shared" si="10"/>
        <v>1856577.5441111112</v>
      </c>
      <c r="AJ161" s="462" t="s">
        <v>64</v>
      </c>
      <c r="AK161" s="455">
        <f t="shared" ref="AK161:AP161" si="11">SUM(AK163:AK181)</f>
        <v>212771.46555555557</v>
      </c>
      <c r="AL161" s="455">
        <f t="shared" si="11"/>
        <v>953799.28266666678</v>
      </c>
      <c r="AM161" s="455">
        <f t="shared" si="11"/>
        <v>411045.84766666667</v>
      </c>
      <c r="AN161" s="455">
        <f t="shared" si="11"/>
        <v>131614.85655555557</v>
      </c>
      <c r="AO161" s="455">
        <f t="shared" si="11"/>
        <v>217352.83888888889</v>
      </c>
      <c r="AP161" s="455">
        <f t="shared" si="11"/>
        <v>1927437.1579999998</v>
      </c>
      <c r="BH161" s="75"/>
      <c r="BI161" s="75"/>
      <c r="BJ161" s="75"/>
    </row>
    <row r="162" spans="1:88" ht="12.75" customHeight="1">
      <c r="A162" s="262"/>
      <c r="B162" s="263"/>
      <c r="C162" s="258" t="s">
        <v>178</v>
      </c>
      <c r="D162" s="259" t="s">
        <v>28</v>
      </c>
      <c r="E162" s="258" t="s">
        <v>179</v>
      </c>
      <c r="F162" s="259" t="s">
        <v>28</v>
      </c>
      <c r="G162" s="260" t="s">
        <v>180</v>
      </c>
      <c r="H162" s="261" t="s">
        <v>28</v>
      </c>
      <c r="I162" s="260" t="s">
        <v>181</v>
      </c>
      <c r="J162" s="261" t="s">
        <v>28</v>
      </c>
      <c r="K162" s="258" t="s">
        <v>182</v>
      </c>
      <c r="L162" s="4" t="s">
        <v>28</v>
      </c>
      <c r="P162" s="75"/>
      <c r="R162" s="429" t="s">
        <v>232</v>
      </c>
      <c r="S162" s="434"/>
      <c r="T162" s="430" t="s">
        <v>243</v>
      </c>
      <c r="U162" s="434"/>
      <c r="V162" s="430" t="s">
        <v>244</v>
      </c>
      <c r="W162" s="434"/>
      <c r="X162" s="430" t="s">
        <v>245</v>
      </c>
      <c r="Y162" s="434"/>
      <c r="Z162" s="430" t="s">
        <v>246</v>
      </c>
      <c r="AA162" s="434"/>
      <c r="AB162" s="75"/>
      <c r="AC162" s="100"/>
      <c r="AD162" s="80"/>
      <c r="AE162" s="80"/>
      <c r="AF162" s="80"/>
      <c r="AG162" s="80"/>
      <c r="AH162" s="80"/>
      <c r="AI162" s="80"/>
      <c r="AJ162" s="462"/>
      <c r="AK162" s="455"/>
      <c r="AL162" s="456"/>
      <c r="AM162" s="456"/>
      <c r="AN162" s="449"/>
      <c r="AO162" s="449"/>
      <c r="AP162" s="449"/>
      <c r="AQ162" s="25"/>
      <c r="AZ162" s="25"/>
      <c r="BA162" s="25"/>
      <c r="BB162" s="25"/>
      <c r="BC162" s="25"/>
      <c r="BD162" s="25"/>
      <c r="BE162" s="25"/>
      <c r="BF162" s="25"/>
      <c r="BG162" s="25"/>
      <c r="BK162" s="75"/>
      <c r="BL162" s="75"/>
      <c r="BM162" s="75"/>
      <c r="BN162" s="75"/>
      <c r="BO162" s="75"/>
      <c r="BP162" s="75"/>
      <c r="BQ162" s="75"/>
      <c r="BR162" s="75"/>
      <c r="BS162" s="75"/>
      <c r="BT162" s="75"/>
      <c r="BU162" s="75"/>
      <c r="BV162" s="75"/>
      <c r="BW162" s="75"/>
      <c r="BX162" s="75"/>
      <c r="BY162" s="75"/>
      <c r="BZ162" s="75"/>
      <c r="CA162" s="75"/>
      <c r="CB162" s="75"/>
      <c r="CC162" s="75"/>
      <c r="CD162" s="75"/>
      <c r="CE162" s="75"/>
      <c r="CF162" s="75"/>
      <c r="CG162" s="75"/>
      <c r="CH162" s="75"/>
      <c r="CI162" s="75"/>
      <c r="CJ162" s="75"/>
    </row>
    <row r="163" spans="1:88" s="75" customFormat="1" ht="15" customHeight="1">
      <c r="A163" s="1" t="s">
        <v>65</v>
      </c>
      <c r="B163" s="7">
        <f>+'NEW-Tables 80-86'!B103+'NEW-Tables 80-86'!B133</f>
        <v>0</v>
      </c>
      <c r="C163" s="96">
        <f>+GETPIVOTDATA("Sum of New-HS % of Total",'Pivot-HS Student % of Undergrad'!$A$3,"State","AL","Category",7,"Category2","Two-Year")</f>
        <v>0</v>
      </c>
      <c r="D163" s="173">
        <f>+'NEW-Tables 80-86'!C103+'NEW-Tables 80-86'!C133</f>
        <v>24454.633333333335</v>
      </c>
      <c r="E163" s="96">
        <f>+GETPIVOTDATA("Sum of New-HS % of Total",'Pivot-HS Student % of Undergrad'!$A$3,"State","AL","Category",8,"Category2","Two-Year")</f>
        <v>3.0873495002310399E-2</v>
      </c>
      <c r="F163" s="173">
        <f>+'NEW-Tables 80-86'!D103+'NEW-Tables 80-86'!D133</f>
        <v>34235.100000000006</v>
      </c>
      <c r="G163" s="96">
        <f>+GETPIVOTDATA("Sum of New-HS % of Total",'Pivot-HS Student % of Undergrad'!$A$3,"State","AL","Category",9,"Category2","Two-Year")</f>
        <v>2.3735873416464388E-2</v>
      </c>
      <c r="H163" s="173">
        <f>+'NEW-Tables 80-86'!E103+'NEW-Tables 80-86'!E133</f>
        <v>8541.4333333333343</v>
      </c>
      <c r="I163" s="96">
        <f>+GETPIVOTDATA("Sum of New-HS % of Total",'Pivot-HS Student % of Undergrad'!$A$3,"State","AL","Category",10,"Category2","Two-Year")</f>
        <v>2.8071010720292847E-2</v>
      </c>
      <c r="J163" s="173">
        <f>+'NEW-Tables 80-86'!F103+'NEW-Tables 80-86'!F133</f>
        <v>67231.166666666672</v>
      </c>
      <c r="K163" s="96">
        <f>+GETPIVOTDATA("Sum of New-HS % of Total",'Pivot-HS Student % of Undergrad'!$A$3,"State","AL","Category2","Group2")</f>
        <v>2.6882869304166966E-2</v>
      </c>
      <c r="L163" s="75" t="s">
        <v>28</v>
      </c>
      <c r="P163" s="1"/>
      <c r="Q163" s="1" t="s">
        <v>65</v>
      </c>
      <c r="R163" s="239">
        <f>+GETPIVOTDATA("Sum of Old-HS % of Total",'Pivot-HS Student % of Undergrad'!$A$3,"State","AL","Category",7,"Category2","Two-Year")</f>
        <v>0</v>
      </c>
      <c r="S163" s="470">
        <f>(C163-R163)*100</f>
        <v>0</v>
      </c>
      <c r="T163" s="240">
        <f>+GETPIVOTDATA("Sum of Old-HS % of Total",'Pivot-HS Student % of Undergrad'!$A$3,"State","AL","Category",8,"Category2","Two-Year")</f>
        <v>2.8456654237237373E-2</v>
      </c>
      <c r="U163" s="470">
        <f>(E163-T163)*100</f>
        <v>0.24168407650730256</v>
      </c>
      <c r="V163" s="240">
        <f>+GETPIVOTDATA("Sum of Old-HS % of Total",'Pivot-HS Student % of Undergrad'!$A$3,"State","AL","Category",9,"Category2","Two-Year")</f>
        <v>2.0578138596440899E-2</v>
      </c>
      <c r="W163" s="470">
        <f>(G163-V163)*100</f>
        <v>0.31577348200234889</v>
      </c>
      <c r="X163" s="240">
        <f>+GETPIVOTDATA("Sum of Old-HS % of Total",'Pivot-HS Student % of Undergrad'!$A$3,"State","AL","Category",10,"Category2","Two-Year")</f>
        <v>3.1970194582759473E-2</v>
      </c>
      <c r="Y163" s="470">
        <f>(I163-X163)*100</f>
        <v>-0.38991838624666264</v>
      </c>
      <c r="Z163" s="240">
        <f>+GETPIVOTDATA("Sum of Old-HS % of Total",'Pivot-HS Student % of Undergrad'!$A$3,"State","AL","Category2","Two-Year")</f>
        <v>2.4846510333397319E-2</v>
      </c>
      <c r="AA163" s="470">
        <f>(K163-Z163)*100</f>
        <v>0.20363589707696472</v>
      </c>
      <c r="AB163" s="1"/>
      <c r="AC163" s="100" t="s">
        <v>65</v>
      </c>
      <c r="AD163" s="80">
        <f>+B163</f>
        <v>0</v>
      </c>
      <c r="AE163" s="80">
        <f>+D163</f>
        <v>24454.633333333335</v>
      </c>
      <c r="AF163" s="80">
        <f>+F163</f>
        <v>34235.100000000006</v>
      </c>
      <c r="AG163" s="80">
        <f>+H163</f>
        <v>8541.4333333333343</v>
      </c>
      <c r="AH163" s="80"/>
      <c r="AI163" s="80">
        <f>+J163</f>
        <v>67231.166666666672</v>
      </c>
      <c r="AJ163" s="462" t="s">
        <v>65</v>
      </c>
      <c r="AK163" s="455">
        <f>+'NEW-Tables 80-86'!R103+'NEW-Tables 80-86'!Q133</f>
        <v>0</v>
      </c>
      <c r="AL163" s="455">
        <f>+'NEW-Tables 80-86'!S103+'NEW-Tables 80-86'!R133</f>
        <v>26710.799999999999</v>
      </c>
      <c r="AM163" s="455">
        <f>+'NEW-Tables 80-86'!T103+'NEW-Tables 80-86'!S133</f>
        <v>38344.900000000009</v>
      </c>
      <c r="AN163" s="455">
        <f>+'NEW-Tables 80-86'!U103+'NEW-Tables 80-86'!T133</f>
        <v>9439</v>
      </c>
      <c r="AO163" s="455"/>
      <c r="AP163" s="457">
        <f>+'NEW-Tables 80-86'!V103+'NEW-Tables 80-86'!U133</f>
        <v>74494.700000000012</v>
      </c>
      <c r="AQ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row>
    <row r="164" spans="1:88" ht="15" customHeight="1">
      <c r="A164" s="1" t="s">
        <v>66</v>
      </c>
      <c r="B164" s="32">
        <f>+'NEW-Tables 80-86'!B104+'NEW-Tables 80-86'!B134</f>
        <v>0</v>
      </c>
      <c r="C164" s="96">
        <f>+GETPIVOTDATA("Sum of New-HS % of Total",'Pivot-HS Student % of Undergrad'!$A$3,"State","AR","Category",7,"Category2","Two-Year")</f>
        <v>0</v>
      </c>
      <c r="D164" s="173">
        <f>+'NEW-Tables 80-86'!C104+'NEW-Tables 80-86'!C134</f>
        <v>14212.666666666666</v>
      </c>
      <c r="E164" s="96">
        <f>+GETPIVOTDATA("Sum of New-HS % of Total",'Pivot-HS Student % of Undergrad'!$A$3,"State","AR","Category",8,"Category2","Two-Year")</f>
        <v>1.7967540691402037E-2</v>
      </c>
      <c r="F164" s="173">
        <f>+'NEW-Tables 80-86'!D104+'NEW-Tables 80-86'!D134</f>
        <v>5943.9</v>
      </c>
      <c r="G164" s="96">
        <f>+GETPIVOTDATA("Sum of New-HS % of Total",'Pivot-HS Student % of Undergrad'!$A$3,"State","AR","Category",9,"Category2","Two-Year")</f>
        <v>6.2153356101773805E-2</v>
      </c>
      <c r="H164" s="173">
        <f>+'NEW-Tables 80-86'!E104+'NEW-Tables 80-86'!E134</f>
        <v>22035.666666666668</v>
      </c>
      <c r="I164" s="96">
        <f>+GETPIVOTDATA("Sum of New-HS % of Total",'Pivot-HS Student % of Undergrad'!$A$3,"State","AR","Category",10,"Category2","Two-Year")</f>
        <v>6.2574311343730621E-2</v>
      </c>
      <c r="J164" s="173">
        <f>+'NEW-Tables 80-86'!F104+'NEW-Tables 80-86'!F134</f>
        <v>42192.233333333337</v>
      </c>
      <c r="K164" s="96">
        <f>+GETPIVOTDATA("Sum of New-HS % of Total",'Pivot-HS Student % of Undergrad'!$A$3,"State","AR","Category2","Group2")</f>
        <v>4.7488992839914458E-2</v>
      </c>
      <c r="Q164" s="4" t="s">
        <v>66</v>
      </c>
      <c r="R164" s="239">
        <f>+GETPIVOTDATA("Sum of Old-HS % of Total",'Pivot-HS Student % of Undergrad'!$A$3,"State","AR","Category",7,"Category2","Two-Year")</f>
        <v>0</v>
      </c>
      <c r="S164" s="470">
        <f t="shared" ref="S164:S181" si="12">(C164-R164)*100</f>
        <v>0</v>
      </c>
      <c r="T164" s="240">
        <f>+GETPIVOTDATA("Sum of Old-HS % of Total",'Pivot-HS Student % of Undergrad'!$A$3,"State","AR","Category",8,"Category2","Two-Year")</f>
        <v>2.0082895649816426E-2</v>
      </c>
      <c r="U164" s="470">
        <f t="shared" ref="U164:U181" si="13">(E164-T164)*100</f>
        <v>-0.21153549584143894</v>
      </c>
      <c r="V164" s="240">
        <f>+GETPIVOTDATA("Sum of Old-HS % of Total",'Pivot-HS Student % of Undergrad'!$A$3,"State","AR","Category",9,"Category2","Two-Year")</f>
        <v>5.9899853953682455E-2</v>
      </c>
      <c r="W164" s="470">
        <f t="shared" ref="W164:W181" si="14">(G164-V164)*100</f>
        <v>0.22535021480913492</v>
      </c>
      <c r="X164" s="240">
        <f>+GETPIVOTDATA("Sum of Old-HS % of Total",'Pivot-HS Student % of Undergrad'!$A$3,"State","AR","Category",10,"Category2","Two-Year")</f>
        <v>5.2994739399573235E-2</v>
      </c>
      <c r="Y164" s="470">
        <f t="shared" ref="Y164:Y181" si="15">(I164-X164)*100</f>
        <v>0.95795719441573857</v>
      </c>
      <c r="Z164" s="240">
        <f>+GETPIVOTDATA("Sum of Old-HS % of Total",'Pivot-HS Student % of Undergrad'!$A$3,"State","AR","Category2","Two-Year")</f>
        <v>4.3270521728008521E-2</v>
      </c>
      <c r="AA164" s="470">
        <f t="shared" ref="AA164:AA181" si="16">(K164-Z164)*100</f>
        <v>0.4218471111905937</v>
      </c>
      <c r="AB164" s="270"/>
      <c r="AC164" s="100" t="s">
        <v>66</v>
      </c>
      <c r="AD164" s="80">
        <f>+B164</f>
        <v>0</v>
      </c>
      <c r="AE164" s="80">
        <f>+D164</f>
        <v>14212.666666666666</v>
      </c>
      <c r="AF164" s="80">
        <f>+F164</f>
        <v>5943.9</v>
      </c>
      <c r="AG164" s="80">
        <f>+H164</f>
        <v>22035.666666666668</v>
      </c>
      <c r="AH164" s="80"/>
      <c r="AI164" s="80">
        <f>+J164</f>
        <v>42192.233333333337</v>
      </c>
      <c r="AJ164" s="462" t="s">
        <v>66</v>
      </c>
      <c r="AK164" s="456">
        <f>+'NEW-Tables 80-86'!R104+'NEW-Tables 80-86'!Q134</f>
        <v>0</v>
      </c>
      <c r="AL164" s="456">
        <f>+'NEW-Tables 80-86'!S104+'NEW-Tables 80-86'!R134</f>
        <v>14508.2</v>
      </c>
      <c r="AM164" s="456">
        <f>+'NEW-Tables 80-86'!T104+'NEW-Tables 80-86'!S134</f>
        <v>6390.6666666666661</v>
      </c>
      <c r="AN164" s="456">
        <f>+'NEW-Tables 80-86'!U104+'NEW-Tables 80-86'!T134</f>
        <v>23666.500000000007</v>
      </c>
      <c r="AO164" s="456"/>
      <c r="AP164" s="457">
        <f>+'NEW-Tables 80-86'!V104+'NEW-Tables 80-86'!U134</f>
        <v>44565.366666666676</v>
      </c>
      <c r="AQ164" s="25"/>
      <c r="AZ164" s="25"/>
      <c r="BA164" s="25"/>
      <c r="BB164" s="25"/>
      <c r="BC164" s="25"/>
      <c r="BD164" s="25"/>
      <c r="BE164" s="25"/>
      <c r="BF164" s="25"/>
      <c r="BG164" s="25"/>
    </row>
    <row r="165" spans="1:88" ht="15" customHeight="1">
      <c r="A165" s="1" t="s">
        <v>102</v>
      </c>
      <c r="B165" s="32">
        <f>+'NEW-Tables 80-86'!B105+'NEW-Tables 80-86'!B135</f>
        <v>0</v>
      </c>
      <c r="C165" s="96">
        <f>+GETPIVOTDATA("Sum of New-HS % of Total",'Pivot-HS Student % of Undergrad'!$A$3,"State","DE","Category",7,"Category2","Two-Year")</f>
        <v>0</v>
      </c>
      <c r="D165" s="173">
        <f>+'NEW-Tables 80-86'!C105+'NEW-Tables 80-86'!C135</f>
        <v>5113.5333333333338</v>
      </c>
      <c r="E165" s="96">
        <f>+GETPIVOTDATA("Sum of New-HS % of Total",'Pivot-HS Student % of Undergrad'!$A$3,"State","DE","Category",8,"Category2","Two-Year")</f>
        <v>0</v>
      </c>
      <c r="F165" s="173">
        <f>+'NEW-Tables 80-86'!D105+'NEW-Tables 80-86'!D135</f>
        <v>5661.4333333333334</v>
      </c>
      <c r="G165" s="96">
        <f>+GETPIVOTDATA("Sum of New-HS % of Total",'Pivot-HS Student % of Undergrad'!$A$3,"State","DE","Category",9,"Category2","Two-Year")</f>
        <v>0</v>
      </c>
      <c r="H165" s="173">
        <f>+'NEW-Tables 80-86'!E105+'NEW-Tables 80-86'!E135</f>
        <v>0</v>
      </c>
      <c r="I165" s="96">
        <f>+GETPIVOTDATA("Sum of New-HS % of Total",'Pivot-HS Student % of Undergrad'!$A$3,"State","DE","Category",10,"Category2","Two-Year")</f>
        <v>0</v>
      </c>
      <c r="J165" s="173">
        <f>+'NEW-Tables 80-86'!F105+'NEW-Tables 80-86'!F135</f>
        <v>10774.966666666667</v>
      </c>
      <c r="K165" s="96">
        <f>+GETPIVOTDATA("Sum of New-HS % of Total",'Pivot-HS Student % of Undergrad'!$A$3,"State","DE","Category2","Group2")</f>
        <v>0</v>
      </c>
      <c r="Q165" s="1" t="s">
        <v>102</v>
      </c>
      <c r="R165" s="239">
        <f>+GETPIVOTDATA("Sum of Old-HS % of Total",'Pivot-HS Student % of Undergrad'!$A$3,"State","DE","Category",7,"Category2","Two-Year")</f>
        <v>0</v>
      </c>
      <c r="S165" s="470">
        <f t="shared" si="12"/>
        <v>0</v>
      </c>
      <c r="T165" s="240">
        <f>+GETPIVOTDATA("Sum of Old-HS % of Total",'Pivot-HS Student % of Undergrad'!$A$3,"State","DE","Category",8,"Category2","Two-Year")</f>
        <v>0</v>
      </c>
      <c r="U165" s="470">
        <f t="shared" si="13"/>
        <v>0</v>
      </c>
      <c r="V165" s="240">
        <f>+GETPIVOTDATA("Sum of Old-HS % of Total",'Pivot-HS Student % of Undergrad'!$A$3,"State","DE","Category",9,"Category2","Two-Year")</f>
        <v>0</v>
      </c>
      <c r="W165" s="470">
        <f t="shared" si="14"/>
        <v>0</v>
      </c>
      <c r="X165" s="240">
        <f>+GETPIVOTDATA("Sum of Old-HS % of Total",'Pivot-HS Student % of Undergrad'!$A$3,"State","DE","Category",10,"Category2","Two-Year")</f>
        <v>0</v>
      </c>
      <c r="Y165" s="470">
        <f t="shared" si="15"/>
        <v>0</v>
      </c>
      <c r="Z165" s="240">
        <f>+GETPIVOTDATA("Sum of Old-HS % of Total",'Pivot-HS Student % of Undergrad'!$A$3,"State","DE","Category2","Two-Year")</f>
        <v>0</v>
      </c>
      <c r="AA165" s="470">
        <f t="shared" si="16"/>
        <v>0</v>
      </c>
      <c r="AC165" s="100" t="s">
        <v>102</v>
      </c>
      <c r="AD165" s="80">
        <f>+B165</f>
        <v>0</v>
      </c>
      <c r="AE165" s="80">
        <f>+D165</f>
        <v>5113.5333333333338</v>
      </c>
      <c r="AF165" s="80">
        <f>+F165</f>
        <v>5661.4333333333334</v>
      </c>
      <c r="AG165" s="80">
        <f>+H165</f>
        <v>0</v>
      </c>
      <c r="AH165" s="80"/>
      <c r="AI165" s="80">
        <f>+J165</f>
        <v>10774.966666666667</v>
      </c>
      <c r="AJ165" s="462" t="s">
        <v>102</v>
      </c>
      <c r="AK165" s="456">
        <f>+'NEW-Tables 80-86'!R105+'NEW-Tables 80-86'!Q135</f>
        <v>0</v>
      </c>
      <c r="AL165" s="456">
        <f>+'NEW-Tables 80-86'!S105+'NEW-Tables 80-86'!R135</f>
        <v>5258.4</v>
      </c>
      <c r="AM165" s="456">
        <f>+'NEW-Tables 80-86'!T105+'NEW-Tables 80-86'!S135</f>
        <v>5958.9333333333334</v>
      </c>
      <c r="AN165" s="456">
        <f>+'NEW-Tables 80-86'!U105+'NEW-Tables 80-86'!T135</f>
        <v>0</v>
      </c>
      <c r="AO165" s="456"/>
      <c r="AP165" s="457">
        <f>+'NEW-Tables 80-86'!V105+'NEW-Tables 80-86'!U135</f>
        <v>11217.333333333332</v>
      </c>
    </row>
    <row r="166" spans="1:88" ht="15" customHeight="1">
      <c r="A166" s="1" t="s">
        <v>67</v>
      </c>
      <c r="B166" s="32">
        <f>+'NEW-Tables 80-86'!B106+'NEW-Tables 80-86'!B136</f>
        <v>147001.65</v>
      </c>
      <c r="C166" s="96">
        <f>+GETPIVOTDATA("Sum of New-HS % of Total",'Pivot-HS Student % of Undergrad'!$A$3,"State","FL","Category",7,"Category2","Two-Year")</f>
        <v>2.0727791164357266E-2</v>
      </c>
      <c r="D166" s="173">
        <f>+'NEW-Tables 80-86'!C106+'NEW-Tables 80-86'!C136</f>
        <v>193019.62555555554</v>
      </c>
      <c r="E166" s="96">
        <f>+GETPIVOTDATA("Sum of New-HS % of Total",'Pivot-HS Student % of Undergrad'!$A$3,"State","FL","Category",8,"Category2","Two-Year")</f>
        <v>3.1609179045199214E-2</v>
      </c>
      <c r="F166" s="173">
        <f>+'NEW-Tables 80-86'!D106+'NEW-Tables 80-86'!D136</f>
        <v>17205.486666666668</v>
      </c>
      <c r="G166" s="96">
        <f>+GETPIVOTDATA("Sum of New-HS % of Total",'Pivot-HS Student % of Undergrad'!$A$3,"State","FL","Category",9,"Category2","Two-Year")</f>
        <v>7.9349957766767162E-2</v>
      </c>
      <c r="H166" s="173">
        <f>+'NEW-Tables 80-86'!E106+'NEW-Tables 80-86'!E136</f>
        <v>1777.817777777778</v>
      </c>
      <c r="I166" s="96">
        <f>+GETPIVOTDATA("Sum of New-HS % of Total",'Pivot-HS Student % of Undergrad'!$A$3,"State","FL","Category",10,"Category2","Two-Year")</f>
        <v>3.1505905166874994E-2</v>
      </c>
      <c r="J166" s="173">
        <f>+'NEW-Tables 80-86'!F106+'NEW-Tables 80-86'!F136</f>
        <v>359004.57999999996</v>
      </c>
      <c r="K166" s="96">
        <f>+GETPIVOTDATA("Sum of New-HS % of Total",'Pivot-HS Student % of Undergrad'!$A$3,"State","FL","Category2","Group2")</f>
        <v>2.9517162843105637E-2</v>
      </c>
      <c r="Q166" s="1" t="s">
        <v>67</v>
      </c>
      <c r="R166" s="239">
        <f>+GETPIVOTDATA("Sum of Old-HS % of Total",'Pivot-HS Student % of Undergrad'!$A$3,"State","FL","Category",7,"Category2","Two-Year")</f>
        <v>1.5913719688069022E-2</v>
      </c>
      <c r="S166" s="470">
        <f t="shared" si="12"/>
        <v>0.48140714762882447</v>
      </c>
      <c r="T166" s="435">
        <f>+GETPIVOTDATA("Sum of Old-HS % of Total",'Pivot-HS Student % of Undergrad'!$A$3,"State","FL","Category",8,"Category2","Two-Year")</f>
        <v>2.8559090395662227E-2</v>
      </c>
      <c r="U166" s="470">
        <f t="shared" si="13"/>
        <v>0.30500886495369861</v>
      </c>
      <c r="V166" s="240">
        <f>+GETPIVOTDATA("Sum of Old-HS % of Total",'Pivot-HS Student % of Undergrad'!$A$3,"State","FL","Category",9,"Category2","Two-Year")</f>
        <v>6.9514107359496063E-2</v>
      </c>
      <c r="W166" s="470">
        <f t="shared" si="14"/>
        <v>0.98358504072710984</v>
      </c>
      <c r="X166" s="240">
        <f>+GETPIVOTDATA("Sum of Old-HS % of Total",'Pivot-HS Student % of Undergrad'!$A$3,"State","FL","Category",10,"Category2","Two-Year")</f>
        <v>3.2345181785541452E-2</v>
      </c>
      <c r="Y166" s="470">
        <f t="shared" si="15"/>
        <v>-8.3927661866645825E-2</v>
      </c>
      <c r="Z166" s="240">
        <f>+GETPIVOTDATA("Sum of Old-HS % of Total",'Pivot-HS Student % of Undergrad'!$A$3,"State","FL","Category2","Two-Year")</f>
        <v>2.4941878629263226E-2</v>
      </c>
      <c r="AA166" s="470">
        <f t="shared" si="16"/>
        <v>0.45752842138424116</v>
      </c>
      <c r="AC166" s="100" t="s">
        <v>67</v>
      </c>
      <c r="AD166" s="80">
        <f>+B166</f>
        <v>147001.65</v>
      </c>
      <c r="AE166" s="80">
        <f>+D166</f>
        <v>193019.62555555554</v>
      </c>
      <c r="AF166" s="80">
        <f>+F166</f>
        <v>17205.486666666668</v>
      </c>
      <c r="AG166" s="80">
        <f>+H166</f>
        <v>1777.817777777778</v>
      </c>
      <c r="AH166" s="80"/>
      <c r="AI166" s="80">
        <f>+J166</f>
        <v>359004.57999999996</v>
      </c>
      <c r="AJ166" s="462" t="s">
        <v>67</v>
      </c>
      <c r="AK166" s="456">
        <f>+'NEW-Tables 80-86'!R106+'NEW-Tables 80-86'!Q136</f>
        <v>157768.67111111112</v>
      </c>
      <c r="AL166" s="456">
        <f>+'NEW-Tables 80-86'!S106+'NEW-Tables 80-86'!R136</f>
        <v>200103.78111111111</v>
      </c>
      <c r="AM166" s="456">
        <f>+'NEW-Tables 80-86'!T106+'NEW-Tables 80-86'!S136</f>
        <v>18118.97111111111</v>
      </c>
      <c r="AN166" s="456">
        <f>+'NEW-Tables 80-86'!U106+'NEW-Tables 80-86'!T136</f>
        <v>1948.8255555555554</v>
      </c>
      <c r="AO166" s="456"/>
      <c r="AP166" s="457">
        <f>+'NEW-Tables 80-86'!V106+'NEW-Tables 80-86'!U136</f>
        <v>377940.24888888886</v>
      </c>
      <c r="AQ166" s="25"/>
      <c r="AZ166" s="25"/>
      <c r="BA166" s="25"/>
      <c r="BB166" s="25"/>
      <c r="BC166" s="25"/>
      <c r="BD166" s="25"/>
      <c r="BE166" s="25"/>
      <c r="BF166" s="25"/>
      <c r="BG166" s="25"/>
    </row>
    <row r="167" spans="1:88" ht="15" customHeight="1">
      <c r="B167" s="32"/>
      <c r="C167" s="96"/>
      <c r="D167" s="173"/>
      <c r="E167" s="96"/>
      <c r="F167" s="173"/>
      <c r="G167" s="96"/>
      <c r="H167" s="173"/>
      <c r="I167" s="96"/>
      <c r="J167" s="173"/>
      <c r="K167" s="96"/>
      <c r="R167" s="239"/>
      <c r="S167" s="470"/>
      <c r="T167" s="435"/>
      <c r="U167" s="470"/>
      <c r="V167" s="240"/>
      <c r="W167" s="470"/>
      <c r="X167" s="240"/>
      <c r="Y167" s="470"/>
      <c r="Z167" s="240"/>
      <c r="AA167" s="470"/>
      <c r="AC167" s="100"/>
      <c r="AD167" s="80"/>
      <c r="AE167" s="80"/>
      <c r="AF167" s="80"/>
      <c r="AG167" s="80"/>
      <c r="AH167" s="80"/>
      <c r="AI167" s="80"/>
      <c r="AJ167" s="462"/>
      <c r="AK167" s="456"/>
      <c r="AL167" s="456"/>
      <c r="AM167" s="456"/>
      <c r="AN167" s="456"/>
      <c r="AO167" s="456"/>
      <c r="AP167" s="457"/>
      <c r="AQ167" s="25"/>
      <c r="AZ167" s="25"/>
      <c r="BA167" s="25"/>
      <c r="BB167" s="25"/>
      <c r="BC167" s="25"/>
      <c r="BD167" s="25"/>
      <c r="BE167" s="25"/>
      <c r="BF167" s="25"/>
      <c r="BG167" s="25"/>
    </row>
    <row r="168" spans="1:88" ht="15" customHeight="1">
      <c r="A168" s="1" t="s">
        <v>68</v>
      </c>
      <c r="B168" s="32">
        <f>+'NEW-Tables 80-86'!B108+'NEW-Tables 80-86'!B138</f>
        <v>14036.3</v>
      </c>
      <c r="C168" s="96">
        <f>+GETPIVOTDATA("Sum of New-HS % of Total",'Pivot-HS Student % of Undergrad'!$A$3,"State","GA","Category",7,"Category2","Two-Year")</f>
        <v>1.0517966510642643E-2</v>
      </c>
      <c r="D168" s="173">
        <f>+'NEW-Tables 80-86'!C108+'NEW-Tables 80-86'!C138</f>
        <v>18381.833333333332</v>
      </c>
      <c r="E168" s="96">
        <f>+GETPIVOTDATA("Sum of New-HS % of Total",'Pivot-HS Student % of Undergrad'!$A$3,"State","GA","Category",8,"Category2","Two-Year")</f>
        <v>2.1289135106219003E-2</v>
      </c>
      <c r="F168" s="173">
        <f>+'NEW-Tables 80-86'!D108+'NEW-Tables 80-86'!D138</f>
        <v>24652.283333333333</v>
      </c>
      <c r="G168" s="96">
        <f>+GETPIVOTDATA("Sum of New-HS % of Total",'Pivot-HS Student % of Undergrad'!$A$3,"State","GA","Category",9,"Category2","Two-Year")</f>
        <v>1.4944525084559443E-2</v>
      </c>
      <c r="H168" s="173">
        <f>+'NEW-Tables 80-86'!E108+'NEW-Tables 80-86'!E138</f>
        <v>2628.4333333333334</v>
      </c>
      <c r="I168" s="96">
        <f>+GETPIVOTDATA("Sum of New-HS % of Total",'Pivot-HS Student % of Undergrad'!$A$3,"State","GA","Category",10,"Category2","Two-Year")</f>
        <v>2.7303970679619038E-2</v>
      </c>
      <c r="J168" s="173">
        <f>+'NEW-Tables 80-86'!F108+'NEW-Tables 80-86'!F138</f>
        <v>59698.85</v>
      </c>
      <c r="K168" s="96">
        <f>+GETPIVOTDATA("Sum of New-HS % of Total",'Pivot-HS Student % of Undergrad'!$A$3,"State","GA","Category2","Group2")</f>
        <v>1.6401488470883442E-2</v>
      </c>
      <c r="Q168" s="1" t="s">
        <v>68</v>
      </c>
      <c r="R168" s="239">
        <f>+GETPIVOTDATA("Sum of Old-HS % of Total",'Pivot-HS Student % of Undergrad'!$A$3,"State","GA","Category",7,"Category2","Two-Year")</f>
        <v>2.8522832788385796E-2</v>
      </c>
      <c r="S168" s="470">
        <f t="shared" si="12"/>
        <v>-1.8004866277743152</v>
      </c>
      <c r="T168" s="240">
        <f>+GETPIVOTDATA("Sum of Old-HS % of Total",'Pivot-HS Student % of Undergrad'!$A$3,"State","GA","Category",8,"Category2","Two-Year")</f>
        <v>1.265082254927184E-3</v>
      </c>
      <c r="U168" s="470">
        <f t="shared" si="13"/>
        <v>2.002405285129182</v>
      </c>
      <c r="V168" s="240">
        <f>+GETPIVOTDATA("Sum of Old-HS % of Total",'Pivot-HS Student % of Undergrad'!$A$3,"State","GA","Category",9,"Category2","Two-Year")</f>
        <v>1.2675720418642499E-2</v>
      </c>
      <c r="W168" s="470">
        <f t="shared" si="14"/>
        <v>0.22688046659169442</v>
      </c>
      <c r="X168" s="240">
        <f>+GETPIVOTDATA("Sum of Old-HS % of Total",'Pivot-HS Student % of Undergrad'!$A$3,"State","GA","Category",10,"Category2","Two-Year")</f>
        <v>1.914619954676303E-2</v>
      </c>
      <c r="Y168" s="470">
        <f t="shared" si="15"/>
        <v>0.81577711328560087</v>
      </c>
      <c r="Z168" s="240">
        <f>+GETPIVOTDATA("Sum of Old-HS % of Total",'Pivot-HS Student % of Undergrad'!$A$3,"State","GA","Category2","Two-Year")</f>
        <v>1.3073143086850033E-2</v>
      </c>
      <c r="AA168" s="470">
        <f t="shared" si="16"/>
        <v>0.33283453840334093</v>
      </c>
      <c r="AC168" s="100" t="s">
        <v>68</v>
      </c>
      <c r="AD168" s="80">
        <f>+B168</f>
        <v>14036.3</v>
      </c>
      <c r="AE168" s="80">
        <f>+D168</f>
        <v>18381.833333333332</v>
      </c>
      <c r="AF168" s="80">
        <f>+F168</f>
        <v>24652.283333333333</v>
      </c>
      <c r="AG168" s="80">
        <f>+H168</f>
        <v>2628.4333333333334</v>
      </c>
      <c r="AH168" s="80"/>
      <c r="AI168" s="80">
        <f>+J168</f>
        <v>59698.85</v>
      </c>
      <c r="AJ168" s="462" t="s">
        <v>68</v>
      </c>
      <c r="AK168" s="456">
        <f>+'NEW-Tables 80-86'!R108+'NEW-Tables 80-86'!Q138</f>
        <v>15149.266666666666</v>
      </c>
      <c r="AL168" s="456">
        <f>+'NEW-Tables 80-86'!S108+'NEW-Tables 80-86'!R138</f>
        <v>20341.233333333334</v>
      </c>
      <c r="AM168" s="456">
        <f>+'NEW-Tables 80-86'!T108+'NEW-Tables 80-86'!S138</f>
        <v>26135.266666666663</v>
      </c>
      <c r="AN168" s="456">
        <f>+'NEW-Tables 80-86'!U108+'NEW-Tables 80-86'!T138</f>
        <v>2721.1666666666665</v>
      </c>
      <c r="AO168" s="456"/>
      <c r="AP168" s="457">
        <f>+'NEW-Tables 80-86'!V108+'NEW-Tables 80-86'!U138</f>
        <v>64346.933333333327</v>
      </c>
      <c r="AQ168" s="25"/>
      <c r="AZ168" s="25"/>
      <c r="BA168" s="25"/>
      <c r="BB168" s="25"/>
      <c r="BC168" s="25"/>
      <c r="BD168" s="25"/>
      <c r="BE168" s="25"/>
      <c r="BF168" s="25"/>
      <c r="BG168" s="25"/>
    </row>
    <row r="169" spans="1:88" ht="15" customHeight="1">
      <c r="A169" s="1" t="s">
        <v>69</v>
      </c>
      <c r="B169" s="32">
        <f>+'NEW-Tables 80-86'!B109+'NEW-Tables 80-86'!B139</f>
        <v>0</v>
      </c>
      <c r="C169" s="96">
        <f>+GETPIVOTDATA("Sum of New-HS % of Total",'Pivot-HS Student % of Undergrad'!$A$3,"State","KY","Category",7,"Category2","Two-Year")</f>
        <v>0</v>
      </c>
      <c r="D169" s="173">
        <f>+'NEW-Tables 80-86'!C109+'NEW-Tables 80-86'!C139</f>
        <v>17112</v>
      </c>
      <c r="E169" s="96">
        <f>+GETPIVOTDATA("Sum of New-HS % of Total",'Pivot-HS Student % of Undergrad'!$A$3,"State","KY","Category",8,"Category2","Two-Year")</f>
        <v>3.4406654199781832E-2</v>
      </c>
      <c r="F169" s="173">
        <f>+'NEW-Tables 80-86'!D109+'NEW-Tables 80-86'!D139</f>
        <v>32833.599999999999</v>
      </c>
      <c r="G169" s="96">
        <f>+GETPIVOTDATA("Sum of New-HS % of Total",'Pivot-HS Student % of Undergrad'!$A$3,"State","KY","Category",9,"Category2","Two-Year")</f>
        <v>5.4808691909101245E-2</v>
      </c>
      <c r="H169" s="173">
        <f>+'NEW-Tables 80-86'!E109+'NEW-Tables 80-86'!E139</f>
        <v>1273.7666666666667</v>
      </c>
      <c r="I169" s="96">
        <f>+GETPIVOTDATA("Sum of New-HS % of Total",'Pivot-HS Student % of Undergrad'!$A$3,"State","KY","Category",10,"Category2","Two-Year")</f>
        <v>4.7444586920681445E-2</v>
      </c>
      <c r="J169" s="173">
        <f>+'NEW-Tables 80-86'!F109+'NEW-Tables 80-86'!F139</f>
        <v>51219.366666666669</v>
      </c>
      <c r="K169" s="96">
        <f>+GETPIVOTDATA("Sum of New-HS % of Total",'Pivot-HS Student % of Undergrad'!$A$3,"State","KY","Category2","Group2")</f>
        <v>4.7809389807631358E-2</v>
      </c>
      <c r="Q169" s="1" t="s">
        <v>69</v>
      </c>
      <c r="R169" s="239">
        <f>+GETPIVOTDATA("Sum of Old-HS % of Total",'Pivot-HS Student % of Undergrad'!$A$3,"State","KY","Category",7,"Category2","Two-Year")</f>
        <v>0</v>
      </c>
      <c r="S169" s="470">
        <f t="shared" si="12"/>
        <v>0</v>
      </c>
      <c r="T169" s="240">
        <f>+GETPIVOTDATA("Sum of Old-HS % of Total",'Pivot-HS Student % of Undergrad'!$A$3,"State","KY","Category",8,"Category2","Two-Year")</f>
        <v>3.6234650436129348E-2</v>
      </c>
      <c r="U169" s="470">
        <f t="shared" si="13"/>
        <v>-0.18279962363475163</v>
      </c>
      <c r="V169" s="240">
        <f>+GETPIVOTDATA("Sum of Old-HS % of Total",'Pivot-HS Student % of Undergrad'!$A$3,"State","KY","Category",9,"Category2","Two-Year")</f>
        <v>6.9504627289824927E-2</v>
      </c>
      <c r="W169" s="470">
        <f t="shared" si="14"/>
        <v>-1.4695935380723681</v>
      </c>
      <c r="X169" s="240">
        <f>+GETPIVOTDATA("Sum of Old-HS % of Total",'Pivot-HS Student % of Undergrad'!$A$3,"State","KY","Category",10,"Category2","Two-Year")</f>
        <v>3.7446513241586675E-2</v>
      </c>
      <c r="Y169" s="470">
        <f t="shared" si="15"/>
        <v>0.999807367909477</v>
      </c>
      <c r="Z169" s="240">
        <f>+GETPIVOTDATA("Sum of Old-HS % of Total",'Pivot-HS Student % of Undergrad'!$A$3,"State","KY","Category2","Two-Year")</f>
        <v>5.7749592649197989E-2</v>
      </c>
      <c r="AA169" s="470">
        <f t="shared" si="16"/>
        <v>-0.9940202841566631</v>
      </c>
      <c r="AC169" s="100" t="s">
        <v>69</v>
      </c>
      <c r="AD169" s="80">
        <f>+B169</f>
        <v>0</v>
      </c>
      <c r="AE169" s="80">
        <f>+D169</f>
        <v>17112</v>
      </c>
      <c r="AF169" s="80">
        <f>+F169</f>
        <v>32833.599999999999</v>
      </c>
      <c r="AG169" s="80">
        <f>+H169</f>
        <v>1273.7666666666667</v>
      </c>
      <c r="AH169" s="80"/>
      <c r="AI169" s="80">
        <f>+J169</f>
        <v>51219.366666666669</v>
      </c>
      <c r="AJ169" s="462" t="s">
        <v>69</v>
      </c>
      <c r="AK169" s="456">
        <f>+'NEW-Tables 80-86'!R109+'NEW-Tables 80-86'!Q139</f>
        <v>0</v>
      </c>
      <c r="AL169" s="456">
        <f>+'NEW-Tables 80-86'!S109+'NEW-Tables 80-86'!R139</f>
        <v>18423.433333333334</v>
      </c>
      <c r="AM169" s="456">
        <f>+'NEW-Tables 80-86'!T109+'NEW-Tables 80-86'!S139</f>
        <v>36209.100000000006</v>
      </c>
      <c r="AN169" s="456">
        <f>+'NEW-Tables 80-86'!U109+'NEW-Tables 80-86'!T139</f>
        <v>1441.1666666666667</v>
      </c>
      <c r="AO169" s="456"/>
      <c r="AP169" s="457">
        <f>+'NEW-Tables 80-86'!V109+'NEW-Tables 80-86'!U139</f>
        <v>56073.700000000004</v>
      </c>
    </row>
    <row r="170" spans="1:88" ht="15" customHeight="1">
      <c r="A170" s="1" t="s">
        <v>70</v>
      </c>
      <c r="B170" s="32">
        <f>+'NEW-Tables 80-86'!B110+'NEW-Tables 80-86'!B140</f>
        <v>0</v>
      </c>
      <c r="C170" s="96">
        <f>+GETPIVOTDATA("Sum of New-HS % of Total",'Pivot-HS Student % of Undergrad'!$A$3,"State","LA","Category",7,"Category2","Two-Year")</f>
        <v>0</v>
      </c>
      <c r="D170" s="173">
        <f>+'NEW-Tables 80-86'!C110+'NEW-Tables 80-86'!C140</f>
        <v>25425.199999999997</v>
      </c>
      <c r="E170" s="96">
        <f>+GETPIVOTDATA("Sum of New-HS % of Total",'Pivot-HS Student % of Undergrad'!$A$3,"State","LA","Category",8,"Category2","Two-Year")</f>
        <v>8.9648590112696592E-3</v>
      </c>
      <c r="F170" s="173">
        <f>+'NEW-Tables 80-86'!D110+'NEW-Tables 80-86'!D140</f>
        <v>7391.3833333333332</v>
      </c>
      <c r="G170" s="96">
        <f>+GETPIVOTDATA("Sum of New-HS % of Total",'Pivot-HS Student % of Undergrad'!$A$3,"State","LA","Category",9,"Category2","Two-Year")</f>
        <v>8.5464380821812791E-2</v>
      </c>
      <c r="H170" s="173">
        <f>+'NEW-Tables 80-86'!E110+'NEW-Tables 80-86'!E140</f>
        <v>8497.6</v>
      </c>
      <c r="I170" s="96">
        <f>+GETPIVOTDATA("Sum of New-HS % of Total",'Pivot-HS Student % of Undergrad'!$A$3,"State","LA","Category",10,"Category2","Two-Year")</f>
        <v>8.6138046821063199E-2</v>
      </c>
      <c r="J170" s="173">
        <f>+'NEW-Tables 80-86'!F110+'NEW-Tables 80-86'!F140</f>
        <v>41314.183333333327</v>
      </c>
      <c r="K170" s="96">
        <f>+GETPIVOTDATA("Sum of New-HS % of Total",'Pivot-HS Student % of Undergrad'!$A$3,"State","LA","Category2","Group2")</f>
        <v>3.8524300169715725E-2</v>
      </c>
      <c r="Q170" s="1" t="s">
        <v>70</v>
      </c>
      <c r="R170" s="239">
        <f>+GETPIVOTDATA("Sum of Old-HS % of Total",'Pivot-HS Student % of Undergrad'!$A$3,"State","LA","Category",7,"Category2","Two-Year")</f>
        <v>0</v>
      </c>
      <c r="S170" s="470">
        <f t="shared" si="12"/>
        <v>0</v>
      </c>
      <c r="T170" s="240">
        <f>+GETPIVOTDATA("Sum of Old-HS % of Total",'Pivot-HS Student % of Undergrad'!$A$3,"State","LA","Category",8,"Category2","Two-Year")</f>
        <v>8.7717334772905321E-3</v>
      </c>
      <c r="U170" s="470">
        <f t="shared" si="13"/>
        <v>1.9312553397912713E-2</v>
      </c>
      <c r="V170" s="240">
        <f>+GETPIVOTDATA("Sum of Old-HS % of Total",'Pivot-HS Student % of Undergrad'!$A$3,"State","LA","Category",9,"Category2","Two-Year")</f>
        <v>6.2673909234273698E-2</v>
      </c>
      <c r="W170" s="470">
        <f t="shared" si="14"/>
        <v>2.2790471587539094</v>
      </c>
      <c r="X170" s="240">
        <f>+GETPIVOTDATA("Sum of Old-HS % of Total",'Pivot-HS Student % of Undergrad'!$A$3,"State","LA","Category",10,"Category2","Two-Year")</f>
        <v>7.3002209762972906E-2</v>
      </c>
      <c r="Y170" s="470">
        <f t="shared" si="15"/>
        <v>1.3135837058090294</v>
      </c>
      <c r="Z170" s="240">
        <f>+GETPIVOTDATA("Sum of Old-HS % of Total",'Pivot-HS Student % of Undergrad'!$A$3,"State","LA","Category2","Two-Year")</f>
        <v>2.8412584477819056E-2</v>
      </c>
      <c r="AA170" s="470">
        <f t="shared" si="16"/>
        <v>1.0111715691896668</v>
      </c>
      <c r="AC170" s="100" t="s">
        <v>70</v>
      </c>
      <c r="AD170" s="80">
        <f>+B170</f>
        <v>0</v>
      </c>
      <c r="AE170" s="80">
        <f>+D170</f>
        <v>25425.199999999997</v>
      </c>
      <c r="AF170" s="80">
        <f>+F170</f>
        <v>7391.3833333333332</v>
      </c>
      <c r="AG170" s="80">
        <f>+H170</f>
        <v>8497.6</v>
      </c>
      <c r="AH170" s="80"/>
      <c r="AI170" s="80">
        <f>+J170</f>
        <v>41314.183333333327</v>
      </c>
      <c r="AJ170" s="462" t="s">
        <v>70</v>
      </c>
      <c r="AK170" s="456">
        <f>+'NEW-Tables 80-86'!R110+'NEW-Tables 80-86'!Q140</f>
        <v>0</v>
      </c>
      <c r="AL170" s="456">
        <f>+'NEW-Tables 80-86'!S110+'NEW-Tables 80-86'!R140</f>
        <v>25316.166666666668</v>
      </c>
      <c r="AM170" s="456">
        <f>+'NEW-Tables 80-86'!T110+'NEW-Tables 80-86'!S140</f>
        <v>4755.8333333333339</v>
      </c>
      <c r="AN170" s="456">
        <f>+'NEW-Tables 80-86'!U110+'NEW-Tables 80-86'!T140</f>
        <v>7497.0333333333328</v>
      </c>
      <c r="AO170" s="456"/>
      <c r="AP170" s="457">
        <f>+'NEW-Tables 80-86'!V110+'NEW-Tables 80-86'!U140</f>
        <v>37569.033333333333</v>
      </c>
      <c r="AQ170" s="25"/>
      <c r="AZ170" s="25"/>
      <c r="BA170" s="25"/>
      <c r="BB170" s="25"/>
      <c r="BC170" s="25"/>
      <c r="BD170" s="25"/>
      <c r="BE170" s="25"/>
      <c r="BF170" s="25"/>
      <c r="BG170" s="25"/>
    </row>
    <row r="171" spans="1:88" ht="15" customHeight="1">
      <c r="A171" s="1" t="s">
        <v>71</v>
      </c>
      <c r="B171" s="32">
        <f>+'NEW-Tables 80-86'!B111+'NEW-Tables 80-86'!B141</f>
        <v>0</v>
      </c>
      <c r="C171" s="96">
        <f>+GETPIVOTDATA("Sum of New-HS % of Total",'Pivot-HS Student % of Undergrad'!$A$3,"State","MD","Category",7,"Category2","Two-Year")</f>
        <v>0</v>
      </c>
      <c r="D171" s="173">
        <f>+'NEW-Tables 80-86'!C111+'NEW-Tables 80-86'!C141</f>
        <v>77461.149999999994</v>
      </c>
      <c r="E171" s="96">
        <f>+GETPIVOTDATA("Sum of New-HS % of Total",'Pivot-HS Student % of Undergrad'!$A$3,"State","MD","Category",8,"Category2","Two-Year")</f>
        <v>0</v>
      </c>
      <c r="F171" s="173">
        <f>+'NEW-Tables 80-86'!D111+'NEW-Tables 80-86'!D141</f>
        <v>22938.799999999999</v>
      </c>
      <c r="G171" s="96">
        <f>+GETPIVOTDATA("Sum of New-HS % of Total",'Pivot-HS Student % of Undergrad'!$A$3,"State","MD","Category",9,"Category2","Two-Year")</f>
        <v>0</v>
      </c>
      <c r="H171" s="173">
        <f>+'NEW-Tables 80-86'!E111+'NEW-Tables 80-86'!E141</f>
        <v>4085.5666666666666</v>
      </c>
      <c r="I171" s="96">
        <f>+GETPIVOTDATA("Sum of New-HS % of Total",'Pivot-HS Student % of Undergrad'!$A$3,"State","MD","Category",10,"Category2","Two-Year")</f>
        <v>0</v>
      </c>
      <c r="J171" s="173">
        <f>+'NEW-Tables 80-86'!F111+'NEW-Tables 80-86'!F141</f>
        <v>104485.51666666666</v>
      </c>
      <c r="K171" s="96">
        <f>+GETPIVOTDATA("Sum of New-HS % of Total",'Pivot-HS Student % of Undergrad'!$A$3,"State","MD","Category2","Group2")</f>
        <v>0</v>
      </c>
      <c r="Q171" s="1" t="s">
        <v>71</v>
      </c>
      <c r="R171" s="239">
        <f>+GETPIVOTDATA("Sum of Old-HS % of Total",'Pivot-HS Student % of Undergrad'!$A$3,"State","MD","Category",7,"Category2","Two-Year")</f>
        <v>0</v>
      </c>
      <c r="S171" s="470">
        <f t="shared" si="12"/>
        <v>0</v>
      </c>
      <c r="T171" s="240">
        <f>+GETPIVOTDATA("Sum of Old-HS % of Total",'Pivot-HS Student % of Undergrad'!$A$3,"State","MD","Category",8,"Category2","Two-Year")</f>
        <v>0</v>
      </c>
      <c r="U171" s="470">
        <f t="shared" si="13"/>
        <v>0</v>
      </c>
      <c r="V171" s="240">
        <f>+GETPIVOTDATA("Sum of Old-HS % of Total",'Pivot-HS Student % of Undergrad'!$A$3,"State","MD","Category",9,"Category2","Two-Year")</f>
        <v>0</v>
      </c>
      <c r="W171" s="470">
        <f t="shared" si="14"/>
        <v>0</v>
      </c>
      <c r="X171" s="240">
        <f>+GETPIVOTDATA("Sum of Old-HS % of Total",'Pivot-HS Student % of Undergrad'!$A$3,"State","MD","Category",10,"Category2","Two-Year")</f>
        <v>0</v>
      </c>
      <c r="Y171" s="470">
        <f t="shared" si="15"/>
        <v>0</v>
      </c>
      <c r="Z171" s="240">
        <f>+GETPIVOTDATA("Sum of Old-HS % of Total",'Pivot-HS Student % of Undergrad'!$A$3,"State","MD","Category2","Two-Year")</f>
        <v>0</v>
      </c>
      <c r="AA171" s="470">
        <f t="shared" si="16"/>
        <v>0</v>
      </c>
      <c r="AC171" s="100" t="s">
        <v>71</v>
      </c>
      <c r="AD171" s="80">
        <f>+B171</f>
        <v>0</v>
      </c>
      <c r="AE171" s="80">
        <f>+D171</f>
        <v>77461.149999999994</v>
      </c>
      <c r="AF171" s="80">
        <f>+F171</f>
        <v>22938.799999999999</v>
      </c>
      <c r="AG171" s="80">
        <f>+H171</f>
        <v>4085.5666666666666</v>
      </c>
      <c r="AH171" s="80"/>
      <c r="AI171" s="80">
        <f>+J171</f>
        <v>104485.51666666666</v>
      </c>
      <c r="AJ171" s="462" t="s">
        <v>71</v>
      </c>
      <c r="AK171" s="456">
        <f>+'NEW-Tables 80-86'!R111+'NEW-Tables 80-86'!Q141</f>
        <v>0</v>
      </c>
      <c r="AL171" s="456">
        <f>+'NEW-Tables 80-86'!S111+'NEW-Tables 80-86'!R141</f>
        <v>70204.950000000012</v>
      </c>
      <c r="AM171" s="456">
        <f>+'NEW-Tables 80-86'!T111+'NEW-Tables 80-86'!S141</f>
        <v>24798.749999999996</v>
      </c>
      <c r="AN171" s="456">
        <f>+'NEW-Tables 80-86'!U111+'NEW-Tables 80-86'!T141</f>
        <v>4195.625</v>
      </c>
      <c r="AO171" s="456"/>
      <c r="AP171" s="457">
        <f>+'NEW-Tables 80-86'!V111+'NEW-Tables 80-86'!U141</f>
        <v>99199.325000000012</v>
      </c>
    </row>
    <row r="172" spans="1:88" ht="15" customHeight="1">
      <c r="B172" s="32"/>
      <c r="C172" s="96"/>
      <c r="D172" s="173"/>
      <c r="E172" s="96"/>
      <c r="F172" s="173"/>
      <c r="G172" s="96"/>
      <c r="H172" s="173"/>
      <c r="I172" s="96"/>
      <c r="J172" s="173"/>
      <c r="K172" s="96"/>
      <c r="R172" s="239"/>
      <c r="S172" s="470"/>
      <c r="T172" s="240"/>
      <c r="U172" s="470"/>
      <c r="V172" s="240"/>
      <c r="W172" s="470"/>
      <c r="X172" s="240"/>
      <c r="Y172" s="470"/>
      <c r="Z172" s="240"/>
      <c r="AA172" s="470"/>
      <c r="AC172" s="100"/>
      <c r="AD172" s="80"/>
      <c r="AE172" s="80"/>
      <c r="AF172" s="80"/>
      <c r="AG172" s="80"/>
      <c r="AH172" s="80"/>
      <c r="AI172" s="80"/>
      <c r="AJ172" s="462"/>
      <c r="AK172" s="456"/>
      <c r="AL172" s="456"/>
      <c r="AM172" s="456"/>
      <c r="AN172" s="456"/>
      <c r="AO172" s="456"/>
      <c r="AP172" s="457"/>
    </row>
    <row r="173" spans="1:88" ht="15" customHeight="1">
      <c r="A173" s="1" t="s">
        <v>72</v>
      </c>
      <c r="B173" s="32">
        <f>+'NEW-Tables 80-86'!B113+'NEW-Tables 80-86'!B143</f>
        <v>0</v>
      </c>
      <c r="C173" s="96">
        <f>+GETPIVOTDATA("Sum of New-HS % of Total",'Pivot-HS Student % of Undergrad'!$A$3,"State","MS","Category",7,"Category2","Two-Year")</f>
        <v>0</v>
      </c>
      <c r="D173" s="173">
        <f>+'NEW-Tables 80-86'!C113+'NEW-Tables 80-86'!C143</f>
        <v>30720.26666666667</v>
      </c>
      <c r="E173" s="96">
        <f>+GETPIVOTDATA("Sum of New-HS % of Total",'Pivot-HS Student % of Undergrad'!$A$3,"State","MS","Category",8,"Category2","Two-Year")</f>
        <v>1.2021380022742858E-2</v>
      </c>
      <c r="F173" s="173">
        <f>+'NEW-Tables 80-86'!D113+'NEW-Tables 80-86'!D143</f>
        <v>31317.4</v>
      </c>
      <c r="G173" s="96">
        <f>+GETPIVOTDATA("Sum of New-HS % of Total",'Pivot-HS Student % of Undergrad'!$A$3,"State","MS","Category",9,"Category2","Two-Year")</f>
        <v>1.1284461673063536E-2</v>
      </c>
      <c r="H173" s="173">
        <f>+'NEW-Tables 80-86'!E113+'NEW-Tables 80-86'!E143</f>
        <v>3812.2</v>
      </c>
      <c r="I173" s="96">
        <f>+GETPIVOTDATA("Sum of New-HS % of Total",'Pivot-HS Student % of Undergrad'!$A$3,"State","MS","Category",10,"Category2","Two-Year")</f>
        <v>1.1297063812671598E-2</v>
      </c>
      <c r="J173" s="173">
        <f>+'NEW-Tables 80-86'!F113+'NEW-Tables 80-86'!F143</f>
        <v>65849.866666666669</v>
      </c>
      <c r="K173" s="96">
        <f>+GETPIVOTDATA("Sum of New-HS % of Total",'Pivot-HS Student % of Undergrad'!$A$3,"State","MS","Category2","Group2")</f>
        <v>1.1628978241413802E-2</v>
      </c>
      <c r="Q173" s="1" t="s">
        <v>72</v>
      </c>
      <c r="R173" s="239">
        <f>+GETPIVOTDATA("Sum of Old-HS % of Total",'Pivot-HS Student % of Undergrad'!$A$3,"State","MS","Category",7,"Category2","Two-Year")</f>
        <v>0</v>
      </c>
      <c r="S173" s="470">
        <f t="shared" si="12"/>
        <v>0</v>
      </c>
      <c r="T173" s="240">
        <f>+GETPIVOTDATA("Sum of Old-HS % of Total",'Pivot-HS Student % of Undergrad'!$A$3,"State","MS","Category",8,"Category2","Two-Year")</f>
        <v>7.6634670547936412E-3</v>
      </c>
      <c r="U173" s="470">
        <f t="shared" si="13"/>
        <v>0.43579129679492168</v>
      </c>
      <c r="V173" s="240">
        <f>+GETPIVOTDATA("Sum of Old-HS % of Total",'Pivot-HS Student % of Undergrad'!$A$3,"State","MS","Category",9,"Category2","Two-Year")</f>
        <v>8.3607693004379147E-3</v>
      </c>
      <c r="W173" s="470">
        <f t="shared" si="14"/>
        <v>0.29236923726256214</v>
      </c>
      <c r="X173" s="240">
        <f>+GETPIVOTDATA("Sum of Old-HS % of Total",'Pivot-HS Student % of Undergrad'!$A$3,"State","MS","Category",10,"Category2","Two-Year")</f>
        <v>1.0866375249069369E-2</v>
      </c>
      <c r="Y173" s="470">
        <f t="shared" si="15"/>
        <v>4.3068856360222937E-2</v>
      </c>
      <c r="Z173" s="240">
        <f>+GETPIVOTDATA("Sum of Old-HS % of Total",'Pivot-HS Student % of Undergrad'!$A$3,"State","MS","Category2","Two-Year")</f>
        <v>8.1843231409460433E-3</v>
      </c>
      <c r="AA173" s="470">
        <f t="shared" si="16"/>
        <v>0.34446551004677589</v>
      </c>
      <c r="AC173" s="100" t="s">
        <v>72</v>
      </c>
      <c r="AD173" s="80">
        <f>+B173</f>
        <v>0</v>
      </c>
      <c r="AE173" s="80">
        <f>+D173</f>
        <v>30720.26666666667</v>
      </c>
      <c r="AF173" s="80">
        <f>+F173</f>
        <v>31317.4</v>
      </c>
      <c r="AG173" s="80">
        <f>+H173</f>
        <v>3812.2</v>
      </c>
      <c r="AH173" s="80"/>
      <c r="AI173" s="80">
        <f>+J173</f>
        <v>65849.866666666669</v>
      </c>
      <c r="AJ173" s="462" t="s">
        <v>72</v>
      </c>
      <c r="AK173" s="456">
        <f>+'NEW-Tables 80-86'!R113+'NEW-Tables 80-86'!Q143</f>
        <v>0</v>
      </c>
      <c r="AL173" s="456">
        <f>+'NEW-Tables 80-86'!S113+'NEW-Tables 80-86'!R143</f>
        <v>33757.566666666666</v>
      </c>
      <c r="AM173" s="456">
        <f>+'NEW-Tables 80-86'!T113+'NEW-Tables 80-86'!S143</f>
        <v>34043.916666666672</v>
      </c>
      <c r="AN173" s="456">
        <f>+'NEW-Tables 80-86'!U113+'NEW-Tables 80-86'!T143</f>
        <v>4316.0666666666666</v>
      </c>
      <c r="AO173" s="456"/>
      <c r="AP173" s="457">
        <f>+'NEW-Tables 80-86'!V113+'NEW-Tables 80-86'!U143</f>
        <v>72117.55</v>
      </c>
    </row>
    <row r="174" spans="1:88" ht="15" customHeight="1">
      <c r="A174" s="1" t="s">
        <v>73</v>
      </c>
      <c r="B174" s="32">
        <f>+'NEW-Tables 80-86'!B114+'NEW-Tables 80-86'!B144</f>
        <v>0</v>
      </c>
      <c r="C174" s="96">
        <f>+GETPIVOTDATA("Sum of New-HS % of Total",'Pivot-HS Student % of Undergrad'!$A$3,"State","NC","Category",7,"Category2","Two-Year")</f>
        <v>0</v>
      </c>
      <c r="D174" s="173">
        <f>+'NEW-Tables 80-86'!C114+'NEW-Tables 80-86'!C144</f>
        <v>96115.597777777788</v>
      </c>
      <c r="E174" s="96">
        <f>+GETPIVOTDATA("Sum of New-HS % of Total",'Pivot-HS Student % of Undergrad'!$A$3,"State","NC","Category",8,"Category2","Two-Year")</f>
        <v>2.3840769102747371E-2</v>
      </c>
      <c r="F174" s="173">
        <f>+'NEW-Tables 80-86'!D114+'NEW-Tables 80-86'!D144</f>
        <v>78723.728888888887</v>
      </c>
      <c r="G174" s="96">
        <f>+GETPIVOTDATA("Sum of New-HS % of Total",'Pivot-HS Student % of Undergrad'!$A$3,"State","NC","Category",9,"Category2","Two-Year")</f>
        <v>7.3399686307297415E-2</v>
      </c>
      <c r="H174" s="173">
        <f>+'NEW-Tables 80-86'!E114+'NEW-Tables 80-86'!E144</f>
        <v>34876.799999999996</v>
      </c>
      <c r="I174" s="96">
        <f>+GETPIVOTDATA("Sum of New-HS % of Total",'Pivot-HS Student % of Undergrad'!$A$3,"State","NC","Category",10,"Category2","Two-Year")</f>
        <v>9.5529583176631169E-2</v>
      </c>
      <c r="J174" s="173">
        <f>+'NEW-Tables 80-86'!F114+'NEW-Tables 80-86'!F144</f>
        <v>209716.12666666668</v>
      </c>
      <c r="K174" s="96">
        <f>+GETPIVOTDATA("Sum of New-HS % of Total",'Pivot-HS Student % of Undergrad'!$A$3,"State","NC","Category2","Group2")</f>
        <v>5.2733825867743403E-2</v>
      </c>
      <c r="Q174" s="1" t="s">
        <v>73</v>
      </c>
      <c r="R174" s="239">
        <f>+GETPIVOTDATA("Sum of Old-HS % of Total",'Pivot-HS Student % of Undergrad'!$A$3,"State","NC","Category",7,"Category2","Two-Year")</f>
        <v>0</v>
      </c>
      <c r="S174" s="470">
        <f t="shared" si="12"/>
        <v>0</v>
      </c>
      <c r="T174" s="240">
        <f>+GETPIVOTDATA("Sum of Old-HS % of Total",'Pivot-HS Student % of Undergrad'!$A$3,"State","NC","Category",8,"Category2","Two-Year")</f>
        <v>2.5961346097580672E-2</v>
      </c>
      <c r="U174" s="470">
        <f t="shared" si="13"/>
        <v>-0.21205769948333014</v>
      </c>
      <c r="V174" s="240">
        <f>+GETPIVOTDATA("Sum of Old-HS % of Total",'Pivot-HS Student % of Undergrad'!$A$3,"State","NC","Category",9,"Category2","Two-Year")</f>
        <v>7.4174346578032929E-2</v>
      </c>
      <c r="W174" s="470">
        <f t="shared" si="14"/>
        <v>-7.746602707355138E-2</v>
      </c>
      <c r="X174" s="240">
        <f>+GETPIVOTDATA("Sum of Old-HS % of Total",'Pivot-HS Student % of Undergrad'!$A$3,"State","NC","Category",10,"Category2","Two-Year")</f>
        <v>9.0130068111106632E-2</v>
      </c>
      <c r="Y174" s="470">
        <f t="shared" si="15"/>
        <v>0.53995150655245383</v>
      </c>
      <c r="Z174" s="240">
        <f>+GETPIVOTDATA("Sum of Old-HS % of Total",'Pivot-HS Student % of Undergrad'!$A$3,"State","NC","Category2","Two-Year")</f>
        <v>5.4094112375933111E-2</v>
      </c>
      <c r="AA174" s="470">
        <f t="shared" si="16"/>
        <v>-0.13602865081897078</v>
      </c>
      <c r="AC174" s="100" t="s">
        <v>73</v>
      </c>
      <c r="AD174" s="80">
        <f>+B174</f>
        <v>0</v>
      </c>
      <c r="AE174" s="80">
        <f>+D174</f>
        <v>96115.597777777788</v>
      </c>
      <c r="AF174" s="80">
        <f>+F174</f>
        <v>78723.728888888887</v>
      </c>
      <c r="AG174" s="80">
        <f>+H174</f>
        <v>34876.799999999996</v>
      </c>
      <c r="AH174" s="80"/>
      <c r="AI174" s="80">
        <f>+J174</f>
        <v>209716.12666666668</v>
      </c>
      <c r="AJ174" s="462" t="s">
        <v>73</v>
      </c>
      <c r="AK174" s="456">
        <f>+'NEW-Tables 80-86'!R114+'NEW-Tables 80-86'!Q144</f>
        <v>0</v>
      </c>
      <c r="AL174" s="456">
        <f>+'NEW-Tables 80-86'!S114+'NEW-Tables 80-86'!R144</f>
        <v>96489.743333333332</v>
      </c>
      <c r="AM174" s="456">
        <f>+'NEW-Tables 80-86'!T114+'NEW-Tables 80-86'!S144</f>
        <v>82815.906666666677</v>
      </c>
      <c r="AN174" s="456">
        <f>+'NEW-Tables 80-86'!U114+'NEW-Tables 80-86'!T144</f>
        <v>36177.02888888889</v>
      </c>
      <c r="AO174" s="456"/>
      <c r="AP174" s="457">
        <f>+'NEW-Tables 80-86'!V114+'NEW-Tables 80-86'!U144</f>
        <v>215482.67888888891</v>
      </c>
      <c r="AQ174" s="25"/>
      <c r="AZ174" s="25"/>
      <c r="BA174" s="25"/>
      <c r="BB174" s="25"/>
      <c r="BC174" s="25"/>
      <c r="BD174" s="25"/>
      <c r="BE174" s="25"/>
      <c r="BF174" s="25"/>
      <c r="BG174" s="25"/>
    </row>
    <row r="175" spans="1:88" ht="15" customHeight="1">
      <c r="A175" s="1" t="s">
        <v>74</v>
      </c>
      <c r="B175" s="32">
        <f>+'NEW-Tables 80-86'!B115+'NEW-Tables 80-86'!B145</f>
        <v>9498.9666666666672</v>
      </c>
      <c r="C175" s="96">
        <f>+GETPIVOTDATA("Sum of New-HS % of Total",'Pivot-HS Student % of Undergrad'!$A$3,"State","OK","Category",7,"Category2","Two-Year")</f>
        <v>3.5909169067512604E-2</v>
      </c>
      <c r="D175" s="173">
        <f>+'NEW-Tables 80-86'!C115+'NEW-Tables 80-86'!C145</f>
        <v>27029.933333333334</v>
      </c>
      <c r="E175" s="96">
        <f>+GETPIVOTDATA("Sum of New-HS % of Total",'Pivot-HS Student % of Undergrad'!$A$3,"State","OK","Category",8,"Category2","Two-Year")</f>
        <v>3.6841871604073512E-2</v>
      </c>
      <c r="F175" s="173">
        <f>+'NEW-Tables 80-86'!D115+'NEW-Tables 80-86'!D145</f>
        <v>5035.9666666666672</v>
      </c>
      <c r="G175" s="96">
        <f>+GETPIVOTDATA("Sum of New-HS % of Total",'Pivot-HS Student % of Undergrad'!$A$3,"State","OK","Category",9,"Category2","Two-Year")</f>
        <v>5.9386148968420496E-2</v>
      </c>
      <c r="H175" s="173">
        <f>+'NEW-Tables 80-86'!E115+'NEW-Tables 80-86'!E145</f>
        <v>12412.7</v>
      </c>
      <c r="I175" s="96">
        <f>+GETPIVOTDATA("Sum of New-HS % of Total",'Pivot-HS Student % of Undergrad'!$A$3,"State","OK","Category",10,"Category2","Two-Year")</f>
        <v>6.8891807047083503E-2</v>
      </c>
      <c r="J175" s="173">
        <f>+'NEW-Tables 80-86'!F115+'NEW-Tables 80-86'!F145</f>
        <v>53977.566666666666</v>
      </c>
      <c r="K175" s="96">
        <f>+GETPIVOTDATA("Sum of New-HS % of Total",'Pivot-HS Student % of Undergrad'!$A$3,"State","OK","Category2","Group2")</f>
        <v>4.6151271485005807E-2</v>
      </c>
      <c r="Q175" s="1" t="s">
        <v>74</v>
      </c>
      <c r="R175" s="239">
        <f>+GETPIVOTDATA("Sum of Old-HS % of Total",'Pivot-HS Student % of Undergrad'!$A$3,"State","OK","Category",7,"Category2","Two-Year")</f>
        <v>2.9927717752157905E-2</v>
      </c>
      <c r="S175" s="470">
        <f t="shared" si="12"/>
        <v>0.59814513153547</v>
      </c>
      <c r="T175" s="240">
        <f>+GETPIVOTDATA("Sum of Old-HS % of Total",'Pivot-HS Student % of Undergrad'!$A$3,"State","OK","Category",8,"Category2","Two-Year")</f>
        <v>4.3403030146724378E-2</v>
      </c>
      <c r="U175" s="470">
        <f t="shared" si="13"/>
        <v>-0.65611585426508667</v>
      </c>
      <c r="V175" s="240">
        <f>+GETPIVOTDATA("Sum of Old-HS % of Total",'Pivot-HS Student % of Undergrad'!$A$3,"State","OK","Category",9,"Category2","Two-Year")</f>
        <v>4.9245662080567972E-2</v>
      </c>
      <c r="W175" s="470">
        <f t="shared" si="14"/>
        <v>1.0140486887852525</v>
      </c>
      <c r="X175" s="240">
        <f>+GETPIVOTDATA("Sum of Old-HS % of Total",'Pivot-HS Student % of Undergrad'!$A$3,"State","OK","Category",10,"Category2","Two-Year")</f>
        <v>6.6251481421234867E-2</v>
      </c>
      <c r="Y175" s="470">
        <f t="shared" si="15"/>
        <v>0.26403256258486357</v>
      </c>
      <c r="Z175" s="240">
        <f>+GETPIVOTDATA("Sum of Old-HS % of Total",'Pivot-HS Student % of Undergrad'!$A$3,"State","OK","Category2","Two-Year")</f>
        <v>4.7162695640436028E-2</v>
      </c>
      <c r="AA175" s="470">
        <f t="shared" si="16"/>
        <v>-0.10114241554302211</v>
      </c>
      <c r="AC175" s="100" t="s">
        <v>74</v>
      </c>
      <c r="AD175" s="80">
        <f>+B175</f>
        <v>9498.9666666666672</v>
      </c>
      <c r="AE175" s="80">
        <f>+D175</f>
        <v>27029.933333333334</v>
      </c>
      <c r="AF175" s="80">
        <f>+F175</f>
        <v>5035.9666666666672</v>
      </c>
      <c r="AG175" s="80">
        <f>+H175</f>
        <v>12412.7</v>
      </c>
      <c r="AH175" s="80"/>
      <c r="AI175" s="80">
        <f>+J175</f>
        <v>53977.566666666666</v>
      </c>
      <c r="AJ175" s="462" t="s">
        <v>74</v>
      </c>
      <c r="AK175" s="456">
        <f>+'NEW-Tables 80-86'!R115+'NEW-Tables 80-86'!Q145</f>
        <v>8835.7333333333336</v>
      </c>
      <c r="AL175" s="456">
        <f>+'NEW-Tables 80-86'!S115+'NEW-Tables 80-86'!R145</f>
        <v>28434.266666666663</v>
      </c>
      <c r="AM175" s="456">
        <f>+'NEW-Tables 80-86'!T115+'NEW-Tables 80-86'!S145</f>
        <v>6122.3666666666668</v>
      </c>
      <c r="AN175" s="456">
        <f>+'NEW-Tables 80-86'!U115+'NEW-Tables 80-86'!T145</f>
        <v>12909.900000000001</v>
      </c>
      <c r="AO175" s="456"/>
      <c r="AP175" s="457">
        <f>+'NEW-Tables 80-86'!V115+'NEW-Tables 80-86'!U145</f>
        <v>56302.26666666667</v>
      </c>
    </row>
    <row r="176" spans="1:88" ht="15" customHeight="1">
      <c r="A176" s="1" t="s">
        <v>75</v>
      </c>
      <c r="B176" s="32">
        <f>+'NEW-Tables 80-86'!B116+'NEW-Tables 80-86'!B146</f>
        <v>0</v>
      </c>
      <c r="C176" s="96">
        <f>+GETPIVOTDATA("Sum of New-HS % of Total",'Pivot-HS Student % of Undergrad'!$A$3,"State","SC","Category",7,"Category2","Two-Year")</f>
        <v>0</v>
      </c>
      <c r="D176" s="173">
        <f>+'NEW-Tables 80-86'!C116+'NEW-Tables 80-86'!C146</f>
        <v>57001.922666666665</v>
      </c>
      <c r="E176" s="96">
        <f>+GETPIVOTDATA("Sum of New-HS % of Total",'Pivot-HS Student % of Undergrad'!$A$3,"State","SC","Category",8,"Category2","Two-Year")</f>
        <v>2.41512321385557E-2</v>
      </c>
      <c r="F176" s="173">
        <f>+'NEW-Tables 80-86'!D116+'NEW-Tables 80-86'!D146</f>
        <v>16852.201000000001</v>
      </c>
      <c r="G176" s="96">
        <f>+GETPIVOTDATA("Sum of New-HS % of Total",'Pivot-HS Student % of Undergrad'!$A$3,"State","SC","Category",9,"Category2","Two-Year")</f>
        <v>3.6972420793382817E-2</v>
      </c>
      <c r="H176" s="173">
        <f>+'NEW-Tables 80-86'!E116+'NEW-Tables 80-86'!E146</f>
        <v>8725.2860000000001</v>
      </c>
      <c r="I176" s="96">
        <f>+GETPIVOTDATA("Sum of New-HS % of Total",'Pivot-HS Student % of Undergrad'!$A$3,"State","SC","Category",10,"Category2","Two-Year")</f>
        <v>8.3716526398755167E-2</v>
      </c>
      <c r="J176" s="173">
        <f>+'NEW-Tables 80-86'!F116+'NEW-Tables 80-86'!F146</f>
        <v>82579.409666666674</v>
      </c>
      <c r="K176" s="96">
        <f>+GETPIVOTDATA("Sum of New-HS % of Total",'Pivot-HS Student % of Undergrad'!$A$3,"State","SC","Category2","Group2")</f>
        <v>3.1701096190929375E-2</v>
      </c>
      <c r="Q176" s="1" t="s">
        <v>75</v>
      </c>
      <c r="R176" s="239">
        <f>+GETPIVOTDATA("Sum of Old-HS % of Total",'Pivot-HS Student % of Undergrad'!$A$3,"State","SC","Category",7,"Category2","Two-Year")</f>
        <v>0</v>
      </c>
      <c r="S176" s="470">
        <f t="shared" si="12"/>
        <v>0</v>
      </c>
      <c r="T176" s="240">
        <f>+GETPIVOTDATA("Sum of Old-HS % of Total",'Pivot-HS Student % of Undergrad'!$A$3,"State","SC","Category",8,"Category2","Two-Year")</f>
        <v>2.3782979977371221E-2</v>
      </c>
      <c r="U176" s="470">
        <f t="shared" si="13"/>
        <v>3.6825216118447843E-2</v>
      </c>
      <c r="V176" s="240">
        <f>+GETPIVOTDATA("Sum of Old-HS % of Total",'Pivot-HS Student % of Undergrad'!$A$3,"State","SC","Category",9,"Category2","Two-Year")</f>
        <v>3.5802196737881889E-2</v>
      </c>
      <c r="W176" s="470">
        <f t="shared" si="14"/>
        <v>0.11702240555009277</v>
      </c>
      <c r="X176" s="240">
        <f>+GETPIVOTDATA("Sum of Old-HS % of Total",'Pivot-HS Student % of Undergrad'!$A$3,"State","SC","Category",10,"Category2","Two-Year")</f>
        <v>7.510556019447949E-2</v>
      </c>
      <c r="Y176" s="470">
        <f t="shared" si="15"/>
        <v>0.86109662042756774</v>
      </c>
      <c r="Z176" s="240">
        <f>+GETPIVOTDATA("Sum of Old-HS % of Total",'Pivot-HS Student % of Undergrad'!$A$3,"State","SC","Category2","Two-Year")</f>
        <v>3.076603704723492E-2</v>
      </c>
      <c r="AA176" s="470">
        <f t="shared" si="16"/>
        <v>9.3505914369445414E-2</v>
      </c>
      <c r="AC176" s="100" t="s">
        <v>75</v>
      </c>
      <c r="AD176" s="80">
        <f>+B176</f>
        <v>0</v>
      </c>
      <c r="AE176" s="80">
        <f>+D176</f>
        <v>57001.922666666665</v>
      </c>
      <c r="AF176" s="80">
        <f>+F176</f>
        <v>16852.201000000001</v>
      </c>
      <c r="AG176" s="80">
        <f>+H176</f>
        <v>8725.2860000000001</v>
      </c>
      <c r="AH176" s="80"/>
      <c r="AI176" s="80">
        <f>+J176</f>
        <v>82579.409666666674</v>
      </c>
      <c r="AJ176" s="462" t="s">
        <v>75</v>
      </c>
      <c r="AK176" s="456">
        <f>+'NEW-Tables 80-86'!R116+'NEW-Tables 80-86'!Q146</f>
        <v>0</v>
      </c>
      <c r="AL176" s="456">
        <f>+'NEW-Tables 80-86'!S116+'NEW-Tables 80-86'!R146</f>
        <v>57517.322666666667</v>
      </c>
      <c r="AM176" s="456">
        <f>+'NEW-Tables 80-86'!T116+'NEW-Tables 80-86'!S146</f>
        <v>17807.101000000002</v>
      </c>
      <c r="AN176" s="456">
        <f>+'NEW-Tables 80-86'!U116+'NEW-Tables 80-86'!T146</f>
        <v>8309.9860000000008</v>
      </c>
      <c r="AO176" s="456"/>
      <c r="AP176" s="457">
        <f>+'NEW-Tables 80-86'!V116+'NEW-Tables 80-86'!U146</f>
        <v>83634.409666666674</v>
      </c>
      <c r="AQ176" s="25"/>
      <c r="AZ176" s="25"/>
      <c r="BA176" s="25"/>
      <c r="BB176" s="25"/>
      <c r="BC176" s="25"/>
      <c r="BD176" s="25"/>
      <c r="BE176" s="25"/>
      <c r="BF176" s="25"/>
      <c r="BG176" s="25"/>
    </row>
    <row r="177" spans="1:88" ht="15" customHeight="1">
      <c r="B177" s="32"/>
      <c r="C177" s="96"/>
      <c r="D177" s="173"/>
      <c r="E177" s="96"/>
      <c r="F177" s="173"/>
      <c r="G177" s="96"/>
      <c r="H177" s="173"/>
      <c r="I177" s="96"/>
      <c r="J177" s="173"/>
      <c r="K177" s="96"/>
      <c r="R177" s="239"/>
      <c r="S177" s="470"/>
      <c r="T177" s="240"/>
      <c r="U177" s="470"/>
      <c r="V177" s="240"/>
      <c r="W177" s="470"/>
      <c r="X177" s="240"/>
      <c r="Y177" s="470"/>
      <c r="Z177" s="240"/>
      <c r="AA177" s="470"/>
      <c r="AC177" s="100"/>
      <c r="AD177" s="80"/>
      <c r="AE177" s="80"/>
      <c r="AF177" s="80"/>
      <c r="AG177" s="80"/>
      <c r="AH177" s="80"/>
      <c r="AI177" s="80"/>
      <c r="AJ177" s="462"/>
      <c r="AK177" s="456"/>
      <c r="AL177" s="456"/>
      <c r="AM177" s="456"/>
      <c r="AN177" s="456"/>
      <c r="AO177" s="456"/>
      <c r="AP177" s="457"/>
      <c r="AQ177" s="25"/>
      <c r="AZ177" s="25"/>
      <c r="BA177" s="25"/>
      <c r="BB177" s="25"/>
      <c r="BC177" s="25"/>
      <c r="BD177" s="25"/>
      <c r="BE177" s="25"/>
      <c r="BF177" s="25"/>
      <c r="BG177" s="25"/>
    </row>
    <row r="178" spans="1:88" ht="11.25" customHeight="1">
      <c r="A178" s="1" t="s">
        <v>76</v>
      </c>
      <c r="B178" s="32">
        <f>+'NEW-Tables 80-86'!B118+'NEW-Tables 80-86'!B148</f>
        <v>0</v>
      </c>
      <c r="C178" s="96">
        <f>+GETPIVOTDATA("Sum of New-HS % of Total",'Pivot-HS Student % of Undergrad'!$A$3,"State","TN","Category",7,"Category2","Two-Year")</f>
        <v>0</v>
      </c>
      <c r="D178" s="173">
        <f>+'NEW-Tables 80-86'!C118+'NEW-Tables 80-86'!C148</f>
        <v>34985.633333333331</v>
      </c>
      <c r="E178" s="96">
        <f>+GETPIVOTDATA("Sum of New-HS % of Total",'Pivot-HS Student % of Undergrad'!$A$3,"State","TN","Category",8,"Category2","Two-Year")</f>
        <v>3.6584540892499684E-2</v>
      </c>
      <c r="F178" s="173">
        <f>+'NEW-Tables 80-86'!D118+'NEW-Tables 80-86'!D148</f>
        <v>28006.433333333327</v>
      </c>
      <c r="G178" s="96">
        <f>+GETPIVOTDATA("Sum of New-HS % of Total",'Pivot-HS Student % of Undergrad'!$A$3,"State","TN","Category",9,"Category2","Two-Year")</f>
        <v>5.84746599888359E-2</v>
      </c>
      <c r="H178" s="173">
        <f>+'NEW-Tables 80-86'!E118+'NEW-Tables 80-86'!E148</f>
        <v>0</v>
      </c>
      <c r="I178" s="96">
        <f>+GETPIVOTDATA("Sum of New-HS % of Total",'Pivot-HS Student % of Undergrad'!$A$3,"State","TN","Category",10,"Category2","Two-Year")</f>
        <v>0</v>
      </c>
      <c r="J178" s="173">
        <f>+'NEW-Tables 80-86'!F118+'NEW-Tables 80-86'!F148</f>
        <v>62992.066666666658</v>
      </c>
      <c r="K178" s="96">
        <f>+GETPIVOTDATA("Sum of New-HS % of Total",'Pivot-HS Student % of Undergrad'!$A$3,"State","TN","Category2","Group2")</f>
        <v>4.6316943615121904E-2</v>
      </c>
      <c r="Q178" s="1" t="s">
        <v>76</v>
      </c>
      <c r="R178" s="239">
        <f>+GETPIVOTDATA("Sum of Old-HS % of Total",'Pivot-HS Student % of Undergrad'!$A$3,"State","TN","Category",7,"Category2","Two-Year")</f>
        <v>0</v>
      </c>
      <c r="S178" s="470">
        <f t="shared" si="12"/>
        <v>0</v>
      </c>
      <c r="T178" s="240">
        <f>+GETPIVOTDATA("Sum of Old-HS % of Total",'Pivot-HS Student % of Undergrad'!$A$3,"State","TN","Category",8,"Category2","Two-Year")</f>
        <v>3.1815292301985057E-2</v>
      </c>
      <c r="U178" s="470">
        <f t="shared" si="13"/>
        <v>0.4769248590514627</v>
      </c>
      <c r="V178" s="240">
        <f>+GETPIVOTDATA("Sum of Old-HS % of Total",'Pivot-HS Student % of Undergrad'!$A$3,"State","TN","Category",9,"Category2","Two-Year")</f>
        <v>5.0700783472117476E-2</v>
      </c>
      <c r="W178" s="470">
        <f t="shared" si="14"/>
        <v>0.77738765167184243</v>
      </c>
      <c r="X178" s="240">
        <f>+GETPIVOTDATA("Sum of Old-HS % of Total",'Pivot-HS Student % of Undergrad'!$A$3,"State","TN","Category",10,"Category2","Two-Year")</f>
        <v>0</v>
      </c>
      <c r="Y178" s="470">
        <f t="shared" si="15"/>
        <v>0</v>
      </c>
      <c r="Z178" s="240">
        <f>+GETPIVOTDATA("Sum of Old-HS % of Total",'Pivot-HS Student % of Undergrad'!$A$3,"State","TN","Category2","Two-Year")</f>
        <v>4.0236250643612373E-2</v>
      </c>
      <c r="AA178" s="470">
        <f t="shared" si="16"/>
        <v>0.60806929715095315</v>
      </c>
      <c r="AC178" s="100" t="s">
        <v>76</v>
      </c>
      <c r="AD178" s="80">
        <f>+B178</f>
        <v>0</v>
      </c>
      <c r="AE178" s="80">
        <f>+D178</f>
        <v>34985.633333333331</v>
      </c>
      <c r="AF178" s="80">
        <f>+F178</f>
        <v>28006.433333333327</v>
      </c>
      <c r="AG178" s="80">
        <f>+H178</f>
        <v>0</v>
      </c>
      <c r="AH178" s="80"/>
      <c r="AI178" s="80">
        <f>+J178</f>
        <v>62992.066666666658</v>
      </c>
      <c r="AJ178" s="462" t="s">
        <v>76</v>
      </c>
      <c r="AK178" s="456">
        <f>+'NEW-Tables 80-86'!R118+'NEW-Tables 80-86'!Q148</f>
        <v>0</v>
      </c>
      <c r="AL178" s="456">
        <f>+'NEW-Tables 80-86'!S118+'NEW-Tables 80-86'!R148</f>
        <v>37019.933333333334</v>
      </c>
      <c r="AM178" s="456">
        <f>+'NEW-Tables 80-86'!T118+'NEW-Tables 80-86'!S148</f>
        <v>29790.466666666667</v>
      </c>
      <c r="AN178" s="456">
        <f>+'NEW-Tables 80-86'!U118+'NEW-Tables 80-86'!T148</f>
        <v>0</v>
      </c>
      <c r="AO178" s="456"/>
      <c r="AP178" s="457">
        <f>+'NEW-Tables 80-86'!V118+'NEW-Tables 80-86'!U148</f>
        <v>66810.399999999994</v>
      </c>
      <c r="AQ178" s="25"/>
      <c r="AZ178" s="25"/>
      <c r="BA178" s="25"/>
      <c r="BB178" s="25"/>
      <c r="BC178" s="25"/>
      <c r="BD178" s="25"/>
      <c r="BE178" s="25"/>
      <c r="BF178" s="25"/>
      <c r="BG178" s="25"/>
    </row>
    <row r="179" spans="1:88" ht="15" customHeight="1">
      <c r="A179" s="1" t="s">
        <v>77</v>
      </c>
      <c r="B179" s="32">
        <f>+'NEW-Tables 80-86'!B119+'NEW-Tables 80-86'!B149</f>
        <v>25487.676666666666</v>
      </c>
      <c r="C179" s="210">
        <f>+GETPIVOTDATA("Sum of New-HS % of Total",'Pivot-HS Student % of Undergrad'!$A$3,"State","TX","Category",7,"Category2","Two-Year")</f>
        <v>0.19343256124194469</v>
      </c>
      <c r="D179" s="173">
        <f>+'NEW-Tables 80-86'!C119+'NEW-Tables 80-86'!C149</f>
        <v>378558.58888888883</v>
      </c>
      <c r="E179" s="210">
        <f>+GETPIVOTDATA("Sum of New-HS % of Total",'Pivot-HS Student % of Undergrad'!$A$3,"State","TX","Category",8,"Category2","Two-Year")</f>
        <v>6.35065497460824E-2</v>
      </c>
      <c r="F179" s="173">
        <f>+'NEW-Tables 80-86'!D119+'NEW-Tables 80-86'!D149</f>
        <v>82101.667777777795</v>
      </c>
      <c r="G179" s="210">
        <f>+GETPIVOTDATA("Sum of New-HS % of Total",'Pivot-HS Student % of Undergrad'!$A$3,"State","TX","Category",9,"Category2","Two-Year")</f>
        <v>9.7748332189442136E-2</v>
      </c>
      <c r="H179" s="173">
        <f>+'NEW-Tables 80-86'!E119+'NEW-Tables 80-86'!E149</f>
        <v>12058.931111111109</v>
      </c>
      <c r="I179" s="210">
        <f>+GETPIVOTDATA("Sum of New-HS % of Total",'Pivot-HS Student % of Undergrad'!$A$3,"State","TX","Category",10,"Category2","Two-Year")</f>
        <v>0.10458193114159979</v>
      </c>
      <c r="J179" s="173">
        <f>+'NEW-Tables 80-86'!F119+'NEW-Tables 80-86'!F149</f>
        <v>498206.86444444442</v>
      </c>
      <c r="K179" s="210">
        <f>+GETPIVOTDATA("Sum of New-HS % of Total",'Pivot-HS Student % of Undergrad'!$A$3,"State","TX","Category2","Group2")</f>
        <v>7.6763220790813436E-2</v>
      </c>
      <c r="Q179" s="1" t="s">
        <v>77</v>
      </c>
      <c r="R179" s="239">
        <f>+GETPIVOTDATA("Sum of Old-HS % of Total",'Pivot-HS Student % of Undergrad'!$A$3,"State","TX","Category",7,"Category2","Two-Year")</f>
        <v>0.16606432842216032</v>
      </c>
      <c r="S179" s="470">
        <f t="shared" si="12"/>
        <v>2.7368232819784373</v>
      </c>
      <c r="T179" s="240">
        <f>+GETPIVOTDATA("Sum of Old-HS % of Total",'Pivot-HS Student % of Undergrad'!$A$3,"State","TX","Category",8,"Category2","Two-Year")</f>
        <v>5.7896742167900535E-2</v>
      </c>
      <c r="U179" s="470">
        <f t="shared" si="13"/>
        <v>0.56098075781818646</v>
      </c>
      <c r="V179" s="240">
        <f>+GETPIVOTDATA("Sum of Old-HS % of Total",'Pivot-HS Student % of Undergrad'!$A$3,"State","TX","Category",9,"Category2","Two-Year")</f>
        <v>8.9449067203195232E-2</v>
      </c>
      <c r="W179" s="470">
        <f t="shared" si="14"/>
        <v>0.82992649862469037</v>
      </c>
      <c r="X179" s="240">
        <f>+GETPIVOTDATA("Sum of Old-HS % of Total",'Pivot-HS Student % of Undergrad'!$A$3,"State","TX","Category",10,"Category2","Two-Year")</f>
        <v>9.3328437733860639E-2</v>
      </c>
      <c r="Y179" s="470">
        <f t="shared" si="15"/>
        <v>1.1253493407739152</v>
      </c>
      <c r="Z179" s="240">
        <f>+GETPIVOTDATA("Sum of Old-HS % of Total",'Pivot-HS Student % of Undergrad'!$A$3,"State","TX","Category2","Two-Year")</f>
        <v>6.9504685673104735E-2</v>
      </c>
      <c r="AA179" s="470">
        <f t="shared" si="16"/>
        <v>0.72585351177086999</v>
      </c>
      <c r="AC179" s="100" t="s">
        <v>77</v>
      </c>
      <c r="AD179" s="230">
        <f>+'FTE Pivot for regular counts'!AF171</f>
        <v>25487.676666666666</v>
      </c>
      <c r="AE179" s="230">
        <f>+'FTE Pivot for regular counts'!AG171</f>
        <v>245452.56222222227</v>
      </c>
      <c r="AF179" s="230">
        <f>+'FTE Pivot for regular counts'!AH171</f>
        <v>72329.938888888879</v>
      </c>
      <c r="AG179" s="230">
        <f>+'FTE Pivot for regular counts'!AI171</f>
        <v>9563.9166666666679</v>
      </c>
      <c r="AH179" s="230">
        <f>+'FTE Pivot for regular counts'!AJ171</f>
        <v>6533.8566666666666</v>
      </c>
      <c r="AI179" s="80">
        <f>+J179</f>
        <v>498206.86444444442</v>
      </c>
      <c r="AJ179" s="462" t="s">
        <v>77</v>
      </c>
      <c r="AK179" s="456">
        <f>+'FTE Pivot for regular counts'!AF170</f>
        <v>26065.594444444443</v>
      </c>
      <c r="AL179" s="458">
        <f>+'FTE Pivot for regular counts'!AG170</f>
        <v>319713.48555555556</v>
      </c>
      <c r="AM179" s="458">
        <f>+'FTE Pivot for regular counts'!AH170</f>
        <v>72970.395555555544</v>
      </c>
      <c r="AN179" s="458">
        <f>+'FTE Pivot for regular counts'!AI170</f>
        <v>10030.394444444446</v>
      </c>
      <c r="AO179" s="458">
        <f>+'FTE Pivot for regular counts'!AJ170</f>
        <v>89075.805555555562</v>
      </c>
      <c r="AP179" s="457">
        <f>+'NEW-Tables 80-86'!V119+'NEW-Tables 80-86'!U149</f>
        <v>517855.67555555562</v>
      </c>
    </row>
    <row r="180" spans="1:88" ht="15" customHeight="1">
      <c r="A180" s="1" t="s">
        <v>78</v>
      </c>
      <c r="B180" s="32">
        <f>+'NEW-Tables 80-86'!B120+'NEW-Tables 80-86'!B150</f>
        <v>0</v>
      </c>
      <c r="C180" s="210">
        <f>+GETPIVOTDATA("Sum of New-HS % of Total",'Pivot-HS Student % of Undergrad'!$A$3,"State","VA","Category",7,"Category2","Two-Year")</f>
        <v>0</v>
      </c>
      <c r="D180" s="173">
        <f>+'NEW-Tables 80-86'!C120+'NEW-Tables 80-86'!C150</f>
        <v>74042.5</v>
      </c>
      <c r="E180" s="210">
        <f>+GETPIVOTDATA("Sum of New-HS % of Total",'Pivot-HS Student % of Undergrad'!$A$3,"State","VA","Category",8,"Category2","Two-Year")</f>
        <v>3.8020506240785137E-2</v>
      </c>
      <c r="F180" s="173">
        <f>+'NEW-Tables 80-86'!D120+'NEW-Tables 80-86'!D150</f>
        <v>47442</v>
      </c>
      <c r="G180" s="210">
        <f>+GETPIVOTDATA("Sum of New-HS % of Total",'Pivot-HS Student % of Undergrad'!$A$3,"State","VA","Category",9,"Category2","Two-Year")</f>
        <v>0.28226466000590195</v>
      </c>
      <c r="H180" s="173">
        <f>+'NEW-Tables 80-86'!E120+'NEW-Tables 80-86'!E150</f>
        <v>7484.2</v>
      </c>
      <c r="I180" s="210">
        <f>+GETPIVOTDATA("Sum of New-HS % of Total",'Pivot-HS Student % of Undergrad'!$A$3,"State","VA","Category",10,"Category2","Two-Year")</f>
        <v>0.38293115273954909</v>
      </c>
      <c r="J180" s="173">
        <f>+'NEW-Tables 80-86'!F120+'NEW-Tables 80-86'!F150</f>
        <v>128968.7</v>
      </c>
      <c r="K180" s="210">
        <f>+GETPIVOTDATA("Sum of New-HS % of Total",'Pivot-HS Student % of Undergrad'!$A$3,"State","VA","Category2","Group2")</f>
        <v>0.1478829100911048</v>
      </c>
      <c r="Q180" s="1" t="s">
        <v>78</v>
      </c>
      <c r="R180" s="239">
        <f>+GETPIVOTDATA("Sum of Old-HS % of Total",'Pivot-HS Student % of Undergrad'!$A$3,"State","VA","Category",7,"Category2","Two-Year")</f>
        <v>0</v>
      </c>
      <c r="S180" s="470">
        <f t="shared" si="12"/>
        <v>0</v>
      </c>
      <c r="T180" s="240">
        <f>+GETPIVOTDATA("Sum of Old-HS % of Total",'Pivot-HS Student % of Undergrad'!$A$3,"State","VA","Category",8,"Category2","Two-Year")</f>
        <v>3.6809204263585825E-2</v>
      </c>
      <c r="U180" s="470">
        <f t="shared" si="13"/>
        <v>0.12113019771993125</v>
      </c>
      <c r="V180" s="240">
        <f>+GETPIVOTDATA("Sum of Old-HS % of Total",'Pivot-HS Student % of Undergrad'!$A$3,"State","VA","Category",9,"Category2","Two-Year")</f>
        <v>0.26812152496007507</v>
      </c>
      <c r="W180" s="470">
        <f t="shared" si="14"/>
        <v>1.4143135045826871</v>
      </c>
      <c r="X180" s="240">
        <f>+GETPIVOTDATA("Sum of Old-HS % of Total",'Pivot-HS Student % of Undergrad'!$A$3,"State","VA","Category",10,"Category2","Two-Year")</f>
        <v>0.35475690763139106</v>
      </c>
      <c r="Y180" s="470">
        <f t="shared" si="15"/>
        <v>2.8174245108158025</v>
      </c>
      <c r="Z180" s="240">
        <f>+GETPIVOTDATA("Sum of Old-HS % of Total",'Pivot-HS Student % of Undergrad'!$A$3,"State","VA","Category2","Two-Year")</f>
        <v>0.14208477259698291</v>
      </c>
      <c r="AA180" s="470">
        <f t="shared" si="16"/>
        <v>0.57981374941218911</v>
      </c>
      <c r="AC180" s="98" t="s">
        <v>78</v>
      </c>
      <c r="AD180" s="80"/>
      <c r="AE180" s="80">
        <f>+D180</f>
        <v>74042.5</v>
      </c>
      <c r="AF180" s="80">
        <f>+F180</f>
        <v>47442</v>
      </c>
      <c r="AG180" s="230">
        <v>1151</v>
      </c>
      <c r="AH180" s="230">
        <f>+'FTE Pivot for regular counts'!AJ183</f>
        <v>0</v>
      </c>
      <c r="AI180" s="80">
        <f>+J180</f>
        <v>128968.7</v>
      </c>
      <c r="AJ180" s="462" t="s">
        <v>78</v>
      </c>
      <c r="AK180" s="456"/>
      <c r="AL180" s="456"/>
      <c r="AM180" s="456"/>
      <c r="AN180" s="458">
        <v>1174</v>
      </c>
      <c r="AO180" s="458">
        <f>+'FTE Pivot for regular counts'!AJ182</f>
        <v>128277.03333333334</v>
      </c>
      <c r="AP180" s="457">
        <f>+'NEW-Tables 80-86'!V120+'NEW-Tables 80-86'!U150</f>
        <v>130303.90000000001</v>
      </c>
      <c r="AQ180" s="25"/>
      <c r="AZ180" s="25"/>
      <c r="BA180" s="25"/>
      <c r="BB180" s="25"/>
      <c r="BC180" s="25"/>
      <c r="BD180" s="25"/>
      <c r="BE180" s="25"/>
      <c r="BF180" s="25"/>
      <c r="BG180" s="25"/>
    </row>
    <row r="181" spans="1:88" ht="15" customHeight="1">
      <c r="A181" s="3" t="s">
        <v>79</v>
      </c>
      <c r="B181" s="9">
        <f>+'NEW-Tables 80-86'!B121+'NEW-Tables 80-86'!B151</f>
        <v>4472.5</v>
      </c>
      <c r="C181" s="212">
        <f>+GETPIVOTDATA("Sum of New-HS % of Total",'Pivot-HS Student % of Undergrad'!$A$3,"State","WV","Category",7,"Category2","Two-Year")</f>
        <v>4.0454630147195823E-2</v>
      </c>
      <c r="D181" s="174">
        <f>+'NEW-Tables 80-86'!C121+'NEW-Tables 80-86'!C151</f>
        <v>0</v>
      </c>
      <c r="E181" s="212">
        <f>+GETPIVOTDATA("Sum of New-HS % of Total",'Pivot-HS Student % of Undergrad'!$A$3,"State","WV","Category",8,"Category2","Two-Year")</f>
        <v>0</v>
      </c>
      <c r="F181" s="174">
        <f>+'NEW-Tables 80-86'!D121+'NEW-Tables 80-86'!D151</f>
        <v>6313.5433333333331</v>
      </c>
      <c r="G181" s="212">
        <f>+GETPIVOTDATA("Sum of New-HS % of Total",'Pivot-HS Student % of Undergrad'!$A$3,"State","WV","Category",9,"Category2","Two-Year")</f>
        <v>4.4364944566257829E-2</v>
      </c>
      <c r="H181" s="174">
        <f>+'NEW-Tables 80-86'!E121+'NEW-Tables 80-86'!E151</f>
        <v>7580.0366666666669</v>
      </c>
      <c r="I181" s="212">
        <f>+GETPIVOTDATA("Sum of New-HS % of Total",'Pivot-HS Student % of Undergrad'!$A$3,"State","WV","Category",10,"Category2","Two-Year")</f>
        <v>3.0302403990130216E-2</v>
      </c>
      <c r="J181" s="174">
        <f>+'NEW-Tables 80-86'!F121+'NEW-Tables 80-86'!F151</f>
        <v>18366.080000000002</v>
      </c>
      <c r="K181" s="212">
        <f>+GETPIVOTDATA("Sum of New-HS % of Total",'Pivot-HS Student % of Undergrad'!$A$3,"State","WV","Category2","Group2")</f>
        <v>3.7608823802720376E-2</v>
      </c>
      <c r="Q181" s="3" t="s">
        <v>79</v>
      </c>
      <c r="R181" s="431">
        <f>+GETPIVOTDATA("Sum of Old-HS % of Total",'Pivot-HS Student % of Undergrad'!$A$3,"State","WV","Category",7,"Category2","Two-Year")</f>
        <v>3.8656220131120175E-2</v>
      </c>
      <c r="S181" s="470">
        <f t="shared" si="12"/>
        <v>0.1798410016075648</v>
      </c>
      <c r="T181" s="432">
        <f>+GETPIVOTDATA("Sum of Old-HS % of Total",'Pivot-HS Student % of Undergrad'!$A$3,"State","WV","Category",8,"Category2","Two-Year")</f>
        <v>0</v>
      </c>
      <c r="U181" s="470">
        <f t="shared" si="13"/>
        <v>0</v>
      </c>
      <c r="V181" s="432">
        <f>+GETPIVOTDATA("Sum of Old-HS % of Total",'Pivot-HS Student % of Undergrad'!$A$3,"State","WV","Category",9,"Category2","Two-Year")</f>
        <v>4.4376313893685543E-2</v>
      </c>
      <c r="W181" s="470">
        <f t="shared" si="14"/>
        <v>-1.1369327427714071E-3</v>
      </c>
      <c r="X181" s="432">
        <f>+GETPIVOTDATA("Sum of Old-HS % of Total",'Pivot-HS Student % of Undergrad'!$A$3,"State","WV","Category",10,"Category2","Two-Year")</f>
        <v>3.3594998221660309E-2</v>
      </c>
      <c r="Y181" s="470">
        <f t="shared" si="15"/>
        <v>-0.32925942315300932</v>
      </c>
      <c r="Z181" s="432">
        <f>+GETPIVOTDATA("Sum of Old-HS % of Total",'Pivot-HS Student % of Undergrad'!$A$3,"State","WV","Category2","Two-Year")</f>
        <v>3.8624634652253138E-2</v>
      </c>
      <c r="AA181" s="470">
        <f t="shared" si="16"/>
        <v>-0.10158108495327625</v>
      </c>
      <c r="AC181" s="98" t="s">
        <v>79</v>
      </c>
      <c r="AD181" s="80">
        <f>+B181</f>
        <v>4472.5</v>
      </c>
      <c r="AE181" s="80">
        <f>+D181</f>
        <v>0</v>
      </c>
      <c r="AF181" s="80">
        <f>+F181</f>
        <v>6313.5433333333331</v>
      </c>
      <c r="AG181" s="80">
        <f>+H181</f>
        <v>7580.0366666666669</v>
      </c>
      <c r="AH181" s="145"/>
      <c r="AI181" s="80">
        <f>+J181</f>
        <v>18366.080000000002</v>
      </c>
      <c r="AJ181" s="464" t="s">
        <v>79</v>
      </c>
      <c r="AK181" s="459">
        <f>+'NEW-Tables 80-86'!R121+'NEW-Tables 80-86'!Q151</f>
        <v>4952.2</v>
      </c>
      <c r="AL181" s="459">
        <f>+'NEW-Tables 80-86'!S121+'NEW-Tables 80-86'!R151</f>
        <v>0</v>
      </c>
      <c r="AM181" s="459">
        <f>+'NEW-Tables 80-86'!T121+'NEW-Tables 80-86'!S151</f>
        <v>6783.2733333333326</v>
      </c>
      <c r="AN181" s="459">
        <f>+'NEW-Tables 80-86'!U121+'NEW-Tables 80-86'!T151</f>
        <v>7788.1633333333339</v>
      </c>
      <c r="AO181" s="459"/>
      <c r="AP181" s="460">
        <f>+'NEW-Tables 80-86'!V121+'NEW-Tables 80-86'!U151</f>
        <v>19523.636666666665</v>
      </c>
      <c r="BH181" s="25"/>
      <c r="BI181" s="25"/>
      <c r="BJ181" s="25"/>
    </row>
    <row r="182" spans="1:88" ht="34.5" customHeight="1">
      <c r="A182" s="837" t="s">
        <v>990</v>
      </c>
      <c r="B182" s="837"/>
      <c r="C182" s="837"/>
      <c r="D182" s="837"/>
      <c r="E182" s="837"/>
      <c r="F182" s="837"/>
      <c r="G182" s="837"/>
      <c r="H182" s="837"/>
      <c r="I182" s="837"/>
      <c r="J182" s="837"/>
      <c r="K182" s="837"/>
      <c r="P182" s="25"/>
      <c r="AN182" s="25"/>
      <c r="AO182" s="25"/>
      <c r="AP182" s="25"/>
      <c r="AQ182" s="25"/>
      <c r="AZ182" s="25"/>
      <c r="BA182" s="25"/>
      <c r="BB182" s="25"/>
      <c r="BC182" s="25"/>
      <c r="BD182" s="25"/>
      <c r="BE182" s="25"/>
      <c r="BF182" s="25"/>
      <c r="BG182" s="25"/>
      <c r="CF182" s="25"/>
      <c r="CG182" s="25"/>
      <c r="CH182" s="25"/>
      <c r="CI182" s="25"/>
      <c r="CJ182" s="25"/>
    </row>
    <row r="183" spans="1:88" s="25" customFormat="1" ht="10.5" customHeight="1">
      <c r="A183" s="1"/>
      <c r="B183" s="1"/>
      <c r="C183" s="1"/>
      <c r="D183" s="1"/>
      <c r="E183" s="1"/>
      <c r="F183" s="1"/>
      <c r="G183" s="1"/>
      <c r="H183" s="4"/>
      <c r="I183" s="1"/>
      <c r="J183" s="1"/>
      <c r="K183" s="169" t="s">
        <v>987</v>
      </c>
      <c r="L183" s="103"/>
      <c r="M183" s="103"/>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row>
    <row r="184" spans="1:88" ht="18" customHeight="1">
      <c r="A184" s="115" t="s">
        <v>169</v>
      </c>
      <c r="B184" s="22"/>
      <c r="C184" s="22"/>
      <c r="D184" s="22"/>
      <c r="E184" s="22"/>
      <c r="F184" s="22"/>
      <c r="G184" s="22"/>
      <c r="H184" s="106"/>
      <c r="I184" s="22"/>
      <c r="J184" s="1"/>
      <c r="K184" s="1"/>
      <c r="L184" s="1"/>
      <c r="M184" s="201"/>
      <c r="S184" s="169"/>
      <c r="AN184" s="25"/>
      <c r="AO184" s="25"/>
      <c r="AP184" s="25"/>
      <c r="AQ184" s="25"/>
      <c r="AZ184" s="25"/>
      <c r="BA184" s="25"/>
      <c r="BB184" s="25"/>
      <c r="BC184" s="25"/>
      <c r="BD184" s="25"/>
      <c r="BE184" s="25"/>
      <c r="BF184" s="25"/>
      <c r="BG184" s="25"/>
    </row>
    <row r="185" spans="1:88" ht="15.75">
      <c r="A185" s="21"/>
      <c r="B185" s="22"/>
      <c r="C185" s="22"/>
      <c r="D185" s="22"/>
      <c r="E185" s="22"/>
      <c r="F185" s="22"/>
      <c r="G185" s="22"/>
      <c r="H185" s="106"/>
      <c r="I185" s="22"/>
      <c r="J185" s="1"/>
      <c r="K185" s="1"/>
      <c r="L185" s="1"/>
      <c r="M185" s="201"/>
      <c r="S185" s="169"/>
      <c r="AA185" s="126"/>
      <c r="AB185" s="228"/>
      <c r="AC185" s="100"/>
      <c r="AD185" s="235" t="s">
        <v>39</v>
      </c>
      <c r="AE185" s="100"/>
      <c r="AF185" s="100"/>
      <c r="AG185" s="100"/>
      <c r="AH185" s="100"/>
      <c r="AI185" s="100"/>
      <c r="AJ185" s="235" t="s">
        <v>39</v>
      </c>
      <c r="AK185" s="100"/>
      <c r="AL185" s="100"/>
      <c r="AN185" s="25"/>
      <c r="BA185" s="25"/>
      <c r="BB185" s="25"/>
      <c r="BC185" s="25"/>
    </row>
    <row r="186" spans="1:88" ht="15.75" customHeight="1">
      <c r="A186" s="43" t="s">
        <v>36</v>
      </c>
      <c r="B186" s="22"/>
      <c r="C186" s="22"/>
      <c r="D186" s="22"/>
      <c r="E186" s="22"/>
      <c r="F186" s="22"/>
      <c r="G186" s="22"/>
      <c r="H186" s="106"/>
      <c r="I186" s="22"/>
      <c r="J186" s="1"/>
      <c r="K186" s="1"/>
      <c r="L186" s="1"/>
      <c r="M186" s="201"/>
      <c r="S186" s="169"/>
      <c r="AA186" s="146"/>
      <c r="AB186" s="126"/>
      <c r="AC186" s="100"/>
      <c r="AD186" s="134" t="s">
        <v>144</v>
      </c>
      <c r="AE186" s="100"/>
      <c r="AF186" s="100"/>
      <c r="AG186" s="100"/>
      <c r="AH186" s="100"/>
      <c r="AI186" s="100"/>
      <c r="AJ186" s="134" t="s">
        <v>38</v>
      </c>
      <c r="AK186" s="100"/>
      <c r="AL186" s="100"/>
      <c r="AN186" s="25"/>
      <c r="BA186" s="25"/>
      <c r="BB186" s="25"/>
      <c r="BC186" s="25"/>
    </row>
    <row r="187" spans="1:88" ht="15.75">
      <c r="A187" s="43" t="s">
        <v>984</v>
      </c>
      <c r="B187" s="22"/>
      <c r="C187" s="22"/>
      <c r="D187" s="22"/>
      <c r="E187" s="22"/>
      <c r="F187" s="22"/>
      <c r="G187" s="22"/>
      <c r="H187" s="106"/>
      <c r="I187" s="22"/>
      <c r="J187" s="1"/>
      <c r="K187" s="1"/>
      <c r="L187" s="1"/>
      <c r="M187" s="201"/>
      <c r="Q187" s="126" t="s">
        <v>38</v>
      </c>
      <c r="S187" s="169"/>
      <c r="AA187" s="146"/>
      <c r="AB187" s="146"/>
      <c r="AC187" s="100"/>
      <c r="AD187" s="100"/>
      <c r="AE187" s="100"/>
      <c r="AF187" s="100"/>
      <c r="AG187" s="100"/>
      <c r="AH187" s="100"/>
      <c r="AI187" s="100"/>
      <c r="AJ187" s="100"/>
      <c r="AK187" s="100"/>
      <c r="AL187" s="100"/>
      <c r="AN187" s="25"/>
      <c r="BA187" s="25"/>
      <c r="BB187" s="25"/>
      <c r="BC187" s="25"/>
    </row>
    <row r="188" spans="1:88">
      <c r="C188" s="3"/>
      <c r="D188" s="3"/>
      <c r="E188" s="3"/>
      <c r="F188" s="3"/>
      <c r="G188" s="3"/>
      <c r="H188" s="73"/>
      <c r="I188" s="25"/>
      <c r="J188" s="1"/>
      <c r="K188" s="1"/>
      <c r="L188" s="1"/>
      <c r="M188" s="201"/>
      <c r="Q188" s="236" t="s">
        <v>153</v>
      </c>
      <c r="R188" s="3"/>
      <c r="S188" s="3"/>
      <c r="T188" s="3"/>
      <c r="U188" s="3"/>
      <c r="V188" s="3"/>
      <c r="W188" s="3"/>
      <c r="X188" s="25"/>
      <c r="Y188" s="25"/>
      <c r="AA188" s="146"/>
      <c r="AB188" s="146"/>
      <c r="AC188" s="100"/>
      <c r="AD188" s="133" t="s">
        <v>39</v>
      </c>
      <c r="AE188" s="100"/>
      <c r="AF188" s="100"/>
      <c r="AG188" s="100"/>
      <c r="AH188" s="100"/>
      <c r="AI188" s="100"/>
      <c r="AJ188" s="133" t="s">
        <v>39</v>
      </c>
      <c r="AK188" s="100"/>
      <c r="AL188" s="100"/>
      <c r="AN188" s="25"/>
      <c r="BA188" s="25"/>
      <c r="BB188" s="25"/>
      <c r="BC188" s="25"/>
    </row>
    <row r="189" spans="1:88" ht="28.5" customHeight="1">
      <c r="A189" s="45"/>
      <c r="B189" s="265">
        <v>1</v>
      </c>
      <c r="D189" s="223">
        <v>2</v>
      </c>
      <c r="F189" s="224" t="s">
        <v>30</v>
      </c>
      <c r="H189" s="73"/>
      <c r="I189" s="25"/>
      <c r="J189" s="1"/>
      <c r="K189" s="1"/>
      <c r="L189" s="1"/>
      <c r="M189" s="201"/>
      <c r="Q189" s="76"/>
      <c r="R189" s="76" t="s">
        <v>157</v>
      </c>
      <c r="S189" s="25"/>
      <c r="T189" s="237">
        <v>2</v>
      </c>
      <c r="U189" s="25"/>
      <c r="V189" s="237" t="s">
        <v>1</v>
      </c>
      <c r="W189" s="25"/>
      <c r="X189" s="73"/>
      <c r="Y189" s="73"/>
      <c r="AA189" s="146"/>
      <c r="AB189" s="146"/>
      <c r="AC189" s="100"/>
      <c r="AD189" s="137" t="s">
        <v>45</v>
      </c>
      <c r="AE189" s="138"/>
      <c r="AF189" s="139"/>
      <c r="AG189" s="140"/>
      <c r="AH189" s="100"/>
      <c r="AI189" s="100"/>
      <c r="AJ189" s="137" t="s">
        <v>45</v>
      </c>
      <c r="AK189" s="138"/>
      <c r="AL189" s="139"/>
      <c r="AN189" s="25"/>
      <c r="BA189" s="25"/>
      <c r="BB189" s="25"/>
      <c r="BC189" s="25"/>
    </row>
    <row r="190" spans="1:88" ht="78" customHeight="1">
      <c r="A190" s="203"/>
      <c r="B190" s="204" t="s">
        <v>143</v>
      </c>
      <c r="C190" s="166" t="s">
        <v>22</v>
      </c>
      <c r="D190" s="205" t="s">
        <v>143</v>
      </c>
      <c r="E190" s="166" t="s">
        <v>22</v>
      </c>
      <c r="F190" s="205" t="s">
        <v>143</v>
      </c>
      <c r="G190" s="166" t="s">
        <v>22</v>
      </c>
      <c r="J190" s="1"/>
      <c r="K190" s="1"/>
      <c r="L190" s="1"/>
      <c r="M190" s="201"/>
      <c r="Q190" s="3"/>
      <c r="R190" s="232" t="s">
        <v>2</v>
      </c>
      <c r="S190" s="232" t="s">
        <v>4</v>
      </c>
      <c r="T190" s="234" t="s">
        <v>2</v>
      </c>
      <c r="U190" s="232" t="s">
        <v>4</v>
      </c>
      <c r="V190" s="234" t="s">
        <v>2</v>
      </c>
      <c r="W190" s="232" t="s">
        <v>4</v>
      </c>
      <c r="X190" s="423"/>
      <c r="Y190" s="423"/>
      <c r="AA190" s="146"/>
      <c r="AB190" s="146"/>
      <c r="AC190" s="100"/>
      <c r="AD190" s="143">
        <v>1</v>
      </c>
      <c r="AE190" s="144">
        <v>2</v>
      </c>
      <c r="AF190" s="142" t="s">
        <v>30</v>
      </c>
      <c r="AG190" s="142"/>
      <c r="AH190" s="100"/>
      <c r="AI190" s="100"/>
      <c r="AJ190" s="143">
        <v>1</v>
      </c>
      <c r="AK190" s="144">
        <v>2</v>
      </c>
      <c r="AL190" s="142" t="s">
        <v>30</v>
      </c>
      <c r="AN190" s="25"/>
      <c r="BA190" s="25"/>
      <c r="BB190" s="25"/>
      <c r="BC190" s="25"/>
    </row>
    <row r="191" spans="1:88" ht="12.75" customHeight="1">
      <c r="A191" s="1" t="s">
        <v>64</v>
      </c>
      <c r="B191" s="32">
        <f>+'NEW-Tables 80-86'!G101+'NEW-Tables 80-86'!G131</f>
        <v>103755.04222222221</v>
      </c>
      <c r="D191" s="175">
        <f>+'NEW-Tables 80-86'!H101+'NEW-Tables 80-86'!H131</f>
        <v>28325.901111111103</v>
      </c>
      <c r="F191" s="175">
        <f>+'NEW-Tables 80-86'!I101+'NEW-Tables 80-86'!I131</f>
        <v>132080.94333333333</v>
      </c>
      <c r="J191" s="1"/>
      <c r="K191" s="1"/>
      <c r="L191" s="1"/>
      <c r="M191" s="201"/>
      <c r="Q191" s="25" t="s">
        <v>64</v>
      </c>
      <c r="R191" s="428"/>
      <c r="S191" s="422">
        <f>C191-R191</f>
        <v>0</v>
      </c>
      <c r="T191" s="240"/>
      <c r="U191" s="422">
        <f>E191-T191</f>
        <v>0</v>
      </c>
      <c r="V191" s="240"/>
      <c r="W191" s="422">
        <f>G191-V191</f>
        <v>0</v>
      </c>
      <c r="X191" s="424"/>
      <c r="Y191" s="425"/>
      <c r="AA191" s="146"/>
      <c r="AB191" s="146"/>
      <c r="AC191" s="100" t="s">
        <v>64</v>
      </c>
      <c r="AD191" s="81">
        <f>SUM(AD193:AD211)</f>
        <v>103755.04222222223</v>
      </c>
      <c r="AE191" s="80">
        <f>SUM(AE193:AE211)</f>
        <v>28325.901111111107</v>
      </c>
      <c r="AF191" s="80">
        <f>SUM(AF193:AF211)</f>
        <v>132080.94333333333</v>
      </c>
      <c r="AG191" s="80"/>
      <c r="AH191" s="100"/>
      <c r="AI191" s="100" t="s">
        <v>64</v>
      </c>
      <c r="AJ191" s="80">
        <f>SUM(AJ193:AJ211)</f>
        <v>127177.97845555555</v>
      </c>
      <c r="AK191" s="80">
        <f>SUM(AK193:AK211)</f>
        <v>29349.128744444439</v>
      </c>
      <c r="AL191" s="80">
        <f>SUM(AL193:AL211)</f>
        <v>156527.10719999997</v>
      </c>
      <c r="AN191" s="25"/>
      <c r="BA191" s="25"/>
      <c r="BB191" s="25"/>
      <c r="BC191" s="25"/>
    </row>
    <row r="192" spans="1:88" ht="10.5" customHeight="1">
      <c r="A192" s="262"/>
      <c r="B192" s="266"/>
      <c r="C192" s="258" t="s">
        <v>183</v>
      </c>
      <c r="D192" s="264" t="s">
        <v>28</v>
      </c>
      <c r="E192" s="258" t="s">
        <v>184</v>
      </c>
      <c r="F192" s="264" t="s">
        <v>28</v>
      </c>
      <c r="G192" s="258" t="s">
        <v>185</v>
      </c>
      <c r="J192" s="1" t="s">
        <v>28</v>
      </c>
      <c r="K192" s="1"/>
      <c r="L192" s="1"/>
      <c r="M192" s="201"/>
      <c r="Q192" s="25"/>
      <c r="R192" s="429"/>
      <c r="S192" s="422"/>
      <c r="T192" s="430"/>
      <c r="U192" s="422"/>
      <c r="V192" s="430"/>
      <c r="W192" s="422"/>
      <c r="X192" s="424"/>
      <c r="Y192" s="426"/>
      <c r="AA192" s="146"/>
      <c r="AB192" s="146"/>
      <c r="AC192" s="100"/>
      <c r="AD192" s="80"/>
      <c r="AE192" s="80"/>
      <c r="AF192" s="80"/>
      <c r="AG192" s="80"/>
      <c r="AH192" s="100"/>
      <c r="AI192" s="100"/>
      <c r="AJ192" s="80"/>
      <c r="AK192" s="80"/>
      <c r="AL192" s="80"/>
      <c r="AN192" s="25"/>
      <c r="BA192" s="25"/>
      <c r="BB192" s="25"/>
      <c r="BC192" s="25"/>
    </row>
    <row r="193" spans="1:55">
      <c r="A193" s="1" t="s">
        <v>65</v>
      </c>
      <c r="B193" s="32">
        <f>+'NEW-Tables 80-86'!G103+'NEW-Tables 80-86'!G133</f>
        <v>1349.2666666666667</v>
      </c>
      <c r="C193" s="96">
        <f>+GETPIVOTDATA("Sum of New-HS % of Total",'Pivot-HS Student % of Undergrad'!$A$3,"State","AL","Category",12,"Category2","Technical")</f>
        <v>5.188003359849795E-3</v>
      </c>
      <c r="D193" s="175">
        <f>+'NEW-Tables 80-86'!H103+'NEW-Tables 80-86'!H133</f>
        <v>2102.1333333333332</v>
      </c>
      <c r="E193" s="96">
        <f>+GETPIVOTDATA("Sum of New-HS % of Total",'Pivot-HS Student % of Undergrad'!$A$3,"State","AL","Category",13,"Category2","Technical")</f>
        <v>5.345363440314601E-2</v>
      </c>
      <c r="F193" s="175">
        <f>+'NEW-Tables 80-86'!I103+'NEW-Tables 80-86'!I133</f>
        <v>3451.3999999999996</v>
      </c>
      <c r="G193" s="96">
        <f>+GETPIVOTDATA("Sum of New-HS % of Total",'Pivot-HS Student % of Undergrad'!$A$3,"State","AL","Category2","Group3")</f>
        <v>3.4584999323945841E-2</v>
      </c>
      <c r="J193" s="1"/>
      <c r="K193" s="1"/>
      <c r="L193" s="1"/>
      <c r="M193" s="201"/>
      <c r="Q193" s="25" t="s">
        <v>65</v>
      </c>
      <c r="R193" s="239">
        <f>+GETPIVOTDATA("Sum of Old-HS % of Total",'Pivot-HS Student % of Undergrad'!$A$3,"State","AL","Category",12,"Category2","Technical")</f>
        <v>1.8787119712334855E-3</v>
      </c>
      <c r="S193" s="470">
        <f>(C193-R193)*100</f>
        <v>0.33092913886163094</v>
      </c>
      <c r="T193" s="240">
        <f>+GETPIVOTDATA("Sum of Old-HS % of Total",'Pivot-HS Student % of Undergrad'!$A$3,"State","AL","Category",13,"Category2","Technical")</f>
        <v>2.1146445209641481E-2</v>
      </c>
      <c r="U193" s="470">
        <f>(E193-T193)*100</f>
        <v>3.2307189193504531</v>
      </c>
      <c r="V193" s="240">
        <f>+GETPIVOTDATA("Sum of Old-HS % of Total",'Pivot-HS Student % of Undergrad'!$A$3,"State","AL","Category2","Technical")</f>
        <v>1.3427001303042321E-2</v>
      </c>
      <c r="W193" s="470">
        <f>(G193-V193)*100</f>
        <v>2.1157998020903519</v>
      </c>
      <c r="X193" s="424"/>
      <c r="Y193" s="426"/>
      <c r="AA193" s="146"/>
      <c r="AB193" s="146"/>
      <c r="AC193" s="100" t="s">
        <v>65</v>
      </c>
      <c r="AD193" s="81">
        <f>+B193</f>
        <v>1349.2666666666667</v>
      </c>
      <c r="AE193" s="80">
        <f>+D193</f>
        <v>2102.1333333333332</v>
      </c>
      <c r="AF193" s="80">
        <f>+F193</f>
        <v>3451.3999999999996</v>
      </c>
      <c r="AG193" s="80"/>
      <c r="AH193" s="100"/>
      <c r="AI193" s="100" t="s">
        <v>65</v>
      </c>
      <c r="AJ193" s="99">
        <f>+'NEW-Tables 80-86'!W103+'NEW-Tables 80-86'!V133</f>
        <v>1650.0666666666666</v>
      </c>
      <c r="AK193" s="98">
        <f>+'NEW-Tables 80-86'!X103+'NEW-Tables 80-86'!W133</f>
        <v>2468.5</v>
      </c>
      <c r="AL193" s="80">
        <f>+'NEW-Tables 80-86'!Y103+'NEW-Tables 80-86'!X133</f>
        <v>4118.5666666666666</v>
      </c>
      <c r="AN193" s="25"/>
      <c r="BA193" s="25"/>
      <c r="BB193" s="25"/>
      <c r="BC193" s="25"/>
    </row>
    <row r="194" spans="1:55">
      <c r="A194" s="1" t="s">
        <v>66</v>
      </c>
      <c r="B194" s="32">
        <f>+'NEW-Tables 80-86'!G104+'NEW-Tables 80-86'!G134</f>
        <v>0</v>
      </c>
      <c r="C194" s="96">
        <f>+GETPIVOTDATA("Sum of New-HS % of Total",'Pivot-HS Student % of Undergrad'!$A$3,"State","AR","Category",12,"Category2","Technical")</f>
        <v>0</v>
      </c>
      <c r="D194" s="175">
        <f>+'NEW-Tables 80-86'!H104+'NEW-Tables 80-86'!H134</f>
        <v>0</v>
      </c>
      <c r="E194" s="96">
        <f>+GETPIVOTDATA("Sum of New-HS % of Total",'Pivot-HS Student % of Undergrad'!$A$3,"State","AR","Category",13,"Category2","Technical")</f>
        <v>0</v>
      </c>
      <c r="F194" s="175">
        <f>+'NEW-Tables 80-86'!I104+'NEW-Tables 80-86'!I134</f>
        <v>0</v>
      </c>
      <c r="G194" s="96">
        <f>+GETPIVOTDATA("Sum of New-HS % of Total",'Pivot-HS Student % of Undergrad'!$A$3,"State","AR","Category2","Group3")</f>
        <v>0</v>
      </c>
      <c r="J194" s="1"/>
      <c r="K194" s="1"/>
      <c r="L194" s="1"/>
      <c r="M194" s="201"/>
      <c r="Q194" s="73" t="s">
        <v>66</v>
      </c>
      <c r="R194" s="239">
        <f>+GETPIVOTDATA("Sum of Old-HS % of Total",'Pivot-HS Student % of Undergrad'!$A$3,"State","AR","Category",12,"Category2","Technical")</f>
        <v>0</v>
      </c>
      <c r="S194" s="470">
        <f t="shared" ref="S194:S211" si="17">(C194-R194)*100</f>
        <v>0</v>
      </c>
      <c r="T194" s="240">
        <f>+GETPIVOTDATA("Sum of Old-HS % of Total",'Pivot-HS Student % of Undergrad'!$A$3,"State","AR","Category",13,"Category2","Technical")</f>
        <v>0</v>
      </c>
      <c r="U194" s="470">
        <f t="shared" ref="U194:U211" si="18">(E194-T194)*100</f>
        <v>0</v>
      </c>
      <c r="V194" s="240">
        <f>+GETPIVOTDATA("Sum of Old-HS % of Total",'Pivot-HS Student % of Undergrad'!$A$3,"State","AR","Category2","Technical")</f>
        <v>0</v>
      </c>
      <c r="W194" s="470">
        <f t="shared" ref="W194:W211" si="19">(G194-V194)*100</f>
        <v>0</v>
      </c>
      <c r="X194" s="424"/>
      <c r="Y194" s="427"/>
      <c r="AA194" s="146"/>
      <c r="AB194" s="146"/>
      <c r="AC194" s="100" t="s">
        <v>66</v>
      </c>
      <c r="AD194" s="81">
        <f>+B194</f>
        <v>0</v>
      </c>
      <c r="AE194" s="80">
        <f>+D194</f>
        <v>0</v>
      </c>
      <c r="AF194" s="80">
        <f>+F194</f>
        <v>0</v>
      </c>
      <c r="AG194" s="80"/>
      <c r="AH194" s="100"/>
      <c r="AI194" s="100" t="s">
        <v>66</v>
      </c>
      <c r="AJ194" s="99">
        <f>+'NEW-Tables 80-86'!W104+'NEW-Tables 80-86'!V134</f>
        <v>0</v>
      </c>
      <c r="AK194" s="98">
        <f>+'NEW-Tables 80-86'!X104+'NEW-Tables 80-86'!W134</f>
        <v>0</v>
      </c>
      <c r="AL194" s="80">
        <f>+'NEW-Tables 80-86'!Y104+'NEW-Tables 80-86'!X134</f>
        <v>0</v>
      </c>
      <c r="AN194" s="25"/>
      <c r="BA194" s="25"/>
      <c r="BB194" s="25"/>
      <c r="BC194" s="25"/>
    </row>
    <row r="195" spans="1:55">
      <c r="A195" s="1" t="s">
        <v>102</v>
      </c>
      <c r="B195" s="32">
        <f>+'NEW-Tables 80-86'!G105+'NEW-Tables 80-86'!G135</f>
        <v>0</v>
      </c>
      <c r="C195" s="96">
        <f>+GETPIVOTDATA("Sum of New-HS % of Total",'Pivot-HS Student % of Undergrad'!$A$3,"State","DE","Category",12,"Category2","Technical")</f>
        <v>0</v>
      </c>
      <c r="D195" s="175">
        <f>+'NEW-Tables 80-86'!H105+'NEW-Tables 80-86'!H135</f>
        <v>0</v>
      </c>
      <c r="E195" s="96">
        <f>+GETPIVOTDATA("Sum of New-HS % of Total",'Pivot-HS Student % of Undergrad'!$A$3,"State","DE","Category",13,"Category2","Technical")</f>
        <v>0</v>
      </c>
      <c r="F195" s="175">
        <f>+'NEW-Tables 80-86'!I105+'NEW-Tables 80-86'!I135</f>
        <v>0</v>
      </c>
      <c r="G195" s="96">
        <f>+GETPIVOTDATA("Sum of New-HS % of Total",'Pivot-HS Student % of Undergrad'!$A$3,"State","DE","Category2","Group3")</f>
        <v>0</v>
      </c>
      <c r="J195" s="1"/>
      <c r="K195" s="1"/>
      <c r="L195" s="1"/>
      <c r="M195" s="201"/>
      <c r="Q195" s="25" t="s">
        <v>102</v>
      </c>
      <c r="R195" s="239">
        <f>+GETPIVOTDATA("Sum of Old-HS % of Total",'Pivot-HS Student % of Undergrad'!$A$3,"State","DE","Category",12,"Category2","Technical")</f>
        <v>0</v>
      </c>
      <c r="S195" s="470">
        <f t="shared" si="17"/>
        <v>0</v>
      </c>
      <c r="T195" s="240">
        <f>+GETPIVOTDATA("Sum of Old-HS % of Total",'Pivot-HS Student % of Undergrad'!$A$3,"State","DE","Category",13,"Category2","Technical")</f>
        <v>0</v>
      </c>
      <c r="U195" s="470">
        <f t="shared" si="18"/>
        <v>0</v>
      </c>
      <c r="V195" s="240">
        <f>+GETPIVOTDATA("Sum of Old-HS % of Total",'Pivot-HS Student % of Undergrad'!$A$3,"State","DE","Category2","Technical")</f>
        <v>0</v>
      </c>
      <c r="W195" s="470">
        <f t="shared" si="19"/>
        <v>0</v>
      </c>
      <c r="X195" s="424"/>
      <c r="Y195" s="426"/>
      <c r="AA195" s="146"/>
      <c r="AB195" s="146"/>
      <c r="AC195" s="100" t="s">
        <v>102</v>
      </c>
      <c r="AD195" s="81">
        <f>+B195</f>
        <v>0</v>
      </c>
      <c r="AE195" s="80">
        <f>+D195</f>
        <v>0</v>
      </c>
      <c r="AF195" s="80">
        <f>+F195</f>
        <v>0</v>
      </c>
      <c r="AG195" s="80"/>
      <c r="AH195" s="100"/>
      <c r="AI195" s="100" t="s">
        <v>102</v>
      </c>
      <c r="AJ195" s="99">
        <f>+'NEW-Tables 80-86'!W105+'NEW-Tables 80-86'!V135</f>
        <v>0</v>
      </c>
      <c r="AK195" s="98">
        <f>+'NEW-Tables 80-86'!X105+'NEW-Tables 80-86'!W135</f>
        <v>0</v>
      </c>
      <c r="AL195" s="80">
        <f>+'NEW-Tables 80-86'!Y105+'NEW-Tables 80-86'!X135</f>
        <v>0</v>
      </c>
      <c r="AN195" s="25"/>
      <c r="BA195" s="25"/>
      <c r="BB195" s="25"/>
      <c r="BC195" s="25"/>
    </row>
    <row r="196" spans="1:55">
      <c r="A196" s="1" t="s">
        <v>67</v>
      </c>
      <c r="B196" s="32">
        <f>+'NEW-Tables 80-86'!G106+'NEW-Tables 80-86'!G136</f>
        <v>0</v>
      </c>
      <c r="C196" s="96">
        <f>+GETPIVOTDATA("Sum of New-HS % of Total",'Pivot-HS Student % of Undergrad'!$A$3,"State","FL","Category",12,"Category2","Technical")</f>
        <v>0</v>
      </c>
      <c r="D196" s="175">
        <f>+'NEW-Tables 80-86'!H106+'NEW-Tables 80-86'!H136</f>
        <v>0</v>
      </c>
      <c r="E196" s="96">
        <f>+GETPIVOTDATA("Sum of New-HS % of Total",'Pivot-HS Student % of Undergrad'!$A$3,"State","FL","Category",13,"Category2","Technical")</f>
        <v>0</v>
      </c>
      <c r="F196" s="175">
        <f>+'NEW-Tables 80-86'!I106+'NEW-Tables 80-86'!I136</f>
        <v>0</v>
      </c>
      <c r="G196" s="96">
        <f>+GETPIVOTDATA("Sum of New-HS % of Total",'Pivot-HS Student % of Undergrad'!$A$3,"State","FL","Category2","Group3")</f>
        <v>0</v>
      </c>
      <c r="J196" s="1"/>
      <c r="K196" s="1"/>
      <c r="L196" s="1"/>
      <c r="M196" s="201"/>
      <c r="Q196" s="25" t="s">
        <v>67</v>
      </c>
      <c r="R196" s="239">
        <f>+GETPIVOTDATA("Sum of Old-HS % of Total",'Pivot-HS Student % of Undergrad'!$A$3,"State","FL","Category",12,"Category2","Technical")</f>
        <v>0</v>
      </c>
      <c r="S196" s="470">
        <f t="shared" si="17"/>
        <v>0</v>
      </c>
      <c r="T196" s="240">
        <f>+GETPIVOTDATA("Sum of Old-HS % of Total",'Pivot-HS Student % of Undergrad'!$A$3,"State","FL","Category",13,"Category2","Technical")</f>
        <v>0</v>
      </c>
      <c r="U196" s="470">
        <f t="shared" si="18"/>
        <v>0</v>
      </c>
      <c r="V196" s="240">
        <f>+GETPIVOTDATA("Sum of Old-HS % of Total",'Pivot-HS Student % of Undergrad'!$A$3,"State","FL","Category2","Technical")</f>
        <v>0</v>
      </c>
      <c r="W196" s="470">
        <f t="shared" si="19"/>
        <v>0</v>
      </c>
      <c r="X196" s="424"/>
      <c r="Y196" s="426"/>
      <c r="AA196" s="146"/>
      <c r="AB196" s="146"/>
      <c r="AC196" s="100" t="s">
        <v>67</v>
      </c>
      <c r="AD196" s="81">
        <f>+B196</f>
        <v>0</v>
      </c>
      <c r="AE196" s="80">
        <f>+D196</f>
        <v>0</v>
      </c>
      <c r="AF196" s="80">
        <f>+F196</f>
        <v>0</v>
      </c>
      <c r="AG196" s="80"/>
      <c r="AH196" s="100"/>
      <c r="AI196" s="100" t="s">
        <v>67</v>
      </c>
      <c r="AJ196" s="99">
        <f>+'NEW-Tables 80-86'!W106+'NEW-Tables 80-86'!V136</f>
        <v>0</v>
      </c>
      <c r="AK196" s="98">
        <f>+'NEW-Tables 80-86'!X106+'NEW-Tables 80-86'!W136</f>
        <v>0</v>
      </c>
      <c r="AL196" s="80">
        <f>+'NEW-Tables 80-86'!Y106+'NEW-Tables 80-86'!X136</f>
        <v>0</v>
      </c>
      <c r="AN196" s="25"/>
      <c r="BA196" s="25"/>
      <c r="BB196" s="25"/>
      <c r="BC196" s="25"/>
    </row>
    <row r="197" spans="1:55">
      <c r="B197" s="32"/>
      <c r="C197" s="96"/>
      <c r="D197" s="175"/>
      <c r="E197" s="96"/>
      <c r="F197" s="175"/>
      <c r="G197" s="96"/>
      <c r="J197" s="1"/>
      <c r="K197" s="1"/>
      <c r="L197" s="1"/>
      <c r="M197" s="201"/>
      <c r="Q197" s="25"/>
      <c r="R197" s="239"/>
      <c r="S197" s="470"/>
      <c r="T197" s="240"/>
      <c r="U197" s="470"/>
      <c r="V197" s="240"/>
      <c r="W197" s="470"/>
      <c r="X197" s="424"/>
      <c r="Y197" s="426"/>
      <c r="AA197" s="146"/>
      <c r="AB197" s="146"/>
      <c r="AC197" s="100"/>
      <c r="AD197" s="81"/>
      <c r="AE197" s="80"/>
      <c r="AF197" s="80"/>
      <c r="AG197" s="80"/>
      <c r="AH197" s="100"/>
      <c r="AI197" s="100"/>
      <c r="AJ197" s="99"/>
      <c r="AK197" s="98"/>
      <c r="AL197" s="80"/>
      <c r="AN197" s="25"/>
      <c r="BA197" s="25"/>
      <c r="BB197" s="25"/>
      <c r="BC197" s="25"/>
    </row>
    <row r="198" spans="1:55">
      <c r="A198" s="1" t="s">
        <v>68</v>
      </c>
      <c r="B198" s="32">
        <f>+'NEW-Tables 80-86'!G108+'NEW-Tables 80-86'!G138</f>
        <v>77975.723333333342</v>
      </c>
      <c r="C198" s="96">
        <f>+GETPIVOTDATA("Sum of New-HS % of Total",'Pivot-HS Student % of Undergrad'!$A$3,"State","GA","Category",12,"Category2","Technical")</f>
        <v>2.5723433494279437E-2</v>
      </c>
      <c r="D198" s="175">
        <f>+'NEW-Tables 80-86'!H108+'NEW-Tables 80-86'!H138</f>
        <v>0</v>
      </c>
      <c r="E198" s="96">
        <f>+GETPIVOTDATA("Sum of New-HS % of Total",'Pivot-HS Student % of Undergrad'!$A$3,"State","GA","Category",13,"Category2","Technical")</f>
        <v>0</v>
      </c>
      <c r="F198" s="175">
        <f>+'NEW-Tables 80-86'!I108+'NEW-Tables 80-86'!I138</f>
        <v>77975.723333333342</v>
      </c>
      <c r="G198" s="96">
        <f>+GETPIVOTDATA("Sum of New-HS % of Total",'Pivot-HS Student % of Undergrad'!$A$3,"State","GA","Category2","Group3")</f>
        <v>2.5723433494279437E-2</v>
      </c>
      <c r="J198" s="1"/>
      <c r="K198" s="1"/>
      <c r="L198" s="1"/>
      <c r="M198" s="201"/>
      <c r="Q198" s="25" t="s">
        <v>68</v>
      </c>
      <c r="R198" s="239">
        <f>+GETPIVOTDATA("Sum of Old-HS % of Total",'Pivot-HS Student % of Undergrad'!$A$3,"State","GA","Category",12,"Category2","Technical")</f>
        <v>1.8376206148101277E-2</v>
      </c>
      <c r="S198" s="470">
        <f t="shared" si="17"/>
        <v>0.73472273461781601</v>
      </c>
      <c r="T198" s="240">
        <f>+GETPIVOTDATA("Sum of Old-HS % of Total",'Pivot-HS Student % of Undergrad'!$A$3,"State","GA","Category",13,"Category2","Technical")</f>
        <v>0</v>
      </c>
      <c r="U198" s="470">
        <f t="shared" si="18"/>
        <v>0</v>
      </c>
      <c r="V198" s="240">
        <f>+GETPIVOTDATA("Sum of Old-HS % of Total",'Pivot-HS Student % of Undergrad'!$A$3,"State","GA","Category2","Technical")</f>
        <v>1.8376206148101277E-2</v>
      </c>
      <c r="W198" s="470">
        <f t="shared" si="19"/>
        <v>0.73472273461781601</v>
      </c>
      <c r="X198" s="424"/>
      <c r="Y198" s="426"/>
      <c r="AA198" s="146"/>
      <c r="AB198" s="146"/>
      <c r="AC198" s="100" t="s">
        <v>68</v>
      </c>
      <c r="AD198" s="81">
        <f>+B198</f>
        <v>77975.723333333342</v>
      </c>
      <c r="AE198" s="80">
        <f>+D198</f>
        <v>0</v>
      </c>
      <c r="AF198" s="80">
        <f>+F198</f>
        <v>77975.723333333342</v>
      </c>
      <c r="AG198" s="80"/>
      <c r="AH198" s="100"/>
      <c r="AI198" s="100" t="s">
        <v>68</v>
      </c>
      <c r="AJ198" s="99">
        <f>+'NEW-Tables 80-86'!W108+'NEW-Tables 80-86'!V138</f>
        <v>96674.833333333328</v>
      </c>
      <c r="AK198" s="98">
        <f>+'NEW-Tables 80-86'!X108+'NEW-Tables 80-86'!W138</f>
        <v>0</v>
      </c>
      <c r="AL198" s="80">
        <f>+'NEW-Tables 80-86'!Y108+'NEW-Tables 80-86'!X138</f>
        <v>96674.833333333328</v>
      </c>
      <c r="AN198" s="25"/>
      <c r="BA198" s="25"/>
      <c r="BB198" s="25"/>
      <c r="BC198" s="25"/>
    </row>
    <row r="199" spans="1:55">
      <c r="A199" s="1" t="s">
        <v>69</v>
      </c>
      <c r="B199" s="32">
        <f>+'NEW-Tables 80-86'!G109+'NEW-Tables 80-86'!G139</f>
        <v>5047.0666666666666</v>
      </c>
      <c r="C199" s="96">
        <f>+GETPIVOTDATA("Sum of New-HS % of Total",'Pivot-HS Student % of Undergrad'!$A$3,"State","KY","Category",12,"Category2","Technical")</f>
        <v>4.370855678545954E-2</v>
      </c>
      <c r="D199" s="175">
        <f>+'NEW-Tables 80-86'!H109+'NEW-Tables 80-86'!H139</f>
        <v>0</v>
      </c>
      <c r="E199" s="96">
        <f>+GETPIVOTDATA("Sum of New-HS % of Total",'Pivot-HS Student % of Undergrad'!$A$3,"State","KY","Category",13,"Category2","Technical")</f>
        <v>0</v>
      </c>
      <c r="F199" s="175">
        <f>+'NEW-Tables 80-86'!I109+'NEW-Tables 80-86'!I139</f>
        <v>5047.0666666666666</v>
      </c>
      <c r="G199" s="96">
        <f>+GETPIVOTDATA("Sum of New-HS % of Total",'Pivot-HS Student % of Undergrad'!$A$3,"State","KY","Category2","Group3")</f>
        <v>4.370855678545954E-2</v>
      </c>
      <c r="J199" s="1"/>
      <c r="K199" s="1"/>
      <c r="L199" s="1"/>
      <c r="M199" s="201"/>
      <c r="Q199" s="25" t="s">
        <v>69</v>
      </c>
      <c r="R199" s="239">
        <f>+GETPIVOTDATA("Sum of Old-HS % of Total",'Pivot-HS Student % of Undergrad'!$A$3,"State","KY","Category",12,"Category2","Technical")</f>
        <v>6.3210993938387444E-2</v>
      </c>
      <c r="S199" s="470">
        <f t="shared" si="17"/>
        <v>-1.9502437152927903</v>
      </c>
      <c r="T199" s="240">
        <f>+GETPIVOTDATA("Sum of Old-HS % of Total",'Pivot-HS Student % of Undergrad'!$A$3,"State","KY","Category",13,"Category2","Technical")</f>
        <v>0</v>
      </c>
      <c r="U199" s="470">
        <f t="shared" si="18"/>
        <v>0</v>
      </c>
      <c r="V199" s="240">
        <f>+GETPIVOTDATA("Sum of Old-HS % of Total",'Pivot-HS Student % of Undergrad'!$A$3,"State","KY","Category2","Technical")</f>
        <v>6.3210993938387444E-2</v>
      </c>
      <c r="W199" s="471">
        <f t="shared" si="19"/>
        <v>-1.9502437152927903</v>
      </c>
      <c r="X199" s="424"/>
      <c r="Y199" s="426"/>
      <c r="AA199" s="146"/>
      <c r="AB199" s="146"/>
      <c r="AC199" s="100" t="s">
        <v>69</v>
      </c>
      <c r="AD199" s="81">
        <f>+B199</f>
        <v>5047.0666666666666</v>
      </c>
      <c r="AE199" s="80">
        <f>+D199</f>
        <v>0</v>
      </c>
      <c r="AF199" s="80">
        <f>+F199</f>
        <v>5047.0666666666666</v>
      </c>
      <c r="AG199" s="80"/>
      <c r="AH199" s="100"/>
      <c r="AI199" s="100" t="s">
        <v>69</v>
      </c>
      <c r="AJ199" s="99">
        <f>+'NEW-Tables 80-86'!W109+'NEW-Tables 80-86'!V139</f>
        <v>4817.2</v>
      </c>
      <c r="AK199" s="98">
        <f>+'NEW-Tables 80-86'!X109+'NEW-Tables 80-86'!W139</f>
        <v>0</v>
      </c>
      <c r="AL199" s="80">
        <f>+'NEW-Tables 80-86'!Y109+'NEW-Tables 80-86'!X139</f>
        <v>4817.2</v>
      </c>
      <c r="AN199" s="25"/>
      <c r="BA199" s="25"/>
      <c r="BB199" s="25"/>
      <c r="BC199" s="25"/>
    </row>
    <row r="200" spans="1:55">
      <c r="A200" s="1" t="s">
        <v>70</v>
      </c>
      <c r="B200" s="32">
        <f>+'NEW-Tables 80-86'!G110+'NEW-Tables 80-86'!G140</f>
        <v>14294.913333333332</v>
      </c>
      <c r="C200" s="96">
        <f>+GETPIVOTDATA("Sum of New-HS % of Total",'Pivot-HS Student % of Undergrad'!$A$3,"State","LA","Category",12,"Category2","Technical")</f>
        <v>0.12211257602197523</v>
      </c>
      <c r="D200" s="175">
        <f>+'NEW-Tables 80-86'!H110+'NEW-Tables 80-86'!H140</f>
        <v>0</v>
      </c>
      <c r="E200" s="96">
        <f>+GETPIVOTDATA("Sum of New-HS % of Total",'Pivot-HS Student % of Undergrad'!$A$3,"State","LA","Category",13,"Category2","Technical")</f>
        <v>0</v>
      </c>
      <c r="F200" s="175">
        <f>+'NEW-Tables 80-86'!I110+'NEW-Tables 80-86'!I140</f>
        <v>14294.913333333332</v>
      </c>
      <c r="G200" s="96">
        <f>+GETPIVOTDATA("Sum of New-HS % of Total",'Pivot-HS Student % of Undergrad'!$A$3,"State","LA","Category2","Group3")</f>
        <v>0.12211257602197523</v>
      </c>
      <c r="J200" s="1"/>
      <c r="K200" s="1"/>
      <c r="L200" s="1"/>
      <c r="M200" s="201"/>
      <c r="Q200" s="25" t="s">
        <v>70</v>
      </c>
      <c r="R200" s="239">
        <f>+GETPIVOTDATA("Sum of Old-HS % of Total",'Pivot-HS Student % of Undergrad'!$A$3,"State","LA","Category",12,"Category2","Technical")</f>
        <v>0.12798953845769068</v>
      </c>
      <c r="S200" s="470">
        <f t="shared" si="17"/>
        <v>-0.58769624357154493</v>
      </c>
      <c r="T200" s="240">
        <f>+GETPIVOTDATA("Sum of Old-HS % of Total",'Pivot-HS Student % of Undergrad'!$A$3,"State","LA","Category",13,"Category2","Technical")</f>
        <v>0</v>
      </c>
      <c r="U200" s="470">
        <f t="shared" si="18"/>
        <v>0</v>
      </c>
      <c r="V200" s="240">
        <f>+GETPIVOTDATA("Sum of Old-HS % of Total",'Pivot-HS Student % of Undergrad'!$A$3,"State","LA","Category2","Technical")</f>
        <v>0.12798953845769068</v>
      </c>
      <c r="W200" s="470">
        <f t="shared" si="19"/>
        <v>-0.58769624357154493</v>
      </c>
      <c r="X200" s="424"/>
      <c r="Y200" s="426"/>
      <c r="AA200" s="146"/>
      <c r="AB200" s="146"/>
      <c r="AC200" s="100" t="s">
        <v>70</v>
      </c>
      <c r="AD200" s="81">
        <f>+B200</f>
        <v>14294.913333333332</v>
      </c>
      <c r="AE200" s="80">
        <f>+D200</f>
        <v>0</v>
      </c>
      <c r="AF200" s="80">
        <f>+F200</f>
        <v>14294.913333333332</v>
      </c>
      <c r="AG200" s="80"/>
      <c r="AH200" s="100"/>
      <c r="AI200" s="100" t="s">
        <v>70</v>
      </c>
      <c r="AJ200" s="99">
        <f>+'NEW-Tables 80-86'!W110+'NEW-Tables 80-86'!V140</f>
        <v>18658.816666666669</v>
      </c>
      <c r="AK200" s="98">
        <f>+'NEW-Tables 80-86'!X110+'NEW-Tables 80-86'!W140</f>
        <v>0</v>
      </c>
      <c r="AL200" s="80">
        <f>+'NEW-Tables 80-86'!Y110+'NEW-Tables 80-86'!X140</f>
        <v>18658.816666666669</v>
      </c>
      <c r="AN200" s="25"/>
      <c r="BA200" s="25"/>
      <c r="BB200" s="25"/>
      <c r="BC200" s="25"/>
    </row>
    <row r="201" spans="1:55">
      <c r="A201" s="1" t="s">
        <v>71</v>
      </c>
      <c r="B201" s="32">
        <f>+'NEW-Tables 80-86'!G111+'NEW-Tables 80-86'!G141</f>
        <v>0</v>
      </c>
      <c r="C201" s="96">
        <f>+GETPIVOTDATA("Sum of New-HS % of Total",'Pivot-HS Student % of Undergrad'!$A$3,"State","MD","Category",12,"Category2","Technical")</f>
        <v>0</v>
      </c>
      <c r="D201" s="175">
        <f>+'NEW-Tables 80-86'!H111+'NEW-Tables 80-86'!H141</f>
        <v>0</v>
      </c>
      <c r="E201" s="96">
        <f>+GETPIVOTDATA("Sum of New-HS % of Total",'Pivot-HS Student % of Undergrad'!$A$3,"State","MD","Category",13,"Category2","Technical")</f>
        <v>0</v>
      </c>
      <c r="F201" s="175">
        <f>+'NEW-Tables 80-86'!I111+'NEW-Tables 80-86'!I141</f>
        <v>0</v>
      </c>
      <c r="G201" s="96">
        <f>+GETPIVOTDATA("Sum of New-HS % of Total",'Pivot-HS Student % of Undergrad'!$A$3,"State","MD","Category2","Group3")</f>
        <v>0</v>
      </c>
      <c r="J201" s="1"/>
      <c r="K201" s="1"/>
      <c r="L201" s="1"/>
      <c r="M201" s="201"/>
      <c r="Q201" s="25" t="s">
        <v>71</v>
      </c>
      <c r="R201" s="239">
        <f>+GETPIVOTDATA("Sum of Old-HS % of Total",'Pivot-HS Student % of Undergrad'!$A$3,"State","MD","Category",12,"Category2","Technical")</f>
        <v>0</v>
      </c>
      <c r="S201" s="470">
        <f t="shared" si="17"/>
        <v>0</v>
      </c>
      <c r="T201" s="240">
        <f>+GETPIVOTDATA("Sum of Old-HS % of Total",'Pivot-HS Student % of Undergrad'!$A$3,"State","MD","Category",13,"Category2","Technical")</f>
        <v>0</v>
      </c>
      <c r="U201" s="470">
        <f t="shared" si="18"/>
        <v>0</v>
      </c>
      <c r="V201" s="240">
        <f>+GETPIVOTDATA("Sum of Old-HS % of Total",'Pivot-HS Student % of Undergrad'!$A$3,"State","MD","Category2","Technical")</f>
        <v>0</v>
      </c>
      <c r="W201" s="470">
        <f t="shared" si="19"/>
        <v>0</v>
      </c>
      <c r="X201" s="424"/>
      <c r="Y201" s="426"/>
      <c r="AA201" s="146"/>
      <c r="AB201" s="146"/>
      <c r="AC201" s="100" t="s">
        <v>71</v>
      </c>
      <c r="AD201" s="81">
        <f>+B201</f>
        <v>0</v>
      </c>
      <c r="AE201" s="80">
        <f>+D201</f>
        <v>0</v>
      </c>
      <c r="AF201" s="80">
        <f>+F201</f>
        <v>0</v>
      </c>
      <c r="AG201" s="80"/>
      <c r="AH201" s="100"/>
      <c r="AI201" s="100" t="s">
        <v>71</v>
      </c>
      <c r="AJ201" s="99">
        <f>+'NEW-Tables 80-86'!W111+'NEW-Tables 80-86'!V141</f>
        <v>0</v>
      </c>
      <c r="AK201" s="98">
        <f>+'NEW-Tables 80-86'!X111+'NEW-Tables 80-86'!W141</f>
        <v>0</v>
      </c>
      <c r="AL201" s="80">
        <f>+'NEW-Tables 80-86'!Y111+'NEW-Tables 80-86'!X141</f>
        <v>0</v>
      </c>
      <c r="AN201" s="25"/>
      <c r="BA201" s="25"/>
      <c r="BB201" s="25"/>
      <c r="BC201" s="25"/>
    </row>
    <row r="202" spans="1:55">
      <c r="B202" s="32"/>
      <c r="C202" s="96"/>
      <c r="D202" s="175"/>
      <c r="E202" s="96"/>
      <c r="F202" s="175"/>
      <c r="G202" s="96"/>
      <c r="J202" s="1"/>
      <c r="K202" s="1"/>
      <c r="L202" s="1"/>
      <c r="M202" s="201"/>
      <c r="Q202" s="25"/>
      <c r="R202" s="239"/>
      <c r="S202" s="470"/>
      <c r="T202" s="240"/>
      <c r="U202" s="470"/>
      <c r="V202" s="240"/>
      <c r="W202" s="470"/>
      <c r="X202" s="424"/>
      <c r="Y202" s="426"/>
      <c r="AA202" s="146"/>
      <c r="AB202" s="146"/>
      <c r="AC202" s="100"/>
      <c r="AD202" s="81"/>
      <c r="AE202" s="80"/>
      <c r="AF202" s="80"/>
      <c r="AG202" s="80"/>
      <c r="AH202" s="100"/>
      <c r="AI202" s="100"/>
      <c r="AJ202" s="99"/>
      <c r="AK202" s="98"/>
      <c r="AL202" s="80"/>
      <c r="AN202" s="25"/>
      <c r="BA202" s="25"/>
      <c r="BB202" s="25"/>
      <c r="BC202" s="25"/>
    </row>
    <row r="203" spans="1:55">
      <c r="A203" s="1" t="s">
        <v>72</v>
      </c>
      <c r="B203" s="32">
        <f>+'NEW-Tables 80-86'!G113+'NEW-Tables 80-86'!G143</f>
        <v>0</v>
      </c>
      <c r="C203" s="96">
        <f>+GETPIVOTDATA("Sum of New-HS % of Total",'Pivot-HS Student % of Undergrad'!$A$3,"State","MS","Category",12,"Category2","Technical")</f>
        <v>0</v>
      </c>
      <c r="D203" s="175">
        <f>+'NEW-Tables 80-86'!H113+'NEW-Tables 80-86'!H143</f>
        <v>0</v>
      </c>
      <c r="E203" s="96">
        <f>+GETPIVOTDATA("Sum of New-HS % of Total",'Pivot-HS Student % of Undergrad'!$A$3,"State","MS","Category",13,"Category2","Technical")</f>
        <v>0</v>
      </c>
      <c r="F203" s="175">
        <f>+'NEW-Tables 80-86'!I113+'NEW-Tables 80-86'!I143</f>
        <v>0</v>
      </c>
      <c r="G203" s="96">
        <f>+GETPIVOTDATA("Sum of New-HS % of Total",'Pivot-HS Student % of Undergrad'!$A$3,"State","MS","Category2","Group3")</f>
        <v>0</v>
      </c>
      <c r="J203" s="1"/>
      <c r="K203" s="1"/>
      <c r="L203" s="1"/>
      <c r="M203" s="201"/>
      <c r="Q203" s="25" t="s">
        <v>72</v>
      </c>
      <c r="R203" s="239">
        <f>+GETPIVOTDATA("Sum of Old-HS % of Total",'Pivot-HS Student % of Undergrad'!$A$3,"State","MS","Category",12,"Category2","Technical")</f>
        <v>0</v>
      </c>
      <c r="S203" s="470">
        <f t="shared" si="17"/>
        <v>0</v>
      </c>
      <c r="T203" s="240">
        <f>+GETPIVOTDATA("Sum of Old-HS % of Total",'Pivot-HS Student % of Undergrad'!$A$3,"State","MS","Category",13,"Category2","Technical")</f>
        <v>0</v>
      </c>
      <c r="U203" s="470">
        <f t="shared" si="18"/>
        <v>0</v>
      </c>
      <c r="V203" s="240">
        <f>+GETPIVOTDATA("Sum of Old-HS % of Total",'Pivot-HS Student % of Undergrad'!$A$3,"State","MS","Category2","Technical")</f>
        <v>0</v>
      </c>
      <c r="W203" s="470">
        <f t="shared" si="19"/>
        <v>0</v>
      </c>
      <c r="X203" s="424"/>
      <c r="Y203" s="426"/>
      <c r="AA203" s="146"/>
      <c r="AB203" s="146"/>
      <c r="AC203" s="100" t="s">
        <v>72</v>
      </c>
      <c r="AD203" s="81">
        <f>+B203</f>
        <v>0</v>
      </c>
      <c r="AE203" s="80">
        <f>+D203</f>
        <v>0</v>
      </c>
      <c r="AF203" s="80">
        <f>+F203</f>
        <v>0</v>
      </c>
      <c r="AG203" s="80"/>
      <c r="AH203" s="100"/>
      <c r="AI203" s="100" t="s">
        <v>72</v>
      </c>
      <c r="AJ203" s="99">
        <f>+'NEW-Tables 80-86'!W113+'NEW-Tables 80-86'!V143</f>
        <v>0</v>
      </c>
      <c r="AK203" s="98">
        <f>+'NEW-Tables 80-86'!X113+'NEW-Tables 80-86'!W143</f>
        <v>0</v>
      </c>
      <c r="AL203" s="80">
        <f>+'NEW-Tables 80-86'!Y113+'NEW-Tables 80-86'!X143</f>
        <v>0</v>
      </c>
      <c r="AN203" s="25"/>
      <c r="BA203" s="25"/>
      <c r="BB203" s="25"/>
      <c r="BC203" s="25"/>
    </row>
    <row r="204" spans="1:55">
      <c r="A204" s="1" t="s">
        <v>73</v>
      </c>
      <c r="B204" s="32">
        <f>+'NEW-Tables 80-86'!G114+'NEW-Tables 80-86'!G144</f>
        <v>0</v>
      </c>
      <c r="C204" s="96">
        <f>+GETPIVOTDATA("Sum of New-HS % of Total",'Pivot-HS Student % of Undergrad'!$A$3,"State","NC","Category",12,"Category2","Technical")</f>
        <v>0</v>
      </c>
      <c r="D204" s="175">
        <f>+'NEW-Tables 80-86'!H114+'NEW-Tables 80-86'!H144</f>
        <v>0</v>
      </c>
      <c r="E204" s="96">
        <f>+GETPIVOTDATA("Sum of New-HS % of Total",'Pivot-HS Student % of Undergrad'!$A$3,"State","NC","Category",13,"Category2","Technical")</f>
        <v>0</v>
      </c>
      <c r="F204" s="175">
        <f>+'NEW-Tables 80-86'!I114+'NEW-Tables 80-86'!I144</f>
        <v>0</v>
      </c>
      <c r="G204" s="96">
        <f>+GETPIVOTDATA("Sum of New-HS % of Total",'Pivot-HS Student % of Undergrad'!$A$3,"State","NC","Category2","Group3")</f>
        <v>0</v>
      </c>
      <c r="J204" s="1"/>
      <c r="K204" s="1"/>
      <c r="L204" s="1"/>
      <c r="M204" s="201"/>
      <c r="Q204" s="25" t="s">
        <v>73</v>
      </c>
      <c r="R204" s="239">
        <f>+GETPIVOTDATA("Sum of Old-HS % of Total",'Pivot-HS Student % of Undergrad'!$A$3,"State","NC","Category",12,"Category2","Technical")</f>
        <v>0</v>
      </c>
      <c r="S204" s="470">
        <f t="shared" si="17"/>
        <v>0</v>
      </c>
      <c r="T204" s="240">
        <f>+GETPIVOTDATA("Sum of Old-HS % of Total",'Pivot-HS Student % of Undergrad'!$A$3,"State","NC","Category",13,"Category2","Technical")</f>
        <v>0</v>
      </c>
      <c r="U204" s="470">
        <f t="shared" si="18"/>
        <v>0</v>
      </c>
      <c r="V204" s="240">
        <f>+GETPIVOTDATA("Sum of Old-HS % of Total",'Pivot-HS Student % of Undergrad'!$A$3,"State","NC","Category2","Technical")</f>
        <v>0</v>
      </c>
      <c r="W204" s="470">
        <f t="shared" si="19"/>
        <v>0</v>
      </c>
      <c r="X204" s="424"/>
      <c r="Y204" s="427"/>
      <c r="AA204" s="146"/>
      <c r="AB204" s="146"/>
      <c r="AC204" s="100" t="s">
        <v>73</v>
      </c>
      <c r="AD204" s="81">
        <f>+B204</f>
        <v>0</v>
      </c>
      <c r="AE204" s="80">
        <f>+D204</f>
        <v>0</v>
      </c>
      <c r="AF204" s="80">
        <f>+F204</f>
        <v>0</v>
      </c>
      <c r="AG204" s="80"/>
      <c r="AH204" s="100"/>
      <c r="AI204" s="100" t="s">
        <v>73</v>
      </c>
      <c r="AJ204" s="99">
        <f>+'NEW-Tables 80-86'!W114+'NEW-Tables 80-86'!V144</f>
        <v>0</v>
      </c>
      <c r="AK204" s="98">
        <f>+'NEW-Tables 80-86'!X114+'NEW-Tables 80-86'!W144</f>
        <v>0</v>
      </c>
      <c r="AL204" s="80">
        <f>+'NEW-Tables 80-86'!Y114+'NEW-Tables 80-86'!X144</f>
        <v>0</v>
      </c>
      <c r="AN204" s="25"/>
      <c r="BA204" s="25"/>
      <c r="BB204" s="25"/>
      <c r="BC204" s="25"/>
    </row>
    <row r="205" spans="1:55">
      <c r="A205" s="1" t="s">
        <v>74</v>
      </c>
      <c r="B205" s="32">
        <f>+'NEW-Tables 80-86'!G115+'NEW-Tables 80-86'!G145</f>
        <v>4046.5422222222219</v>
      </c>
      <c r="C205" s="96">
        <f>+GETPIVOTDATA("Sum of New-HS % of Total",'Pivot-HS Student % of Undergrad'!$A$3,"State","OK","Category",12,"Category2","Technical")</f>
        <v>0</v>
      </c>
      <c r="D205" s="175">
        <f>+'NEW-Tables 80-86'!H115+'NEW-Tables 80-86'!H145</f>
        <v>15930.953333333329</v>
      </c>
      <c r="E205" s="96">
        <f>+GETPIVOTDATA("Sum of New-HS % of Total",'Pivot-HS Student % of Undergrad'!$A$3,"State","OK","Category",13,"Category2","Technical")</f>
        <v>0</v>
      </c>
      <c r="F205" s="175">
        <f>+'NEW-Tables 80-86'!I115+'NEW-Tables 80-86'!I145</f>
        <v>19977.49555555555</v>
      </c>
      <c r="G205" s="96">
        <f>+GETPIVOTDATA("Sum of New-HS % of Total",'Pivot-HS Student % of Undergrad'!$A$3,"State","OK","Category2","Group3")</f>
        <v>0</v>
      </c>
      <c r="J205" s="1"/>
      <c r="K205" s="1"/>
      <c r="L205" s="1"/>
      <c r="M205" s="201"/>
      <c r="Q205" s="25" t="s">
        <v>74</v>
      </c>
      <c r="R205" s="239">
        <f>+GETPIVOTDATA("Sum of Old-HS % of Total",'Pivot-HS Student % of Undergrad'!$A$3,"State","OK","Category",12,"Category2","Technical")</f>
        <v>0</v>
      </c>
      <c r="S205" s="470">
        <f t="shared" si="17"/>
        <v>0</v>
      </c>
      <c r="T205" s="240">
        <f>+GETPIVOTDATA("Sum of Old-HS % of Total",'Pivot-HS Student % of Undergrad'!$A$3,"State","OK","Category",13,"Category2","Technical")</f>
        <v>0</v>
      </c>
      <c r="U205" s="470">
        <f t="shared" si="18"/>
        <v>0</v>
      </c>
      <c r="V205" s="240">
        <f>+GETPIVOTDATA("Sum of Old-HS % of Total",'Pivot-HS Student % of Undergrad'!$A$3,"State","OK","Category2","Technical")</f>
        <v>0</v>
      </c>
      <c r="W205" s="470">
        <f t="shared" si="19"/>
        <v>0</v>
      </c>
      <c r="X205" s="424"/>
      <c r="Y205" s="426"/>
      <c r="AA205" s="146"/>
      <c r="AB205" s="146"/>
      <c r="AC205" s="100" t="s">
        <v>74</v>
      </c>
      <c r="AD205" s="81">
        <f>+B205</f>
        <v>4046.5422222222219</v>
      </c>
      <c r="AE205" s="80">
        <f>+D205</f>
        <v>15930.953333333329</v>
      </c>
      <c r="AF205" s="80">
        <f>+F205</f>
        <v>19977.49555555555</v>
      </c>
      <c r="AG205" s="80"/>
      <c r="AH205" s="100"/>
      <c r="AI205" s="100" t="s">
        <v>74</v>
      </c>
      <c r="AJ205" s="99">
        <f>+'NEW-Tables 80-86'!W115+'NEW-Tables 80-86'!V145</f>
        <v>4304.7606777777773</v>
      </c>
      <c r="AK205" s="98">
        <f>+'NEW-Tables 80-86'!X115+'NEW-Tables 80-86'!W145</f>
        <v>16254.157633333331</v>
      </c>
      <c r="AL205" s="80">
        <f>+'NEW-Tables 80-86'!Y115+'NEW-Tables 80-86'!X145</f>
        <v>20558.918311111109</v>
      </c>
      <c r="AN205" s="25"/>
      <c r="BA205" s="25"/>
      <c r="BB205" s="25"/>
      <c r="BC205" s="25"/>
    </row>
    <row r="206" spans="1:55">
      <c r="A206" s="1" t="s">
        <v>75</v>
      </c>
      <c r="B206" s="32">
        <f>+'NEW-Tables 80-86'!G116+'NEW-Tables 80-86'!G146</f>
        <v>0</v>
      </c>
      <c r="C206" s="96">
        <f>+GETPIVOTDATA("Sum of New-HS % of Total",'Pivot-HS Student % of Undergrad'!$A$3,"State","SC","Category",12,"Category2","Technical")</f>
        <v>0</v>
      </c>
      <c r="D206" s="175">
        <f>+'NEW-Tables 80-86'!H116+'NEW-Tables 80-86'!H146</f>
        <v>0</v>
      </c>
      <c r="E206" s="96">
        <f>+GETPIVOTDATA("Sum of New-HS % of Total",'Pivot-HS Student % of Undergrad'!$A$3,"State","SC","Category",13,"Category2","Technical")</f>
        <v>0</v>
      </c>
      <c r="F206" s="175">
        <f>+'NEW-Tables 80-86'!I116+'NEW-Tables 80-86'!I146</f>
        <v>0</v>
      </c>
      <c r="G206" s="96">
        <f>+GETPIVOTDATA("Sum of New-HS % of Total",'Pivot-HS Student % of Undergrad'!$A$3,"State","SC","Category2","Group3")</f>
        <v>0</v>
      </c>
      <c r="J206" s="1"/>
      <c r="K206" s="1"/>
      <c r="L206" s="1"/>
      <c r="M206" s="201"/>
      <c r="Q206" s="25" t="s">
        <v>75</v>
      </c>
      <c r="R206" s="239">
        <f>+GETPIVOTDATA("Sum of Old-HS % of Total",'Pivot-HS Student % of Undergrad'!$A$3,"State","SC","Category",12,"Category2","Technical")</f>
        <v>0</v>
      </c>
      <c r="S206" s="470">
        <f t="shared" si="17"/>
        <v>0</v>
      </c>
      <c r="T206" s="240">
        <f>+GETPIVOTDATA("Sum of Old-HS % of Total",'Pivot-HS Student % of Undergrad'!$A$3,"State","SC","Category",13,"Category2","Technical")</f>
        <v>0</v>
      </c>
      <c r="U206" s="470">
        <f t="shared" si="18"/>
        <v>0</v>
      </c>
      <c r="V206" s="240">
        <f>+GETPIVOTDATA("Sum of Old-HS % of Total",'Pivot-HS Student % of Undergrad'!$A$3,"State","SC","Category2","Technical")</f>
        <v>0</v>
      </c>
      <c r="W206" s="470">
        <f t="shared" si="19"/>
        <v>0</v>
      </c>
      <c r="X206" s="424"/>
      <c r="Y206" s="426"/>
      <c r="AA206" s="146"/>
      <c r="AB206" s="146"/>
      <c r="AC206" s="100" t="s">
        <v>75</v>
      </c>
      <c r="AD206" s="81">
        <f>+B206</f>
        <v>0</v>
      </c>
      <c r="AE206" s="80">
        <f>+D206</f>
        <v>0</v>
      </c>
      <c r="AF206" s="80">
        <f>+F206</f>
        <v>0</v>
      </c>
      <c r="AG206" s="80"/>
      <c r="AH206" s="100"/>
      <c r="AI206" s="100" t="s">
        <v>75</v>
      </c>
      <c r="AJ206" s="99">
        <f>+'NEW-Tables 80-86'!W116+'NEW-Tables 80-86'!V146</f>
        <v>0</v>
      </c>
      <c r="AK206" s="98">
        <f>+'NEW-Tables 80-86'!X116+'NEW-Tables 80-86'!W146</f>
        <v>0</v>
      </c>
      <c r="AL206" s="80">
        <f>+'NEW-Tables 80-86'!Y116+'NEW-Tables 80-86'!X146</f>
        <v>0</v>
      </c>
      <c r="AN206" s="25"/>
      <c r="BA206" s="25"/>
      <c r="BB206" s="25"/>
      <c r="BC206" s="25"/>
    </row>
    <row r="207" spans="1:55" ht="11.25" customHeight="1">
      <c r="B207" s="32"/>
      <c r="C207" s="96"/>
      <c r="D207" s="175"/>
      <c r="E207" s="96"/>
      <c r="F207" s="175"/>
      <c r="G207" s="96"/>
      <c r="J207" s="1"/>
      <c r="K207" s="1"/>
      <c r="L207" s="1"/>
      <c r="M207" s="201"/>
      <c r="Q207" s="25"/>
      <c r="R207" s="239"/>
      <c r="S207" s="470">
        <f t="shared" si="17"/>
        <v>0</v>
      </c>
      <c r="T207" s="240"/>
      <c r="U207" s="470">
        <f t="shared" si="18"/>
        <v>0</v>
      </c>
      <c r="V207" s="240"/>
      <c r="W207" s="470">
        <f t="shared" si="19"/>
        <v>0</v>
      </c>
      <c r="X207" s="424"/>
      <c r="Y207" s="426"/>
      <c r="AA207" s="146"/>
      <c r="AB207" s="146"/>
      <c r="AC207" s="100"/>
      <c r="AD207" s="81"/>
      <c r="AE207" s="80"/>
      <c r="AF207" s="80"/>
      <c r="AG207" s="80"/>
      <c r="AH207" s="100"/>
      <c r="AI207" s="100"/>
      <c r="AJ207" s="99"/>
      <c r="AK207" s="98"/>
      <c r="AL207" s="80"/>
      <c r="AN207" s="25"/>
      <c r="BA207" s="25"/>
      <c r="BB207" s="25"/>
      <c r="BC207" s="25"/>
    </row>
    <row r="208" spans="1:55" ht="11.25" customHeight="1">
      <c r="A208" s="1" t="s">
        <v>76</v>
      </c>
      <c r="B208" s="32">
        <f>+'NEW-Tables 80-86'!G118+'NEW-Tables 80-86'!G148</f>
        <v>1041.53</v>
      </c>
      <c r="C208" s="96">
        <f>+GETPIVOTDATA("Sum of New-HS % of Total",'Pivot-HS Student % of Undergrad'!$A$3,"State","TN","Category",12,"Category2","Technical")</f>
        <v>0</v>
      </c>
      <c r="D208" s="175">
        <f>+'NEW-Tables 80-86'!H118+'NEW-Tables 80-86'!H148</f>
        <v>10292.814444444444</v>
      </c>
      <c r="E208" s="96">
        <f>+GETPIVOTDATA("Sum of New-HS % of Total",'Pivot-HS Student % of Undergrad'!$A$3,"State","TN","Category",13,"Category2","Technical")</f>
        <v>0</v>
      </c>
      <c r="F208" s="175">
        <f>+'NEW-Tables 80-86'!I118+'NEW-Tables 80-86'!I148</f>
        <v>11334.344444444445</v>
      </c>
      <c r="G208" s="96">
        <f>+GETPIVOTDATA("Sum of New-HS % of Total",'Pivot-HS Student % of Undergrad'!$A$3,"State","TN","Category2","Group3")</f>
        <v>0</v>
      </c>
      <c r="J208" s="1"/>
      <c r="K208" s="1"/>
      <c r="L208" s="1"/>
      <c r="M208" s="201"/>
      <c r="Q208" s="25" t="s">
        <v>76</v>
      </c>
      <c r="R208" s="239">
        <f>+GETPIVOTDATA("Sum of Old-HS % of Total",'Pivot-HS Student % of Undergrad'!$A$3,"State","TN","Category",12,"Category2","Technical")</f>
        <v>0</v>
      </c>
      <c r="S208" s="470">
        <f t="shared" si="17"/>
        <v>0</v>
      </c>
      <c r="T208" s="240">
        <f>+GETPIVOTDATA("Sum of Old-HS % of Total",'Pivot-HS Student % of Undergrad'!$A$3,"State","TN","Category",13,"Category2","Technical")</f>
        <v>0</v>
      </c>
      <c r="U208" s="470">
        <f t="shared" si="18"/>
        <v>0</v>
      </c>
      <c r="V208" s="240">
        <f>+GETPIVOTDATA("Sum of Old-HS % of Total",'Pivot-HS Student % of Undergrad'!$A$3,"State","TN","Category2","Technical")</f>
        <v>0</v>
      </c>
      <c r="W208" s="470">
        <f t="shared" si="19"/>
        <v>0</v>
      </c>
      <c r="X208" s="424"/>
      <c r="Y208" s="426"/>
      <c r="AA208" s="146"/>
      <c r="AB208" s="146"/>
      <c r="AC208" s="100" t="s">
        <v>76</v>
      </c>
      <c r="AD208" s="81">
        <f>+B208</f>
        <v>1041.53</v>
      </c>
      <c r="AE208" s="80">
        <f>+D208</f>
        <v>10292.814444444444</v>
      </c>
      <c r="AF208" s="80">
        <f>+F208</f>
        <v>11334.344444444445</v>
      </c>
      <c r="AG208" s="80"/>
      <c r="AH208" s="100"/>
      <c r="AI208" s="100" t="s">
        <v>76</v>
      </c>
      <c r="AJ208" s="99">
        <f>+'NEW-Tables 80-86'!W118+'NEW-Tables 80-86'!V148</f>
        <v>1072.3011111111111</v>
      </c>
      <c r="AK208" s="98">
        <f>+'NEW-Tables 80-86'!X118+'NEW-Tables 80-86'!W148</f>
        <v>10626.471111111108</v>
      </c>
      <c r="AL208" s="80">
        <f>+'NEW-Tables 80-86'!Y118+'NEW-Tables 80-86'!X148</f>
        <v>11698.77222222222</v>
      </c>
      <c r="AN208" s="25"/>
      <c r="BA208" s="25"/>
      <c r="BB208" s="25"/>
      <c r="BC208" s="25"/>
    </row>
    <row r="209" spans="1:55">
      <c r="A209" s="1" t="s">
        <v>77</v>
      </c>
      <c r="B209" s="32">
        <f>+'NEW-Tables 80-86'!G119+'NEW-Tables 80-86'!G149</f>
        <v>0</v>
      </c>
      <c r="C209" s="210">
        <f>+GETPIVOTDATA("Sum of New-HS % of Total",'Pivot-HS Student % of Undergrad'!$A$3,"State","TX","Category",12,"Category2","Technical")</f>
        <v>0</v>
      </c>
      <c r="D209" s="175">
        <f>+'NEW-Tables 80-86'!H119+'NEW-Tables 80-86'!H149</f>
        <v>0</v>
      </c>
      <c r="E209" s="210">
        <f>+GETPIVOTDATA("Sum of New-HS % of Total",'Pivot-HS Student % of Undergrad'!$A$3,"State","TX","Category",13,"Category2","Technical")</f>
        <v>0</v>
      </c>
      <c r="F209" s="175">
        <f>+'NEW-Tables 80-86'!I119+'NEW-Tables 80-86'!I149</f>
        <v>0</v>
      </c>
      <c r="G209" s="96">
        <f>+GETPIVOTDATA("Sum of New-HS % of Total",'Pivot-HS Student % of Undergrad'!$A$3,"State","TX","Category2","Group3")</f>
        <v>0</v>
      </c>
      <c r="J209" s="1"/>
      <c r="K209" s="1"/>
      <c r="L209" s="1"/>
      <c r="M209" s="201"/>
      <c r="Q209" s="25" t="s">
        <v>77</v>
      </c>
      <c r="R209" s="239">
        <f>+GETPIVOTDATA("Sum of Old-HS % of Total",'Pivot-HS Student % of Undergrad'!$A$3,"State","TX","Category",12,"Category2","Technical")</f>
        <v>0</v>
      </c>
      <c r="S209" s="470">
        <f t="shared" si="17"/>
        <v>0</v>
      </c>
      <c r="T209" s="240">
        <f>+GETPIVOTDATA("Sum of Old-HS % of Total",'Pivot-HS Student % of Undergrad'!$A$3,"State","TX","Category",13,"Category2","Technical")</f>
        <v>0</v>
      </c>
      <c r="U209" s="470">
        <f t="shared" si="18"/>
        <v>0</v>
      </c>
      <c r="V209" s="240">
        <f>+GETPIVOTDATA("Sum of Old-HS % of Total",'Pivot-HS Student % of Undergrad'!$A$3,"State","TX","Category2","Technical")</f>
        <v>0</v>
      </c>
      <c r="W209" s="470">
        <f t="shared" si="19"/>
        <v>0</v>
      </c>
      <c r="X209" s="424"/>
      <c r="Y209" s="427"/>
      <c r="AA209" s="146"/>
      <c r="AB209" s="146"/>
      <c r="AC209" s="100" t="s">
        <v>77</v>
      </c>
      <c r="AD209" s="81">
        <f>+B209</f>
        <v>0</v>
      </c>
      <c r="AE209" s="80">
        <f>+D209</f>
        <v>0</v>
      </c>
      <c r="AF209" s="80">
        <f>+F209</f>
        <v>0</v>
      </c>
      <c r="AG209" s="80"/>
      <c r="AH209" s="100"/>
      <c r="AI209" s="100" t="s">
        <v>77</v>
      </c>
      <c r="AJ209" s="99">
        <f>+'NEW-Tables 80-86'!W119+'NEW-Tables 80-86'!V149</f>
        <v>0</v>
      </c>
      <c r="AK209" s="98">
        <f>+'NEW-Tables 80-86'!X119+'NEW-Tables 80-86'!W149</f>
        <v>0</v>
      </c>
      <c r="AL209" s="80">
        <f>+'NEW-Tables 80-86'!Y119+'NEW-Tables 80-86'!X149</f>
        <v>0</v>
      </c>
      <c r="AN209" s="25"/>
      <c r="BA209" s="25"/>
      <c r="BB209" s="25"/>
      <c r="BC209" s="25"/>
    </row>
    <row r="210" spans="1:55">
      <c r="A210" s="1" t="s">
        <v>78</v>
      </c>
      <c r="B210" s="32">
        <f>+'NEW-Tables 80-86'!G120+'NEW-Tables 80-86'!G150</f>
        <v>0</v>
      </c>
      <c r="C210" s="210">
        <f>+GETPIVOTDATA("Sum of New-HS % of Total",'Pivot-HS Student % of Undergrad'!$A$3,"State","VA","Category",12,"Category2","Technical")</f>
        <v>0</v>
      </c>
      <c r="D210" s="175">
        <f>+'NEW-Tables 80-86'!H120+'NEW-Tables 80-86'!H150</f>
        <v>0</v>
      </c>
      <c r="E210" s="210">
        <f>+GETPIVOTDATA("Sum of New-HS % of Total",'Pivot-HS Student % of Undergrad'!$A$3,"State","VA","Category",13,"Category2","Technical")</f>
        <v>0</v>
      </c>
      <c r="F210" s="175">
        <f>+'NEW-Tables 80-86'!I120+'NEW-Tables 80-86'!I150</f>
        <v>0</v>
      </c>
      <c r="G210" s="96">
        <f>+GETPIVOTDATA("Sum of New-HS % of Total",'Pivot-HS Student % of Undergrad'!$A$3,"State","VA","Category2","Group3")</f>
        <v>0</v>
      </c>
      <c r="J210" s="1"/>
      <c r="K210" s="1"/>
      <c r="L210" s="1"/>
      <c r="M210" s="201"/>
      <c r="Q210" s="25" t="s">
        <v>78</v>
      </c>
      <c r="R210" s="239">
        <f>+GETPIVOTDATA("Sum of Old-HS % of Total",'Pivot-HS Student % of Undergrad'!$A$3,"State","VA","Category",12,"Category2","Technical")</f>
        <v>0</v>
      </c>
      <c r="S210" s="470">
        <f t="shared" si="17"/>
        <v>0</v>
      </c>
      <c r="T210" s="240">
        <f>+GETPIVOTDATA("Sum of Old-HS % of Total",'Pivot-HS Student % of Undergrad'!$A$3,"State","VA","Category",13,"Category2","Technical")</f>
        <v>0</v>
      </c>
      <c r="U210" s="470">
        <f t="shared" si="18"/>
        <v>0</v>
      </c>
      <c r="V210" s="240">
        <f>+GETPIVOTDATA("Sum of Old-HS % of Total",'Pivot-HS Student % of Undergrad'!$A$3,"State","VA","Category2","Technical")</f>
        <v>0</v>
      </c>
      <c r="W210" s="470">
        <f t="shared" si="19"/>
        <v>0</v>
      </c>
      <c r="X210" s="424"/>
      <c r="Y210" s="426"/>
      <c r="AA210" s="146"/>
      <c r="AB210" s="146"/>
      <c r="AC210" s="100" t="s">
        <v>78</v>
      </c>
      <c r="AD210" s="81">
        <f>+B210</f>
        <v>0</v>
      </c>
      <c r="AE210" s="80">
        <f>+D210</f>
        <v>0</v>
      </c>
      <c r="AF210" s="80">
        <f>+F210</f>
        <v>0</v>
      </c>
      <c r="AG210" s="80"/>
      <c r="AH210" s="100"/>
      <c r="AI210" s="100" t="s">
        <v>78</v>
      </c>
      <c r="AJ210" s="99">
        <f>+'NEW-Tables 80-86'!W120+'NEW-Tables 80-86'!V150</f>
        <v>0</v>
      </c>
      <c r="AK210" s="98">
        <f>+'NEW-Tables 80-86'!X120+'NEW-Tables 80-86'!W150</f>
        <v>0</v>
      </c>
      <c r="AL210" s="80">
        <f>+'NEW-Tables 80-86'!Y120+'NEW-Tables 80-86'!X150</f>
        <v>0</v>
      </c>
      <c r="AN210" s="25"/>
      <c r="BA210" s="25"/>
      <c r="BB210" s="25"/>
      <c r="BC210" s="25"/>
    </row>
    <row r="211" spans="1:55">
      <c r="A211" s="3" t="s">
        <v>79</v>
      </c>
      <c r="B211" s="9">
        <f>+'NEW-Tables 80-86'!G121+'NEW-Tables 80-86'!G151</f>
        <v>0</v>
      </c>
      <c r="C211" s="212">
        <f>+GETPIVOTDATA("Sum of New-HS % of Total",'Pivot-HS Student % of Undergrad'!$A$3,"State","WV","Category",12,"Category2","Technical")</f>
        <v>0</v>
      </c>
      <c r="D211" s="176">
        <f>+'NEW-Tables 80-86'!H121+'NEW-Tables 80-86'!H151</f>
        <v>0</v>
      </c>
      <c r="E211" s="212">
        <f>+GETPIVOTDATA("Sum of New-HS % of Total",'Pivot-HS Student % of Undergrad'!$A$3,"State","WV","Category",13,"Category2","Technical")</f>
        <v>0</v>
      </c>
      <c r="F211" s="176">
        <f>+'NEW-Tables 80-86'!I121+'NEW-Tables 80-86'!I151</f>
        <v>0</v>
      </c>
      <c r="G211" s="212">
        <f>+GETPIVOTDATA("Sum of New-HS % of Total",'Pivot-HS Student % of Undergrad'!$A$3,"State","WV","Category2","Group3")</f>
        <v>0</v>
      </c>
      <c r="H211" s="73"/>
      <c r="I211" s="25"/>
      <c r="J211" s="1"/>
      <c r="K211" s="1"/>
      <c r="L211" s="1"/>
      <c r="M211" s="201"/>
      <c r="Q211" s="3" t="s">
        <v>79</v>
      </c>
      <c r="R211" s="431">
        <f>+GETPIVOTDATA("Sum of Old-HS % of Total",'Pivot-HS Student % of Undergrad'!$A$3,"State","WV","Category",12,"Category2","Technical")</f>
        <v>0</v>
      </c>
      <c r="S211" s="470">
        <f t="shared" si="17"/>
        <v>0</v>
      </c>
      <c r="T211" s="432">
        <f>+GETPIVOTDATA("Sum of Old-HS % of Total",'Pivot-HS Student % of Undergrad'!$A$3,"State","WV","Category",13,"Category2","Technical")</f>
        <v>0</v>
      </c>
      <c r="U211" s="470">
        <f t="shared" si="18"/>
        <v>0</v>
      </c>
      <c r="V211" s="432">
        <f>+GETPIVOTDATA("Sum of Old-HS % of Total",'Pivot-HS Student % of Undergrad'!$A$3,"State","WV","Category2","Technical")</f>
        <v>0</v>
      </c>
      <c r="W211" s="470">
        <f t="shared" si="19"/>
        <v>0</v>
      </c>
      <c r="X211" s="424"/>
      <c r="Y211" s="426"/>
      <c r="AA211" s="146"/>
      <c r="AB211" s="146"/>
      <c r="AC211" s="101" t="s">
        <v>79</v>
      </c>
      <c r="AD211" s="125">
        <f>+B211</f>
        <v>0</v>
      </c>
      <c r="AE211" s="97">
        <f>+D211</f>
        <v>0</v>
      </c>
      <c r="AF211" s="97">
        <f>+F211</f>
        <v>0</v>
      </c>
      <c r="AG211" s="97"/>
      <c r="AH211" s="100"/>
      <c r="AI211" s="101" t="s">
        <v>79</v>
      </c>
      <c r="AJ211" s="255">
        <f>+'NEW-Tables 80-86'!W121+'NEW-Tables 80-86'!V151</f>
        <v>0</v>
      </c>
      <c r="AK211" s="97">
        <f>+'NEW-Tables 80-86'!X121+'NEW-Tables 80-86'!W151</f>
        <v>0</v>
      </c>
      <c r="AL211" s="97">
        <f>+'NEW-Tables 80-86'!Y121+'NEW-Tables 80-86'!X151</f>
        <v>0</v>
      </c>
      <c r="AN211" s="25"/>
      <c r="BA211" s="25"/>
      <c r="BB211" s="25"/>
      <c r="BC211" s="25"/>
    </row>
    <row r="212" spans="1:55" ht="57.75" customHeight="1">
      <c r="A212" s="837" t="s">
        <v>991</v>
      </c>
      <c r="B212" s="837"/>
      <c r="C212" s="837"/>
      <c r="D212" s="837"/>
      <c r="E212" s="837"/>
      <c r="F212" s="837"/>
      <c r="G212" s="837"/>
      <c r="H212" s="408"/>
      <c r="I212" s="408"/>
      <c r="J212" s="1"/>
      <c r="K212" s="1"/>
      <c r="L212" s="1"/>
      <c r="M212" s="201"/>
      <c r="AA212" s="146"/>
      <c r="AB212" s="146"/>
      <c r="AC212" s="146"/>
      <c r="AD212" s="146"/>
      <c r="AE212" s="146"/>
      <c r="AF212" s="146"/>
      <c r="BC212" s="25"/>
    </row>
    <row r="213" spans="1:55" ht="10.5" customHeight="1">
      <c r="B213" s="355"/>
      <c r="C213" s="355"/>
      <c r="D213" s="355"/>
      <c r="E213" s="355"/>
      <c r="F213" s="355"/>
      <c r="G213" s="169" t="s">
        <v>987</v>
      </c>
      <c r="H213" s="355"/>
      <c r="I213" s="169"/>
      <c r="J213" s="1"/>
      <c r="K213" s="1"/>
      <c r="L213" s="1"/>
      <c r="M213" s="201"/>
      <c r="AA213" s="146"/>
      <c r="AB213" s="146"/>
      <c r="AC213" s="146"/>
      <c r="AD213" s="146"/>
      <c r="AE213" s="146"/>
      <c r="BA213" s="25"/>
      <c r="BB213" s="25"/>
      <c r="BC213" s="25"/>
    </row>
    <row r="214" spans="1:55" ht="13.5" customHeight="1">
      <c r="A214" s="163"/>
      <c r="B214" s="163"/>
      <c r="C214" s="163"/>
      <c r="D214" s="163"/>
      <c r="E214" s="163"/>
      <c r="F214" s="163"/>
      <c r="G214" s="163"/>
      <c r="H214" s="163"/>
      <c r="J214" s="1"/>
      <c r="K214" s="1"/>
      <c r="L214" s="1"/>
      <c r="M214" s="201"/>
      <c r="S214" s="169"/>
      <c r="BA214" s="25"/>
      <c r="BB214" s="25"/>
      <c r="BC214" s="25"/>
    </row>
    <row r="215" spans="1:55" ht="24" customHeight="1">
      <c r="A215" s="399" t="s">
        <v>195</v>
      </c>
      <c r="B215" s="20"/>
      <c r="C215" s="20"/>
      <c r="D215" s="34"/>
      <c r="E215" s="17"/>
      <c r="F215" s="22"/>
      <c r="G215" s="22"/>
      <c r="H215" s="106"/>
      <c r="L215" s="1"/>
      <c r="M215" s="201"/>
      <c r="AK215" s="146"/>
      <c r="BA215" s="25"/>
      <c r="BB215" s="25"/>
      <c r="BC215" s="25"/>
    </row>
    <row r="216" spans="1:55" ht="15.75">
      <c r="A216" s="21"/>
      <c r="B216" s="21"/>
      <c r="C216" s="21"/>
      <c r="D216" s="35"/>
      <c r="E216" s="17"/>
      <c r="F216" s="22"/>
      <c r="G216" s="22"/>
      <c r="H216" s="106"/>
      <c r="BA216" s="25"/>
      <c r="BB216" s="25"/>
      <c r="BC216" s="25"/>
    </row>
    <row r="217" spans="1:55" ht="18" customHeight="1">
      <c r="A217" s="43" t="s">
        <v>36</v>
      </c>
      <c r="B217" s="43"/>
      <c r="C217" s="43"/>
      <c r="D217" s="62"/>
      <c r="E217" s="17"/>
      <c r="F217" s="22"/>
      <c r="G217" s="22"/>
      <c r="H217" s="106"/>
    </row>
    <row r="218" spans="1:55" ht="15.75">
      <c r="A218" s="43" t="s">
        <v>29</v>
      </c>
      <c r="B218" s="43"/>
      <c r="C218" s="43"/>
      <c r="D218" s="62"/>
      <c r="E218" s="17"/>
      <c r="F218" s="22"/>
      <c r="G218" s="22"/>
      <c r="H218" s="106"/>
      <c r="Q218" s="1" t="s">
        <v>38</v>
      </c>
    </row>
    <row r="219" spans="1:55" ht="15.75">
      <c r="A219" s="43" t="s">
        <v>985</v>
      </c>
      <c r="B219" s="43"/>
      <c r="C219" s="43"/>
      <c r="D219" s="62"/>
      <c r="E219" s="17"/>
      <c r="F219" s="22"/>
      <c r="G219" s="22"/>
      <c r="H219" s="106"/>
      <c r="I219" s="25"/>
      <c r="Q219" s="228" t="s">
        <v>150</v>
      </c>
      <c r="R219" s="228"/>
    </row>
    <row r="220" spans="1:55">
      <c r="B220" s="2"/>
      <c r="C220" s="2"/>
      <c r="D220" s="26"/>
      <c r="I220" s="25"/>
      <c r="Q220" s="131" t="s">
        <v>40</v>
      </c>
      <c r="R220" s="131"/>
      <c r="S220" s="68"/>
      <c r="T220" s="68"/>
      <c r="U220" s="78"/>
      <c r="V220" s="217" t="s">
        <v>7</v>
      </c>
      <c r="W220" s="218"/>
      <c r="X220" s="68"/>
      <c r="Y220" s="68"/>
      <c r="Z220" s="217" t="s">
        <v>141</v>
      </c>
      <c r="AA220" s="218"/>
      <c r="AB220" s="68"/>
      <c r="AC220" s="68"/>
    </row>
    <row r="221" spans="1:55" ht="39.75" customHeight="1">
      <c r="A221" s="63"/>
      <c r="B221" s="64" t="s">
        <v>62</v>
      </c>
      <c r="C221" s="36"/>
      <c r="D221" s="64" t="s">
        <v>63</v>
      </c>
      <c r="E221" s="65" t="s">
        <v>28</v>
      </c>
      <c r="F221" s="65" t="s">
        <v>45</v>
      </c>
      <c r="G221" s="66" t="s">
        <v>28</v>
      </c>
      <c r="H221" s="121" t="s">
        <v>59</v>
      </c>
      <c r="I221" s="74"/>
      <c r="Q221" s="69"/>
      <c r="R221" s="69" t="s">
        <v>62</v>
      </c>
      <c r="S221" s="69" t="s">
        <v>63</v>
      </c>
      <c r="T221" s="70" t="s">
        <v>45</v>
      </c>
      <c r="U221" s="79" t="s">
        <v>31</v>
      </c>
      <c r="V221" s="219" t="s">
        <v>62</v>
      </c>
      <c r="W221" s="69" t="s">
        <v>63</v>
      </c>
      <c r="X221" s="70" t="s">
        <v>45</v>
      </c>
      <c r="Y221" s="70" t="s">
        <v>31</v>
      </c>
      <c r="Z221" s="219" t="s">
        <v>62</v>
      </c>
      <c r="AA221" s="69" t="s">
        <v>63</v>
      </c>
      <c r="AB221" s="70" t="s">
        <v>45</v>
      </c>
      <c r="AC221" s="70" t="s">
        <v>31</v>
      </c>
    </row>
    <row r="222" spans="1:55" ht="11.25" customHeight="1">
      <c r="A222" s="1" t="s">
        <v>64</v>
      </c>
      <c r="B222" s="67">
        <f>+GETPIVOTDATA("Grand Total FTE - New",'FTE Pivot for regular counts'!$A$2,"Category2","Four-Year")</f>
        <v>2371948.7045</v>
      </c>
      <c r="D222" s="15">
        <f>+GETPIVOTDATA("Grand Total FTE - New",'FTE Pivot for regular counts'!$A$2,"Category2","Two-Year")</f>
        <v>1856577.5441111112</v>
      </c>
      <c r="F222" s="39">
        <f>+GETPIVOTDATA("Grand Total FTE - New",'FTE Pivot for regular counts'!$A$2,"Category2","Technical")</f>
        <v>132080.94333333333</v>
      </c>
      <c r="G222" s="37"/>
      <c r="H222" s="122">
        <f>+F222+D222+B222</f>
        <v>4360607.1919444446</v>
      </c>
      <c r="I222" s="25"/>
      <c r="Q222" s="1" t="s">
        <v>64</v>
      </c>
      <c r="R222" s="67">
        <f>+GETPIVOTDATA("Grand Total FTE - Old",'FTE Pivot for regular counts'!$A$2,"Category2","Four-Year")</f>
        <v>2372085.9733333332</v>
      </c>
      <c r="S222" s="15">
        <f>+GETPIVOTDATA("Grand Total FTE - Old",'FTE Pivot for regular counts'!$A$2,"Category2","Two-Year")</f>
        <v>1927439.4079999998</v>
      </c>
      <c r="T222" s="39">
        <f>+GETPIVOTDATA("Grand Total FTE - Old",'FTE Pivot for regular counts'!$A$2,"Category2","Technical")</f>
        <v>156527.10719999997</v>
      </c>
      <c r="U222" s="88">
        <f>SUM(R222:T222)</f>
        <v>4456052.4885333329</v>
      </c>
      <c r="V222" s="436">
        <f>+B222-R222</f>
        <v>-137.26883333316073</v>
      </c>
      <c r="W222" s="437">
        <f>+D222-S222</f>
        <v>-70861.86388888862</v>
      </c>
      <c r="X222" s="438">
        <f>+F222-T222</f>
        <v>-24446.16386666664</v>
      </c>
      <c r="Y222" s="438">
        <f>+H222-U222</f>
        <v>-95445.296588888392</v>
      </c>
      <c r="Z222" s="220">
        <f>(B222-R222)/R222</f>
        <v>-5.7868405646472442E-5</v>
      </c>
      <c r="AA222" s="221">
        <f>(D222-S222)/S222</f>
        <v>-3.6764768632814332E-2</v>
      </c>
      <c r="AB222" s="71">
        <f t="shared" ref="AB222:AB239" si="20">IF(T222&gt;0,((F222-T222)/T222),)</f>
        <v>-0.15617846840695107</v>
      </c>
      <c r="AC222" s="71">
        <f>(H222-U222)/U222</f>
        <v>-2.1419248726197861E-2</v>
      </c>
      <c r="AI222" s="96"/>
      <c r="AJ222" s="96"/>
      <c r="AK222" s="96"/>
      <c r="AL222" s="96"/>
    </row>
    <row r="223" spans="1:55" ht="15" customHeight="1">
      <c r="B223" s="15"/>
      <c r="D223" s="15"/>
      <c r="F223" s="15"/>
      <c r="G223" s="37"/>
      <c r="H223" s="15"/>
      <c r="I223" s="25"/>
      <c r="R223" s="15"/>
      <c r="S223" s="15"/>
      <c r="T223" s="15"/>
      <c r="U223" s="15"/>
      <c r="V223" s="436"/>
      <c r="W223" s="437"/>
      <c r="X223" s="438"/>
      <c r="Y223" s="438"/>
      <c r="Z223" s="220"/>
      <c r="AA223" s="221"/>
      <c r="AB223" s="71">
        <f t="shared" si="20"/>
        <v>0</v>
      </c>
      <c r="AC223" s="71"/>
      <c r="AI223" s="96"/>
      <c r="AJ223" s="96"/>
      <c r="AK223" s="96"/>
      <c r="AL223" s="96"/>
    </row>
    <row r="224" spans="1:55" ht="13.5" customHeight="1">
      <c r="A224" s="1" t="s">
        <v>65</v>
      </c>
      <c r="B224" s="15">
        <f>+GETPIVOTDATA("Grand Total FTE - New",'FTE Pivot for regular counts'!$A$2,"State","AL","Category2","Four-Year")</f>
        <v>129843.50833333333</v>
      </c>
      <c r="D224" s="15">
        <f>+GETPIVOTDATA("Grand Total FTE - New",'FTE Pivot for regular counts'!$A$2,"State","AL","Category2","Two-Year")</f>
        <v>67231.166666666672</v>
      </c>
      <c r="F224" s="39">
        <f>+GETPIVOTDATA("Grand Total FTE - New",'FTE Pivot for regular counts'!$A$2,"State","AL","Category2","Technical")</f>
        <v>3451.3999999999996</v>
      </c>
      <c r="G224" s="37"/>
      <c r="H224" s="122">
        <f t="shared" ref="H224:H239" si="21">+F224+D224+B224</f>
        <v>200526.07500000001</v>
      </c>
      <c r="I224" s="25"/>
      <c r="Q224" s="1" t="s">
        <v>65</v>
      </c>
      <c r="R224" s="15">
        <f>+GETPIVOTDATA("Grand Total FTE - Old",'FTE Pivot for regular counts'!$A$2,"State","AL","Category2","Four-Year")</f>
        <v>133098.68333333335</v>
      </c>
      <c r="S224" s="15">
        <f>+GETPIVOTDATA("Grand Total FTE - Old",'FTE Pivot for regular counts'!$A$2,"State","AL","Category2","Two-Year")</f>
        <v>74494.700000000012</v>
      </c>
      <c r="T224" s="39">
        <f>+GETPIVOTDATA("Grand Total FTE - Old",'FTE Pivot for regular counts'!$A$2,"State","AL","Category2","Technical")</f>
        <v>4118.5666666666666</v>
      </c>
      <c r="U224" s="89">
        <f t="shared" ref="U224:U239" si="22">SUM(R224:T224)</f>
        <v>211711.95000000004</v>
      </c>
      <c r="V224" s="436">
        <f t="shared" ref="V224:V239" si="23">+B224-R224</f>
        <v>-3255.1750000000175</v>
      </c>
      <c r="W224" s="437">
        <f t="shared" ref="W224:W239" si="24">+D224-S224</f>
        <v>-7263.5333333333401</v>
      </c>
      <c r="X224" s="438">
        <f t="shared" ref="X224:X239" si="25">+F224-T224</f>
        <v>-667.16666666666697</v>
      </c>
      <c r="Y224" s="438">
        <f t="shared" ref="Y224:Y239" si="26">+H224-U224</f>
        <v>-11185.875000000029</v>
      </c>
      <c r="Z224" s="220">
        <f t="shared" ref="Z224:Z239" si="27">(B224-R224)/R224</f>
        <v>-2.445685350506235E-2</v>
      </c>
      <c r="AA224" s="221">
        <f t="shared" ref="AA224:AA239" si="28">(D224-S224)/S224</f>
        <v>-9.7504028250779431E-2</v>
      </c>
      <c r="AB224" s="71">
        <f t="shared" si="20"/>
        <v>-0.16199001270668606</v>
      </c>
      <c r="AC224" s="71">
        <f t="shared" ref="AC224:AC239" si="29">(H224-U224)/U224</f>
        <v>-5.283535010659543E-2</v>
      </c>
      <c r="AI224" s="96"/>
      <c r="AJ224" s="96"/>
      <c r="AK224" s="96"/>
      <c r="AL224" s="96"/>
    </row>
    <row r="225" spans="1:83" ht="15" customHeight="1">
      <c r="A225" s="4" t="s">
        <v>66</v>
      </c>
      <c r="B225" s="15">
        <f>+GETPIVOTDATA("Grand Total FTE - New",'FTE Pivot for regular counts'!$A$2,"State","AR","Category2","Four-Year")</f>
        <v>80386.45</v>
      </c>
      <c r="D225" s="15">
        <f>+GETPIVOTDATA("Grand Total FTE - New",'FTE Pivot for regular counts'!$A$2,"State","AR","Category2","Two-Year")</f>
        <v>42192.233333333337</v>
      </c>
      <c r="F225" s="39">
        <f>+GETPIVOTDATA("Grand Total FTE - New",'FTE Pivot for regular counts'!$A$2,"State","AR","Category2","Technical")</f>
        <v>0</v>
      </c>
      <c r="G225" s="37"/>
      <c r="H225" s="122">
        <f t="shared" si="21"/>
        <v>122578.68333333333</v>
      </c>
      <c r="I225" s="25"/>
      <c r="Q225" s="4" t="s">
        <v>66</v>
      </c>
      <c r="R225" s="15">
        <f>+GETPIVOTDATA("Grand Total FTE - Old",'FTE Pivot for regular counts'!$A$2,"State","AR","Category2","Four-Year")</f>
        <v>79984.641666666663</v>
      </c>
      <c r="S225" s="15">
        <f>+GETPIVOTDATA("Grand Total FTE - Old",'FTE Pivot for regular counts'!$A$2,"State","AR","Category2","Two-Year")</f>
        <v>44565.366666666676</v>
      </c>
      <c r="T225" s="39">
        <f>+GETPIVOTDATA("Grand Total FTE - Old",'FTE Pivot for regular counts'!$A$2,"State","AR","Category2","Technical")</f>
        <v>0</v>
      </c>
      <c r="U225" s="89">
        <f t="shared" si="22"/>
        <v>124550.00833333333</v>
      </c>
      <c r="V225" s="436">
        <f t="shared" si="23"/>
        <v>401.8083333333343</v>
      </c>
      <c r="W225" s="437">
        <f t="shared" si="24"/>
        <v>-2373.1333333333387</v>
      </c>
      <c r="X225" s="438">
        <f t="shared" si="25"/>
        <v>0</v>
      </c>
      <c r="Y225" s="438">
        <f t="shared" si="26"/>
        <v>-1971.3249999999971</v>
      </c>
      <c r="Z225" s="220">
        <f t="shared" si="27"/>
        <v>5.0235685871777387E-3</v>
      </c>
      <c r="AA225" s="221">
        <f t="shared" si="28"/>
        <v>-5.3250618380042608E-2</v>
      </c>
      <c r="AB225" s="71">
        <f t="shared" si="20"/>
        <v>0</v>
      </c>
      <c r="AC225" s="71">
        <f t="shared" si="29"/>
        <v>-1.582757822644329E-2</v>
      </c>
      <c r="AI225" s="96"/>
      <c r="AJ225" s="96"/>
      <c r="AK225" s="96"/>
      <c r="AL225" s="96"/>
    </row>
    <row r="226" spans="1:83" ht="15" customHeight="1">
      <c r="A226" s="1" t="s">
        <v>102</v>
      </c>
      <c r="B226" s="103">
        <f>+GETPIVOTDATA("Grand Total FTE - New",'FTE Pivot for regular counts'!$A$2,"State","DE","Category2","Four-Year")</f>
        <v>23940.275000000001</v>
      </c>
      <c r="D226" s="15">
        <f>+GETPIVOTDATA("Grand Total FTE - New",'FTE Pivot for regular counts'!$A$2,"State","DE","Category2","Two-Year")</f>
        <v>10774.966666666667</v>
      </c>
      <c r="F226" s="39">
        <f>+GETPIVOTDATA("Grand Total FTE - New",'FTE Pivot for regular counts'!$A$2,"State","DE","Category2","Technical")</f>
        <v>0</v>
      </c>
      <c r="G226" s="37"/>
      <c r="H226" s="122">
        <f t="shared" si="21"/>
        <v>34715.241666666669</v>
      </c>
      <c r="I226" s="25"/>
      <c r="Q226" s="1" t="s">
        <v>102</v>
      </c>
      <c r="R226" s="103">
        <f>+GETPIVOTDATA("Grand Total FTE - Old",'FTE Pivot for regular counts'!$A$2,"State","DE","Category2","Four-Year")</f>
        <v>23455.125</v>
      </c>
      <c r="S226" s="15">
        <f>+GETPIVOTDATA("Grand Total FTE - Old",'FTE Pivot for regular counts'!$A$2,"State","DE","Category2","Two-Year")</f>
        <v>11217.333333333332</v>
      </c>
      <c r="T226" s="39">
        <f>+GETPIVOTDATA("Grand Total FTE - Old",'FTE Pivot for regular counts'!$A$2,"State","DE","Category2","Technical")</f>
        <v>0</v>
      </c>
      <c r="U226" s="89">
        <f t="shared" si="22"/>
        <v>34672.458333333328</v>
      </c>
      <c r="V226" s="436">
        <f t="shared" si="23"/>
        <v>485.15000000000146</v>
      </c>
      <c r="W226" s="437">
        <f t="shared" si="24"/>
        <v>-442.36666666666497</v>
      </c>
      <c r="X226" s="438">
        <f t="shared" si="25"/>
        <v>0</v>
      </c>
      <c r="Y226" s="438">
        <f t="shared" si="26"/>
        <v>42.783333333340124</v>
      </c>
      <c r="Z226" s="220">
        <f t="shared" si="27"/>
        <v>2.0684178830852593E-2</v>
      </c>
      <c r="AA226" s="221">
        <f t="shared" si="28"/>
        <v>-3.9435991917270742E-2</v>
      </c>
      <c r="AB226" s="71">
        <f t="shared" si="20"/>
        <v>0</v>
      </c>
      <c r="AC226" s="71">
        <f t="shared" si="29"/>
        <v>1.2339284662780654E-3</v>
      </c>
      <c r="AI226" s="96"/>
      <c r="AJ226" s="96"/>
      <c r="AK226" s="96"/>
      <c r="AL226" s="96"/>
    </row>
    <row r="227" spans="1:83" ht="15" customHeight="1">
      <c r="A227" s="1" t="s">
        <v>67</v>
      </c>
      <c r="B227" s="15">
        <f>+GETPIVOTDATA("Grand Total FTE - New",'FTE Pivot for regular counts'!$A$2,"State","FL","Category2","Four-Year")</f>
        <v>295499.88750000001</v>
      </c>
      <c r="D227" s="15">
        <f>+GETPIVOTDATA("Grand Total FTE - New",'FTE Pivot for regular counts'!$A$2,"State","FL","Category2","Two-Year")</f>
        <v>359004.58</v>
      </c>
      <c r="F227" s="39">
        <f>+GETPIVOTDATA("Grand Total FTE - New",'FTE Pivot for regular counts'!$A$2,"State","FL","Category2","Technical")</f>
        <v>0</v>
      </c>
      <c r="G227" s="37"/>
      <c r="H227" s="122">
        <f t="shared" si="21"/>
        <v>654504.46750000003</v>
      </c>
      <c r="I227" s="25"/>
      <c r="Q227" s="1" t="s">
        <v>67</v>
      </c>
      <c r="R227" s="15">
        <f>+GETPIVOTDATA("Grand Total FTE - Old",'FTE Pivot for regular counts'!$A$2,"State","FL","Category2","Four-Year")</f>
        <v>293118.36666666664</v>
      </c>
      <c r="S227" s="15">
        <f>+GETPIVOTDATA("Grand Total FTE - Old",'FTE Pivot for regular counts'!$A$2,"State","FL","Category2","Two-Year")</f>
        <v>377940.24888888892</v>
      </c>
      <c r="T227" s="39">
        <f>+GETPIVOTDATA("Grand Total FTE - Old",'FTE Pivot for regular counts'!$A$2,"State","FL","Category2","Technical")</f>
        <v>0</v>
      </c>
      <c r="U227" s="89">
        <f t="shared" si="22"/>
        <v>671058.61555555556</v>
      </c>
      <c r="V227" s="436">
        <f t="shared" si="23"/>
        <v>2381.5208333333721</v>
      </c>
      <c r="W227" s="437">
        <f t="shared" si="24"/>
        <v>-18935.668888888904</v>
      </c>
      <c r="X227" s="438">
        <f t="shared" si="25"/>
        <v>0</v>
      </c>
      <c r="Y227" s="438">
        <f t="shared" si="26"/>
        <v>-16554.148055555532</v>
      </c>
      <c r="Z227" s="220">
        <f t="shared" si="27"/>
        <v>8.1247751903640707E-3</v>
      </c>
      <c r="AA227" s="221">
        <f t="shared" si="28"/>
        <v>-5.0102281893918695E-2</v>
      </c>
      <c r="AB227" s="71">
        <f t="shared" si="20"/>
        <v>0</v>
      </c>
      <c r="AC227" s="71">
        <f t="shared" si="29"/>
        <v>-2.4668706535942012E-2</v>
      </c>
      <c r="AI227" s="96"/>
      <c r="AJ227" s="96"/>
      <c r="AK227" s="96"/>
      <c r="AL227" s="96"/>
    </row>
    <row r="228" spans="1:83" ht="15" customHeight="1">
      <c r="A228" s="1" t="s">
        <v>68</v>
      </c>
      <c r="B228" s="15">
        <f>+GETPIVOTDATA("Grand Total FTE - New",'FTE Pivot for regular counts'!$A$2,"State","GA","Category2","Four-Year")</f>
        <v>215304.59249999997</v>
      </c>
      <c r="D228" s="15">
        <f>+GETPIVOTDATA("Grand Total FTE - New",'FTE Pivot for regular counts'!$A$2,"State","GA","Category2","Two-Year")</f>
        <v>59698.85</v>
      </c>
      <c r="F228" s="39">
        <f>+GETPIVOTDATA("Grand Total FTE - New",'FTE Pivot for regular counts'!$A$2,"State","GA","Category2","Technical")</f>
        <v>77975.723333333342</v>
      </c>
      <c r="G228" s="37"/>
      <c r="H228" s="122">
        <f t="shared" si="21"/>
        <v>352979.16583333327</v>
      </c>
      <c r="I228" s="25"/>
      <c r="Q228" s="1" t="s">
        <v>68</v>
      </c>
      <c r="R228" s="15">
        <f>+GETPIVOTDATA("Grand Total FTE - Old",'FTE Pivot for regular counts'!$A$2,"State","GA","Category2","Four-Year")</f>
        <v>214846.54166666666</v>
      </c>
      <c r="S228" s="15">
        <f>+GETPIVOTDATA("Grand Total FTE - Old",'FTE Pivot for regular counts'!$A$2,"State","GA","Category2","Two-Year")</f>
        <v>64346.933333333327</v>
      </c>
      <c r="T228" s="39">
        <f>+GETPIVOTDATA("Grand Total FTE - Old",'FTE Pivot for regular counts'!$A$2,"State","GA","Category2","Technical")</f>
        <v>96674.833333333328</v>
      </c>
      <c r="U228" s="89">
        <f t="shared" si="22"/>
        <v>375868.30833333329</v>
      </c>
      <c r="V228" s="436">
        <f t="shared" si="23"/>
        <v>458.05083333331277</v>
      </c>
      <c r="W228" s="437">
        <f t="shared" si="24"/>
        <v>-4648.0833333333285</v>
      </c>
      <c r="X228" s="438">
        <f t="shared" si="25"/>
        <v>-18699.109999999986</v>
      </c>
      <c r="Y228" s="438">
        <f t="shared" si="26"/>
        <v>-22889.142500000016</v>
      </c>
      <c r="Z228" s="220">
        <f t="shared" si="27"/>
        <v>2.1319907212841078E-3</v>
      </c>
      <c r="AA228" s="221">
        <f t="shared" si="28"/>
        <v>-7.2234729653005925E-2</v>
      </c>
      <c r="AB228" s="71">
        <f t="shared" si="20"/>
        <v>-0.19342272807986899</v>
      </c>
      <c r="AC228" s="71">
        <f t="shared" si="29"/>
        <v>-6.0896707683322733E-2</v>
      </c>
      <c r="AI228" s="96"/>
      <c r="AJ228" s="96"/>
      <c r="AK228" s="96"/>
      <c r="AL228" s="96"/>
    </row>
    <row r="229" spans="1:83" ht="15" customHeight="1">
      <c r="A229" s="1" t="s">
        <v>69</v>
      </c>
      <c r="B229" s="15">
        <f>+GETPIVOTDATA("Grand Total FTE - New",'FTE Pivot for regular counts'!$A$2,"State","KY","Category2","Four-Year")</f>
        <v>101030.05</v>
      </c>
      <c r="D229" s="15">
        <f>+GETPIVOTDATA("Grand Total FTE - New",'FTE Pivot for regular counts'!$A$2,"State","KY","Category2","Two-Year")</f>
        <v>51219.366666666669</v>
      </c>
      <c r="F229" s="39">
        <f>+GETPIVOTDATA("Grand Total FTE - New",'FTE Pivot for regular counts'!$A$2,"State","KY","Category2","Technical")</f>
        <v>5047.0666666666666</v>
      </c>
      <c r="G229" s="37"/>
      <c r="H229" s="122">
        <f t="shared" si="21"/>
        <v>157296.48333333334</v>
      </c>
      <c r="I229" s="25"/>
      <c r="Q229" s="1" t="s">
        <v>69</v>
      </c>
      <c r="R229" s="15">
        <f>+GETPIVOTDATA("Grand Total FTE - Old",'FTE Pivot for regular counts'!$A$2,"State","KY","Category2","Four-Year")</f>
        <v>100902.69166666668</v>
      </c>
      <c r="S229" s="15">
        <f>+GETPIVOTDATA("Grand Total FTE - Old",'FTE Pivot for regular counts'!$A$2,"State","KY","Category2","Two-Year")</f>
        <v>56073.700000000004</v>
      </c>
      <c r="T229" s="39">
        <f>+GETPIVOTDATA("Grand Total FTE - Old",'FTE Pivot for regular counts'!$A$2,"State","KY","Category2","Technical")</f>
        <v>4817.2</v>
      </c>
      <c r="U229" s="89">
        <f t="shared" si="22"/>
        <v>161793.5916666667</v>
      </c>
      <c r="V229" s="436">
        <f t="shared" si="23"/>
        <v>127.35833333332266</v>
      </c>
      <c r="W229" s="437">
        <f t="shared" si="24"/>
        <v>-4854.3333333333358</v>
      </c>
      <c r="X229" s="438">
        <f t="shared" si="25"/>
        <v>229.86666666666679</v>
      </c>
      <c r="Y229" s="438">
        <f t="shared" si="26"/>
        <v>-4497.1083333333663</v>
      </c>
      <c r="Z229" s="220">
        <f t="shared" si="27"/>
        <v>1.2621896525223781E-3</v>
      </c>
      <c r="AA229" s="221">
        <f t="shared" si="28"/>
        <v>-8.6570590728511504E-2</v>
      </c>
      <c r="AB229" s="71">
        <f t="shared" si="20"/>
        <v>4.7717899748124799E-2</v>
      </c>
      <c r="AC229" s="71">
        <f t="shared" si="29"/>
        <v>-2.7795342738904515E-2</v>
      </c>
      <c r="AI229" s="96"/>
      <c r="AJ229" s="96"/>
      <c r="AK229" s="96"/>
      <c r="AL229" s="96"/>
    </row>
    <row r="230" spans="1:83" ht="15" customHeight="1">
      <c r="A230" s="1" t="s">
        <v>70</v>
      </c>
      <c r="B230" s="15">
        <f>+GETPIVOTDATA("Grand Total FTE - New",'FTE Pivot for regular counts'!$A$2,"State","LA","Category2","Four-Year")</f>
        <v>122632.96666666667</v>
      </c>
      <c r="D230" s="15">
        <f>+GETPIVOTDATA("Grand Total FTE - New",'FTE Pivot for regular counts'!$A$2,"State","LA","Category2","Two-Year")</f>
        <v>41314.183333333327</v>
      </c>
      <c r="F230" s="39">
        <f>+GETPIVOTDATA("Grand Total FTE - New",'FTE Pivot for regular counts'!$A$2,"State","LA","Category2","Technical")</f>
        <v>14294.913333333334</v>
      </c>
      <c r="G230" s="37"/>
      <c r="H230" s="122">
        <f t="shared" si="21"/>
        <v>178242.06333333335</v>
      </c>
      <c r="I230" s="25"/>
      <c r="Q230" s="1" t="s">
        <v>70</v>
      </c>
      <c r="R230" s="15">
        <f>+GETPIVOTDATA("Grand Total FTE - Old",'FTE Pivot for regular counts'!$A$2,"State","LA","Category2","Four-Year")</f>
        <v>125882.44166666665</v>
      </c>
      <c r="S230" s="15">
        <f>+GETPIVOTDATA("Grand Total FTE - Old",'FTE Pivot for regular counts'!$A$2,"State","LA","Category2","Two-Year")</f>
        <v>37569.033333333333</v>
      </c>
      <c r="T230" s="39">
        <f>+GETPIVOTDATA("Grand Total FTE - Old",'FTE Pivot for regular counts'!$A$2,"State","LA","Category2","Technical")</f>
        <v>18658.816666666669</v>
      </c>
      <c r="U230" s="89">
        <f t="shared" si="22"/>
        <v>182110.29166666666</v>
      </c>
      <c r="V230" s="436">
        <f t="shared" si="23"/>
        <v>-3249.4749999999767</v>
      </c>
      <c r="W230" s="437">
        <f t="shared" si="24"/>
        <v>3745.1499999999942</v>
      </c>
      <c r="X230" s="438">
        <f t="shared" si="25"/>
        <v>-4363.9033333333355</v>
      </c>
      <c r="Y230" s="438">
        <f t="shared" si="26"/>
        <v>-3868.2283333333035</v>
      </c>
      <c r="Z230" s="220">
        <f t="shared" si="27"/>
        <v>-2.5813568254455216E-2</v>
      </c>
      <c r="AA230" s="221">
        <f t="shared" si="28"/>
        <v>9.9687153693067979E-2</v>
      </c>
      <c r="AB230" s="71">
        <f t="shared" si="20"/>
        <v>-0.23387889014040733</v>
      </c>
      <c r="AC230" s="71">
        <f t="shared" si="29"/>
        <v>-2.1241129745778894E-2</v>
      </c>
      <c r="AI230" s="96"/>
      <c r="AJ230" s="96"/>
      <c r="AK230" s="96"/>
      <c r="AL230" s="96"/>
    </row>
    <row r="231" spans="1:83" ht="15" customHeight="1">
      <c r="A231" s="1" t="s">
        <v>71</v>
      </c>
      <c r="B231" s="15">
        <f>+GETPIVOTDATA("Grand Total FTE - New",'FTE Pivot for regular counts'!$A$2,"State","MD","Category2","Four-Year")</f>
        <v>103770.45000000001</v>
      </c>
      <c r="D231" s="15">
        <f>+GETPIVOTDATA("Grand Total FTE - New",'FTE Pivot for regular counts'!$A$2,"State","MD","Category2","Two-Year")</f>
        <v>104485.51666666666</v>
      </c>
      <c r="F231" s="39">
        <f>+GETPIVOTDATA("Grand Total FTE - New",'FTE Pivot for regular counts'!$A$2,"State","MD","Category2","Technical")</f>
        <v>0</v>
      </c>
      <c r="G231" s="37"/>
      <c r="H231" s="122">
        <f t="shared" si="21"/>
        <v>208255.96666666667</v>
      </c>
      <c r="I231" s="25"/>
      <c r="Q231" s="1" t="s">
        <v>71</v>
      </c>
      <c r="R231" s="15">
        <f>+GETPIVOTDATA("Grand Total FTE - Old",'FTE Pivot for regular counts'!$A$2,"State","MD","Category2","Four-Year")</f>
        <v>103809.74166666665</v>
      </c>
      <c r="S231" s="15">
        <f>+GETPIVOTDATA("Grand Total FTE - Old",'FTE Pivot for regular counts'!$A$2,"State","MD","Category2","Two-Year")</f>
        <v>99199.325000000012</v>
      </c>
      <c r="T231" s="39">
        <f>+GETPIVOTDATA("Grand Total FTE - Old",'FTE Pivot for regular counts'!$A$2,"State","MD","Category2","Technical")</f>
        <v>0</v>
      </c>
      <c r="U231" s="89">
        <f t="shared" si="22"/>
        <v>203009.06666666665</v>
      </c>
      <c r="V231" s="436">
        <f t="shared" si="23"/>
        <v>-39.291666666642413</v>
      </c>
      <c r="W231" s="437">
        <f t="shared" si="24"/>
        <v>5286.1916666666511</v>
      </c>
      <c r="X231" s="438">
        <f t="shared" si="25"/>
        <v>0</v>
      </c>
      <c r="Y231" s="438">
        <f t="shared" si="26"/>
        <v>5246.9000000000233</v>
      </c>
      <c r="Z231" s="220">
        <f t="shared" si="27"/>
        <v>-3.7849691209913665E-4</v>
      </c>
      <c r="AA231" s="221">
        <f t="shared" si="28"/>
        <v>5.3288585044975363E-2</v>
      </c>
      <c r="AB231" s="71">
        <f t="shared" si="20"/>
        <v>0</v>
      </c>
      <c r="AC231" s="71">
        <f t="shared" si="29"/>
        <v>2.5845643675684881E-2</v>
      </c>
      <c r="AI231" s="96"/>
      <c r="AJ231" s="96"/>
      <c r="AK231" s="96"/>
      <c r="AL231" s="96"/>
    </row>
    <row r="232" spans="1:83" ht="15" customHeight="1">
      <c r="A232" s="1" t="s">
        <v>72</v>
      </c>
      <c r="B232" s="15">
        <f>+GETPIVOTDATA("Grand Total FTE - New",'FTE Pivot for regular counts'!$A$2,"State","MS","Category2","Four-Year")</f>
        <v>67881.925000000003</v>
      </c>
      <c r="D232" s="15">
        <f>+GETPIVOTDATA("Grand Total FTE - New",'FTE Pivot for regular counts'!$A$2,"State","Ms","Category2","Two-Year")</f>
        <v>65849.866666666669</v>
      </c>
      <c r="F232" s="39">
        <f>+GETPIVOTDATA("Grand Total FTE - New",'FTE Pivot for regular counts'!$A$2,"State","MS","Category2","Technical")</f>
        <v>0</v>
      </c>
      <c r="G232" s="37"/>
      <c r="H232" s="122">
        <f t="shared" si="21"/>
        <v>133731.79166666669</v>
      </c>
      <c r="I232" s="25"/>
      <c r="Q232" s="1" t="s">
        <v>72</v>
      </c>
      <c r="R232" s="15">
        <f>+GETPIVOTDATA("Grand Total FTE - Old",'FTE Pivot for regular counts'!$A$2,"State","MS","Category2","Four-Year")</f>
        <v>67735.275000000009</v>
      </c>
      <c r="S232" s="15">
        <f>+GETPIVOTDATA("Grand Total FTE - Old",'FTE Pivot for regular counts'!$A$2,"State","MS","Category2","Two-Year")</f>
        <v>72117.55</v>
      </c>
      <c r="T232" s="39">
        <f>+GETPIVOTDATA("Grand Total FTE - Old",'FTE Pivot for regular counts'!$A$2,"State","MS","Category2","Technical")</f>
        <v>0</v>
      </c>
      <c r="U232" s="89">
        <f t="shared" si="22"/>
        <v>139852.82500000001</v>
      </c>
      <c r="V232" s="436">
        <f t="shared" si="23"/>
        <v>146.64999999999418</v>
      </c>
      <c r="W232" s="437">
        <f t="shared" si="24"/>
        <v>-6267.6833333333343</v>
      </c>
      <c r="X232" s="438">
        <f t="shared" si="25"/>
        <v>0</v>
      </c>
      <c r="Y232" s="438">
        <f t="shared" si="26"/>
        <v>-6121.0333333333256</v>
      </c>
      <c r="Z232" s="220">
        <f t="shared" si="27"/>
        <v>2.1650462037689248E-3</v>
      </c>
      <c r="AA232" s="221">
        <f t="shared" si="28"/>
        <v>-8.6909265959996346E-2</v>
      </c>
      <c r="AB232" s="71">
        <f t="shared" si="20"/>
        <v>0</v>
      </c>
      <c r="AC232" s="71">
        <f t="shared" si="29"/>
        <v>-4.3767677437572858E-2</v>
      </c>
      <c r="AI232" s="96"/>
      <c r="AJ232" s="96"/>
      <c r="AK232" s="96"/>
      <c r="AL232" s="96"/>
    </row>
    <row r="233" spans="1:83" ht="12" customHeight="1">
      <c r="A233" s="1" t="s">
        <v>73</v>
      </c>
      <c r="B233" s="15">
        <f>+GETPIVOTDATA("Grand Total FTE - New",'FTE Pivot for regular counts'!$A$2,"State","NC","Category2","Four-Year")</f>
        <v>196043.05000000002</v>
      </c>
      <c r="D233" s="15">
        <f>+GETPIVOTDATA("Grand Total FTE - New",'FTE Pivot for regular counts'!$A$2,"State","NC","Category2","Two-Year")</f>
        <v>209716.12666666665</v>
      </c>
      <c r="F233" s="39">
        <f>+GETPIVOTDATA("Grand Total FTE - New",'FTE Pivot for regular counts'!$A$2,"State","NC","Category2","Technical")</f>
        <v>0</v>
      </c>
      <c r="G233" s="37"/>
      <c r="H233" s="122">
        <f t="shared" si="21"/>
        <v>405759.17666666664</v>
      </c>
      <c r="I233" s="25"/>
      <c r="Q233" s="1" t="s">
        <v>73</v>
      </c>
      <c r="R233" s="15">
        <f>+GETPIVOTDATA("Grand Total FTE - Old",'FTE Pivot for regular counts'!$A$2,"State","NC","Category2","Four-Year")</f>
        <v>198718.67500000002</v>
      </c>
      <c r="S233" s="15">
        <f>+GETPIVOTDATA("Grand Total FTE - Old",'FTE Pivot for regular counts'!$A$2,"State","NC","Category2","Two-Year")</f>
        <v>215482.67888888888</v>
      </c>
      <c r="T233" s="39">
        <f>+GETPIVOTDATA("Grand Total FTE - Old",'FTE Pivot for regular counts'!$A$2,"State","NC","Category2","Technical")</f>
        <v>0</v>
      </c>
      <c r="U233" s="89">
        <f t="shared" si="22"/>
        <v>414201.3538888889</v>
      </c>
      <c r="V233" s="436">
        <f t="shared" si="23"/>
        <v>-2675.625</v>
      </c>
      <c r="W233" s="437">
        <f t="shared" si="24"/>
        <v>-5766.5522222222353</v>
      </c>
      <c r="X233" s="438">
        <f t="shared" si="25"/>
        <v>0</v>
      </c>
      <c r="Y233" s="438">
        <f t="shared" si="26"/>
        <v>-8442.1772222222644</v>
      </c>
      <c r="Z233" s="220">
        <f t="shared" si="27"/>
        <v>-1.3464386273710811E-2</v>
      </c>
      <c r="AA233" s="221">
        <f t="shared" si="28"/>
        <v>-2.6761093986564417E-2</v>
      </c>
      <c r="AB233" s="71">
        <f t="shared" si="20"/>
        <v>0</v>
      </c>
      <c r="AC233" s="71">
        <f t="shared" si="29"/>
        <v>-2.0381819477313708E-2</v>
      </c>
      <c r="AI233" s="96"/>
      <c r="AJ233" s="96"/>
      <c r="AK233" s="96"/>
      <c r="AL233" s="96"/>
    </row>
    <row r="234" spans="1:83" ht="15" customHeight="1">
      <c r="A234" s="1" t="s">
        <v>74</v>
      </c>
      <c r="B234" s="15">
        <f>+GETPIVOTDATA("Grand Total FTE - New",'FTE Pivot for regular counts'!$A$2,"State","OK","Category2","Four-Year")</f>
        <v>92510.7</v>
      </c>
      <c r="D234" s="15">
        <f>+GETPIVOTDATA("Grand Total FTE - New",'FTE Pivot for regular counts'!$A$2,"State","OK","Category2","Two-Year")</f>
        <v>53977.566666666666</v>
      </c>
      <c r="F234" s="39">
        <f>+GETPIVOTDATA("Grand Total FTE - New",'FTE Pivot for regular counts'!$A$2,"State","OK","Category2","Technical")</f>
        <v>19977.49555555555</v>
      </c>
      <c r="G234" s="37"/>
      <c r="H234" s="122">
        <f t="shared" si="21"/>
        <v>166465.76222222223</v>
      </c>
      <c r="I234" s="25"/>
      <c r="Q234" s="1" t="s">
        <v>74</v>
      </c>
      <c r="R234" s="15">
        <f>+GETPIVOTDATA("Grand Total FTE - Old",'FTE Pivot for regular counts'!$A$2,"State","OK","Category2","Four-Year")</f>
        <v>95534.825000000012</v>
      </c>
      <c r="S234" s="15">
        <f>+GETPIVOTDATA("Grand Total FTE - Old",'FTE Pivot for regular counts'!$A$2,"State","OK","Category2","Two-Year")</f>
        <v>56304.51666666667</v>
      </c>
      <c r="T234" s="67">
        <f>+GETPIVOTDATA("Grand Total FTE - Old",'FTE Pivot for regular counts'!$A$2,"State","OK","Category2","Technical")</f>
        <v>20558.918311111109</v>
      </c>
      <c r="U234" s="89">
        <f t="shared" si="22"/>
        <v>172398.25997777778</v>
      </c>
      <c r="V234" s="436">
        <f t="shared" si="23"/>
        <v>-3024.1250000000146</v>
      </c>
      <c r="W234" s="437">
        <f t="shared" si="24"/>
        <v>-2326.9500000000044</v>
      </c>
      <c r="X234" s="438">
        <f t="shared" si="25"/>
        <v>-581.42275555555898</v>
      </c>
      <c r="Y234" s="438">
        <f t="shared" si="26"/>
        <v>-5932.4977555555524</v>
      </c>
      <c r="Z234" s="220">
        <f t="shared" si="27"/>
        <v>-3.1654687178209767E-2</v>
      </c>
      <c r="AA234" s="221">
        <f t="shared" si="28"/>
        <v>-4.1327945567421989E-2</v>
      </c>
      <c r="AB234" s="71">
        <f t="shared" si="20"/>
        <v>-2.8280804795130097E-2</v>
      </c>
      <c r="AC234" s="71">
        <f t="shared" si="29"/>
        <v>-3.4411587195371081E-2</v>
      </c>
      <c r="AI234" s="96"/>
      <c r="AJ234" s="96"/>
      <c r="AK234" s="96"/>
      <c r="AL234" s="96"/>
    </row>
    <row r="235" spans="1:83" ht="15" customHeight="1">
      <c r="A235" s="1" t="s">
        <v>75</v>
      </c>
      <c r="B235" s="15">
        <f>+GETPIVOTDATA("Grand Total FTE - New",'FTE Pivot for regular counts'!$A$2,"State","SC","Category2","Four-Year")</f>
        <v>96195.596166666655</v>
      </c>
      <c r="D235" s="15">
        <f>+GETPIVOTDATA("Grand Total FTE - New",'FTE Pivot for regular counts'!$A$2,"State","SC","Category2","Two-Year")</f>
        <v>82579.409666666674</v>
      </c>
      <c r="F235" s="39">
        <f>+GETPIVOTDATA("Grand Total FTE - New",'FTE Pivot for regular counts'!$A$2,"State","SC","Category2","Technical")</f>
        <v>0</v>
      </c>
      <c r="G235" s="37"/>
      <c r="H235" s="122">
        <f t="shared" si="21"/>
        <v>178775.00583333333</v>
      </c>
      <c r="I235" s="25"/>
      <c r="Q235" s="1" t="s">
        <v>75</v>
      </c>
      <c r="R235" s="15">
        <f>+GETPIVOTDATA("Grand Total FTE - Old",'FTE Pivot for regular counts'!$A$2,"State","SC","Category2","Four-Year")</f>
        <v>94950.174999999988</v>
      </c>
      <c r="S235" s="15">
        <f>+GETPIVOTDATA("Grand Total FTE - Old",'FTE Pivot for regular counts'!$A$2,"State","SC","Category2","Two-Year")</f>
        <v>83634.409666666674</v>
      </c>
      <c r="T235" s="39">
        <f>+GETPIVOTDATA("Grand Total FTE - Old",'FTE Pivot for regular counts'!$A$2,"State","SC","Category2","Technical")</f>
        <v>0</v>
      </c>
      <c r="U235" s="89">
        <f t="shared" si="22"/>
        <v>178584.58466666666</v>
      </c>
      <c r="V235" s="436">
        <f t="shared" si="23"/>
        <v>1245.421166666667</v>
      </c>
      <c r="W235" s="437">
        <f t="shared" si="24"/>
        <v>-1055</v>
      </c>
      <c r="X235" s="438">
        <f t="shared" si="25"/>
        <v>0</v>
      </c>
      <c r="Y235" s="438">
        <f t="shared" si="26"/>
        <v>190.42116666666698</v>
      </c>
      <c r="Z235" s="220">
        <f t="shared" si="27"/>
        <v>1.3116575790056912E-2</v>
      </c>
      <c r="AA235" s="221">
        <f t="shared" si="28"/>
        <v>-1.26144251415752E-2</v>
      </c>
      <c r="AB235" s="71">
        <f t="shared" si="20"/>
        <v>0</v>
      </c>
      <c r="AC235" s="71">
        <f t="shared" si="29"/>
        <v>1.0662799760802067E-3</v>
      </c>
      <c r="AI235" s="96"/>
      <c r="AJ235" s="96"/>
      <c r="AK235" s="96"/>
      <c r="AL235" s="96"/>
    </row>
    <row r="236" spans="1:83" ht="15" customHeight="1">
      <c r="A236" s="1" t="s">
        <v>76</v>
      </c>
      <c r="B236" s="15">
        <f>+GETPIVOTDATA("Grand Total FTE - New",'FTE Pivot for regular counts'!$A$2,"State","TN","Category2","Four-Year")</f>
        <v>121770.39166666666</v>
      </c>
      <c r="D236" s="15">
        <f>+GETPIVOTDATA("Grand Total FTE - New",'FTE Pivot for regular counts'!$A$2,"State","TN","Category2","Two-Year")</f>
        <v>62992.066666666658</v>
      </c>
      <c r="F236" s="39">
        <f>+GETPIVOTDATA("Grand Total FTE - New",'FTE Pivot for regular counts'!$A$2,"State","TN","Category2","Technical")</f>
        <v>11334.344444444445</v>
      </c>
      <c r="G236" s="37"/>
      <c r="H236" s="122">
        <f t="shared" si="21"/>
        <v>196096.80277777778</v>
      </c>
      <c r="I236" s="25"/>
      <c r="Q236" s="1" t="s">
        <v>76</v>
      </c>
      <c r="R236" s="15">
        <f>+GETPIVOTDATA("Grand Total FTE - Old",'FTE Pivot for regular counts'!$A$2,"State","TN","Category2","Four-Year")</f>
        <v>122010.09166666667</v>
      </c>
      <c r="S236" s="15">
        <f>+GETPIVOTDATA("Grand Total FTE - Old",'FTE Pivot for regular counts'!$A$2,"State","TN","Category2","Two-Year")</f>
        <v>66810.399999999994</v>
      </c>
      <c r="T236" s="39">
        <f>+GETPIVOTDATA("Grand Total FTE - Old",'FTE Pivot for regular counts'!$A$2,"State","TN","Category2","Technical")</f>
        <v>11698.77222222222</v>
      </c>
      <c r="U236" s="89">
        <f t="shared" si="22"/>
        <v>200519.26388888888</v>
      </c>
      <c r="V236" s="436">
        <f t="shared" si="23"/>
        <v>-239.70000000001164</v>
      </c>
      <c r="W236" s="437">
        <f t="shared" si="24"/>
        <v>-3818.3333333333358</v>
      </c>
      <c r="X236" s="438">
        <f t="shared" si="25"/>
        <v>-364.42777777777519</v>
      </c>
      <c r="Y236" s="438">
        <f t="shared" si="26"/>
        <v>-4422.4611111111008</v>
      </c>
      <c r="Z236" s="220">
        <f t="shared" si="27"/>
        <v>-1.9645915901356382E-3</v>
      </c>
      <c r="AA236" s="221">
        <f t="shared" si="28"/>
        <v>-5.7151780760680018E-2</v>
      </c>
      <c r="AB236" s="71">
        <f t="shared" si="20"/>
        <v>-3.1150942240377337E-2</v>
      </c>
      <c r="AC236" s="71">
        <f t="shared" si="29"/>
        <v>-2.2055043616964708E-2</v>
      </c>
      <c r="AI236" s="96"/>
      <c r="AJ236" s="96"/>
      <c r="AK236" s="96"/>
      <c r="AL236" s="96"/>
    </row>
    <row r="237" spans="1:83" ht="15" customHeight="1">
      <c r="A237" s="1" t="s">
        <v>77</v>
      </c>
      <c r="B237" s="15">
        <f>+GETPIVOTDATA("Grand Total FTE - New",'FTE Pivot for regular counts'!$A$2,"State","TX","Category2","Four-Year")</f>
        <v>472795.48333333328</v>
      </c>
      <c r="D237" s="15">
        <f>+GETPIVOTDATA("Grand Total FTE - New",'FTE Pivot for regular counts'!$A$2,"State","TX","Category2","Two-Year")</f>
        <v>498206.86444444448</v>
      </c>
      <c r="F237" s="39">
        <f>+GETPIVOTDATA("Grand Total FTE - New",'FTE Pivot for regular counts'!$A$2,"State","TX","Category2","Technical")</f>
        <v>0</v>
      </c>
      <c r="G237" s="37"/>
      <c r="H237" s="122">
        <f t="shared" si="21"/>
        <v>971002.34777777782</v>
      </c>
      <c r="I237" s="25"/>
      <c r="Q237" s="1" t="s">
        <v>77</v>
      </c>
      <c r="R237" s="15">
        <f>+GETPIVOTDATA("Grand Total FTE - Old",'FTE Pivot for regular counts'!$A$2,"State","TX","Category2","Four-Year")</f>
        <v>466920.67499999987</v>
      </c>
      <c r="S237" s="15">
        <f>+GETPIVOTDATA("Grand Total FTE - Old",'FTE Pivot for regular counts'!$A$2,"State","TX","Category2","Two-Year")</f>
        <v>517855.6755555555</v>
      </c>
      <c r="T237" s="39">
        <f>+GETPIVOTDATA("Grand Total FTE - Old",'FTE Pivot for regular counts'!$A$2,"State","TX","Category2","Technical")</f>
        <v>0</v>
      </c>
      <c r="U237" s="89">
        <f t="shared" si="22"/>
        <v>984776.35055555543</v>
      </c>
      <c r="V237" s="436">
        <f t="shared" si="23"/>
        <v>5874.8083333334071</v>
      </c>
      <c r="W237" s="437">
        <f t="shared" si="24"/>
        <v>-19648.811111111019</v>
      </c>
      <c r="X237" s="438">
        <f t="shared" si="25"/>
        <v>0</v>
      </c>
      <c r="Y237" s="438">
        <f t="shared" si="26"/>
        <v>-13774.002777777612</v>
      </c>
      <c r="Z237" s="220">
        <f t="shared" si="27"/>
        <v>1.2582026558008828E-2</v>
      </c>
      <c r="AA237" s="221">
        <f t="shared" si="28"/>
        <v>-3.7942639307818299E-2</v>
      </c>
      <c r="AB237" s="71">
        <f t="shared" si="20"/>
        <v>0</v>
      </c>
      <c r="AC237" s="71">
        <f t="shared" si="29"/>
        <v>-1.3986934972602758E-2</v>
      </c>
      <c r="AI237" s="96"/>
      <c r="AJ237" s="96"/>
      <c r="AK237" s="96"/>
      <c r="AL237" s="96"/>
    </row>
    <row r="238" spans="1:83" ht="15" customHeight="1">
      <c r="A238" s="1" t="s">
        <v>78</v>
      </c>
      <c r="B238" s="15">
        <f>+GETPIVOTDATA("Grand Total FTE - New",'FTE Pivot for regular counts'!$A$2,"State","VA","Category2","Four-Year")</f>
        <v>194555.27500000002</v>
      </c>
      <c r="D238" s="15">
        <f>+GETPIVOTDATA("Grand Total FTE - New",'FTE Pivot for regular counts'!$A$2,"State","VA","Category2","Two-Year")</f>
        <v>128968.7</v>
      </c>
      <c r="F238" s="39">
        <f>+GETPIVOTDATA("Grand Total FTE - New",'FTE Pivot for regular counts'!$A$2,"State","VA","Category2","Technical")</f>
        <v>0</v>
      </c>
      <c r="G238" s="37"/>
      <c r="H238" s="122">
        <f t="shared" si="21"/>
        <v>323523.97500000003</v>
      </c>
      <c r="I238" s="25"/>
      <c r="Q238" s="1" t="s">
        <v>78</v>
      </c>
      <c r="R238" s="15">
        <f>+GETPIVOTDATA("Grand Total FTE - Old",'FTE Pivot for regular counts'!$A$2,"State","VA","Category2","Four-Year")</f>
        <v>192551.3833333333</v>
      </c>
      <c r="S238" s="15">
        <f>+GETPIVOTDATA("Grand Total FTE - Old",'FTE Pivot for regular counts'!$A$2,"State","VA","Category2","Two-Year")</f>
        <v>130303.90000000001</v>
      </c>
      <c r="T238" s="39">
        <f>+GETPIVOTDATA("Grand Total FTE - Old",'FTE Pivot for regular counts'!$A$2,"State","VA","Category2","Technical")</f>
        <v>0</v>
      </c>
      <c r="U238" s="89">
        <f t="shared" si="22"/>
        <v>322855.28333333333</v>
      </c>
      <c r="V238" s="436">
        <f t="shared" si="23"/>
        <v>2003.891666666721</v>
      </c>
      <c r="W238" s="437">
        <f t="shared" si="24"/>
        <v>-1335.2000000000116</v>
      </c>
      <c r="X238" s="438">
        <f t="shared" si="25"/>
        <v>0</v>
      </c>
      <c r="Y238" s="438">
        <f t="shared" si="26"/>
        <v>668.69166666670935</v>
      </c>
      <c r="Z238" s="220">
        <f t="shared" si="27"/>
        <v>1.0407048923651227E-2</v>
      </c>
      <c r="AA238" s="221">
        <f t="shared" si="28"/>
        <v>-1.0246815329395448E-2</v>
      </c>
      <c r="AB238" s="71">
        <f t="shared" si="20"/>
        <v>0</v>
      </c>
      <c r="AC238" s="71">
        <f t="shared" si="29"/>
        <v>2.07118080820228E-3</v>
      </c>
    </row>
    <row r="239" spans="1:83" ht="15" customHeight="1">
      <c r="A239" s="3" t="s">
        <v>79</v>
      </c>
      <c r="B239" s="6">
        <f>+GETPIVOTDATA("Grand Total FTE - New",'FTE Pivot for regular counts'!$A$2,"State","WV","Category2","Four-Year")</f>
        <v>57788.103333333333</v>
      </c>
      <c r="C239" s="3"/>
      <c r="D239" s="6">
        <f>+GETPIVOTDATA("Grand Total FTE - New",'FTE Pivot for regular counts'!$A$2,"State","WV","Category2","Two-Year")</f>
        <v>18366.080000000002</v>
      </c>
      <c r="E239" s="3"/>
      <c r="F239" s="40">
        <f>+GETPIVOTDATA("Grand Total FTE - New",'FTE Pivot for regular counts'!$A$2,"State","WV","Category2","Technical")</f>
        <v>0</v>
      </c>
      <c r="G239" s="38"/>
      <c r="H239" s="122">
        <f t="shared" si="21"/>
        <v>76154.183333333334</v>
      </c>
      <c r="I239" s="25"/>
      <c r="Q239" s="3" t="s">
        <v>79</v>
      </c>
      <c r="R239" s="6">
        <f>+GETPIVOTDATA("Grand Total FTE - Old",'FTE Pivot for regular counts'!$A$2,"State","WV","Category2","Four-Year")</f>
        <v>58566.64</v>
      </c>
      <c r="S239" s="6">
        <f>+GETPIVOTDATA("Grand Total FTE - Old",'FTE Pivot for regular counts'!$A$2,"State","WV","Category2","Two-Year")</f>
        <v>19523.636666666665</v>
      </c>
      <c r="T239" s="40">
        <f>+GETPIVOTDATA("Grand Total FTE - Old",'FTE Pivot for regular counts'!$A$2,"State","WV","Category2","Technical")</f>
        <v>0</v>
      </c>
      <c r="U239" s="90">
        <f t="shared" si="22"/>
        <v>78090.276666666672</v>
      </c>
      <c r="V239" s="439">
        <f t="shared" si="23"/>
        <v>-778.53666666666686</v>
      </c>
      <c r="W239" s="440">
        <f t="shared" si="24"/>
        <v>-1157.5566666666637</v>
      </c>
      <c r="X239" s="440">
        <f t="shared" si="25"/>
        <v>0</v>
      </c>
      <c r="Y239" s="441">
        <f t="shared" si="26"/>
        <v>-1936.0933333333378</v>
      </c>
      <c r="Z239" s="86">
        <f t="shared" si="27"/>
        <v>-1.3293176229106994E-2</v>
      </c>
      <c r="AA239" s="87">
        <f t="shared" si="28"/>
        <v>-5.9290012738405312E-2</v>
      </c>
      <c r="AB239" s="87">
        <f t="shared" si="20"/>
        <v>0</v>
      </c>
      <c r="AC239" s="87">
        <f t="shared" si="29"/>
        <v>-2.4793014136672554E-2</v>
      </c>
    </row>
    <row r="240" spans="1:83" ht="15" customHeight="1">
      <c r="A240" s="400"/>
      <c r="B240" s="401"/>
      <c r="C240" s="401"/>
      <c r="D240" s="401"/>
      <c r="E240" s="401"/>
      <c r="F240" s="401"/>
      <c r="G240" s="401"/>
      <c r="H240" s="402"/>
      <c r="I240" s="15"/>
      <c r="J240" s="103"/>
      <c r="K240" s="103"/>
      <c r="P240" s="25"/>
      <c r="Q240" s="25"/>
      <c r="R240" s="25"/>
      <c r="S240" s="25"/>
      <c r="T240" s="25"/>
      <c r="U240" s="25"/>
      <c r="V240" s="26"/>
      <c r="W240" s="26"/>
      <c r="X240" s="26"/>
      <c r="Y240" s="26"/>
      <c r="Z240" s="25"/>
      <c r="AA240" s="25"/>
      <c r="AB240" s="25"/>
      <c r="AC240" s="25"/>
      <c r="AD240" s="25"/>
      <c r="AE240" s="25"/>
      <c r="AF240" s="25"/>
      <c r="AG240" s="25"/>
      <c r="AH240" s="25"/>
      <c r="AI240" s="25"/>
      <c r="AJ240" s="25"/>
      <c r="AK240" s="25"/>
      <c r="AL240" s="25"/>
      <c r="AM240" s="25"/>
      <c r="AN240" s="25"/>
      <c r="AO240" s="25"/>
      <c r="AP240" s="25"/>
      <c r="AQ240" s="25"/>
      <c r="AR240" s="25"/>
      <c r="AS240" s="25"/>
      <c r="AT240" s="25"/>
      <c r="AU240" s="25"/>
      <c r="AV240" s="25"/>
      <c r="AW240" s="25"/>
      <c r="AX240" s="25"/>
      <c r="AY240" s="25"/>
      <c r="AZ240" s="25"/>
      <c r="BA240" s="25"/>
      <c r="BB240" s="25"/>
      <c r="BC240" s="25"/>
      <c r="BD240" s="25"/>
      <c r="BE240" s="25"/>
      <c r="BF240" s="25"/>
      <c r="BG240" s="25"/>
      <c r="BH240" s="25"/>
      <c r="BI240" s="25"/>
      <c r="BJ240" s="25"/>
      <c r="BK240" s="25"/>
      <c r="BL240" s="25"/>
      <c r="BM240" s="25"/>
      <c r="BN240" s="25"/>
      <c r="BO240" s="25"/>
      <c r="BP240" s="25"/>
      <c r="BQ240" s="25"/>
      <c r="BR240" s="25"/>
      <c r="BS240" s="25"/>
      <c r="BT240" s="25"/>
      <c r="BU240" s="25"/>
      <c r="BV240" s="25"/>
      <c r="BW240" s="25"/>
      <c r="BX240" s="25"/>
      <c r="BY240" s="25"/>
      <c r="BZ240" s="25"/>
      <c r="CA240" s="25"/>
      <c r="CB240" s="25"/>
      <c r="CC240" s="25"/>
      <c r="CD240" s="25"/>
      <c r="CE240" s="25"/>
    </row>
    <row r="241" spans="2:83" s="25" customFormat="1" ht="20.25" customHeight="1">
      <c r="B241" s="15"/>
      <c r="C241" s="15"/>
      <c r="D241" s="15"/>
      <c r="E241" s="15"/>
      <c r="F241" s="15"/>
      <c r="G241" s="15"/>
      <c r="H241" s="103"/>
      <c r="J241" s="4"/>
      <c r="K241" s="4"/>
      <c r="L241" s="103"/>
      <c r="M241" s="103"/>
      <c r="P241" s="1"/>
      <c r="Q241" s="102"/>
      <c r="R241" s="1"/>
      <c r="S241" s="95"/>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row>
    <row r="242" spans="2:83" ht="71.25" customHeight="1">
      <c r="H242" s="169"/>
      <c r="Q242" s="42"/>
    </row>
    <row r="257" spans="14:20">
      <c r="P257" s="25"/>
      <c r="Q257" s="25"/>
      <c r="R257" s="25"/>
      <c r="S257" s="25"/>
      <c r="T257" s="25"/>
    </row>
    <row r="258" spans="14:20">
      <c r="N258" s="25"/>
      <c r="O258" s="25"/>
      <c r="P258" s="25"/>
      <c r="Q258" s="25"/>
      <c r="R258" s="25"/>
      <c r="S258" s="25"/>
      <c r="T258" s="25"/>
    </row>
    <row r="259" spans="14:20">
      <c r="N259" s="25"/>
      <c r="O259" s="25"/>
      <c r="P259" s="25"/>
      <c r="Q259" s="25"/>
      <c r="R259" s="25"/>
      <c r="S259" s="25"/>
      <c r="T259" s="25"/>
    </row>
    <row r="260" spans="14:20">
      <c r="N260" s="25"/>
      <c r="O260" s="25"/>
      <c r="P260" s="25"/>
      <c r="Q260" s="25"/>
      <c r="R260" s="25"/>
      <c r="S260" s="25"/>
      <c r="T260" s="25"/>
    </row>
    <row r="261" spans="14:20">
      <c r="N261" s="25"/>
      <c r="O261" s="25"/>
      <c r="P261" s="25"/>
      <c r="Q261" s="25"/>
      <c r="R261" s="25"/>
      <c r="S261" s="25"/>
      <c r="T261" s="25"/>
    </row>
    <row r="262" spans="14:20">
      <c r="N262" s="25"/>
      <c r="O262" s="25"/>
      <c r="P262" s="25"/>
      <c r="Q262" s="25"/>
      <c r="R262" s="25"/>
      <c r="S262" s="25"/>
      <c r="T262" s="25"/>
    </row>
    <row r="263" spans="14:20">
      <c r="N263" s="25"/>
      <c r="O263" s="25"/>
      <c r="P263" s="25"/>
      <c r="Q263" s="25"/>
      <c r="R263" s="25"/>
      <c r="S263" s="25"/>
      <c r="T263" s="25"/>
    </row>
    <row r="264" spans="14:20">
      <c r="N264" s="25"/>
      <c r="O264" s="25"/>
      <c r="P264" s="25"/>
      <c r="Q264" s="25"/>
      <c r="R264" s="25"/>
      <c r="S264" s="25"/>
      <c r="T264" s="25"/>
    </row>
    <row r="265" spans="14:20">
      <c r="N265" s="25"/>
      <c r="O265" s="25"/>
      <c r="P265" s="25"/>
      <c r="Q265" s="25"/>
      <c r="R265" s="25"/>
      <c r="S265" s="25"/>
      <c r="T265" s="25"/>
    </row>
    <row r="266" spans="14:20">
      <c r="N266" s="25"/>
      <c r="O266" s="25"/>
    </row>
  </sheetData>
  <mergeCells count="13">
    <mergeCell ref="A122:I122"/>
    <mergeCell ref="A30:O30"/>
    <mergeCell ref="A94:J94"/>
    <mergeCell ref="A96:J96"/>
    <mergeCell ref="A97:J97"/>
    <mergeCell ref="A60:H60"/>
    <mergeCell ref="A91:H91"/>
    <mergeCell ref="A212:G212"/>
    <mergeCell ref="A124:J124"/>
    <mergeCell ref="A126:J126"/>
    <mergeCell ref="A127:J127"/>
    <mergeCell ref="A152:I152"/>
    <mergeCell ref="A182:K182"/>
  </mergeCells>
  <phoneticPr fontId="0" type="noConversion"/>
  <pageMargins left="0.25" right="1.02083333333333E-2" top="1" bottom="0.85" header="0.75" footer="0.5"/>
  <pageSetup scale="96" firstPageNumber="87" fitToHeight="7" orientation="landscape" useFirstPageNumber="1" r:id="rId1"/>
  <headerFooter alignWithMargins="0">
    <oddHeader>&amp;RSREB-State Data Exchange</oddHeader>
    <oddFooter>&amp;C&amp;10&amp;P</oddFooter>
  </headerFooter>
  <rowBreaks count="6" manualBreakCount="6">
    <brk id="31" max="14" man="1"/>
    <brk id="62" max="14" man="1"/>
    <brk id="93" max="14" man="1"/>
    <brk id="123" max="14" man="1"/>
    <brk id="153" max="14" man="1"/>
    <brk id="183"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S263"/>
  <sheetViews>
    <sheetView showZeros="0" view="pageBreakPreview" zoomScaleNormal="100" zoomScaleSheetLayoutView="100" workbookViewId="0"/>
  </sheetViews>
  <sheetFormatPr defaultRowHeight="12.75"/>
  <cols>
    <col min="1" max="1" width="15" style="1" customWidth="1"/>
    <col min="2" max="2" width="11.6640625" style="1" customWidth="1"/>
    <col min="3" max="3" width="11.83203125" style="1" customWidth="1"/>
    <col min="4" max="4" width="11.6640625" style="1" customWidth="1"/>
    <col min="5" max="5" width="10.83203125" style="1" customWidth="1"/>
    <col min="6" max="6" width="12.1640625" style="1" customWidth="1"/>
    <col min="7" max="7" width="10" style="1" customWidth="1"/>
    <col min="8" max="8" width="12" style="4" customWidth="1"/>
    <col min="9" max="9" width="12.6640625" style="1" customWidth="1"/>
    <col min="10" max="10" width="11.6640625" style="4" customWidth="1"/>
    <col min="11" max="11" width="10" style="4" customWidth="1"/>
    <col min="12" max="12" width="10.5" style="4" customWidth="1"/>
    <col min="13" max="13" width="10" style="73" customWidth="1"/>
    <col min="14" max="14" width="12.1640625" style="1" customWidth="1"/>
    <col min="15" max="15" width="10" style="1" customWidth="1"/>
    <col min="16" max="16384" width="9.33203125" style="1"/>
  </cols>
  <sheetData>
    <row r="1" spans="1:17" ht="18">
      <c r="A1" s="41" t="s">
        <v>163</v>
      </c>
      <c r="B1" s="20"/>
      <c r="C1" s="20"/>
      <c r="D1" s="20"/>
      <c r="E1" s="20"/>
      <c r="F1" s="20"/>
      <c r="G1" s="20"/>
      <c r="H1" s="104"/>
      <c r="I1" s="20"/>
      <c r="J1" s="104"/>
      <c r="K1" s="104"/>
      <c r="L1" s="104"/>
      <c r="M1" s="225"/>
      <c r="N1" s="17"/>
      <c r="O1" s="22"/>
    </row>
    <row r="2" spans="1:17" ht="15.75">
      <c r="A2" s="21"/>
      <c r="B2" s="21"/>
      <c r="C2" s="21"/>
      <c r="D2" s="21"/>
      <c r="E2" s="21"/>
      <c r="F2" s="21"/>
      <c r="G2" s="21"/>
      <c r="H2" s="105"/>
      <c r="I2" s="21"/>
      <c r="J2" s="105"/>
      <c r="K2" s="105"/>
      <c r="L2" s="105"/>
      <c r="M2" s="198"/>
      <c r="N2" s="226"/>
      <c r="O2" s="22"/>
    </row>
    <row r="3" spans="1:17" ht="15.75">
      <c r="A3" s="110" t="s">
        <v>32</v>
      </c>
      <c r="B3" s="22"/>
      <c r="C3" s="22"/>
      <c r="D3" s="22"/>
      <c r="E3" s="22"/>
      <c r="F3" s="22"/>
      <c r="G3" s="22"/>
      <c r="H3" s="106"/>
      <c r="I3" s="22"/>
      <c r="J3" s="106"/>
      <c r="K3" s="106"/>
      <c r="L3" s="106"/>
      <c r="M3" s="170"/>
      <c r="N3" s="22"/>
      <c r="O3" s="226"/>
    </row>
    <row r="4" spans="1:17" ht="15.75">
      <c r="A4" s="43" t="s">
        <v>233</v>
      </c>
      <c r="B4" s="22"/>
      <c r="C4" s="22"/>
      <c r="D4" s="22"/>
      <c r="E4" s="22"/>
      <c r="F4" s="22"/>
      <c r="G4" s="22"/>
      <c r="H4" s="106"/>
      <c r="I4" s="22"/>
      <c r="J4" s="106"/>
      <c r="K4" s="106"/>
      <c r="L4" s="106"/>
      <c r="M4" s="170"/>
      <c r="N4" s="227"/>
      <c r="O4" s="22"/>
    </row>
    <row r="5" spans="1:17" ht="15.75" customHeight="1">
      <c r="B5" s="2"/>
      <c r="C5" s="2"/>
      <c r="D5" s="2"/>
      <c r="E5" s="2"/>
      <c r="F5" s="2"/>
      <c r="G5" s="2"/>
      <c r="H5" s="107"/>
      <c r="I5" s="2"/>
      <c r="J5" s="107"/>
      <c r="K5" s="107"/>
      <c r="L5" s="107"/>
      <c r="M5" s="191"/>
    </row>
    <row r="6" spans="1:17" ht="15" customHeight="1">
      <c r="A6" s="44"/>
      <c r="B6" s="848" t="s">
        <v>62</v>
      </c>
      <c r="C6" s="849"/>
      <c r="D6" s="849"/>
      <c r="E6" s="849"/>
      <c r="F6" s="849"/>
      <c r="G6" s="849"/>
      <c r="H6" s="108"/>
      <c r="I6" s="165"/>
      <c r="J6" s="165"/>
      <c r="K6" s="165"/>
      <c r="L6" s="165"/>
      <c r="M6" s="165"/>
      <c r="N6" s="165"/>
      <c r="O6" s="165"/>
    </row>
    <row r="7" spans="1:17" ht="17.25" customHeight="1">
      <c r="A7" s="45"/>
      <c r="B7" s="189">
        <v>1</v>
      </c>
      <c r="C7" s="22"/>
      <c r="D7" s="190">
        <v>2</v>
      </c>
      <c r="E7" s="22"/>
      <c r="F7" s="190">
        <v>3</v>
      </c>
      <c r="G7" s="22"/>
      <c r="H7" s="190">
        <v>4</v>
      </c>
      <c r="I7" s="65"/>
      <c r="J7" s="190">
        <v>5</v>
      </c>
      <c r="K7" s="65"/>
      <c r="L7" s="190">
        <v>6</v>
      </c>
      <c r="M7" s="192"/>
      <c r="N7" s="190" t="s">
        <v>30</v>
      </c>
      <c r="O7" s="65"/>
    </row>
    <row r="8" spans="1:17" ht="77.25" customHeight="1">
      <c r="A8" s="188"/>
      <c r="B8" s="194" t="s">
        <v>143</v>
      </c>
      <c r="C8" s="166" t="s">
        <v>22</v>
      </c>
      <c r="D8" s="195" t="s">
        <v>143</v>
      </c>
      <c r="E8" s="166" t="s">
        <v>22</v>
      </c>
      <c r="F8" s="195" t="s">
        <v>143</v>
      </c>
      <c r="G8" s="166" t="s">
        <v>22</v>
      </c>
      <c r="H8" s="195" t="s">
        <v>143</v>
      </c>
      <c r="I8" s="166" t="s">
        <v>22</v>
      </c>
      <c r="J8" s="195" t="s">
        <v>143</v>
      </c>
      <c r="K8" s="166" t="s">
        <v>22</v>
      </c>
      <c r="L8" s="195" t="s">
        <v>143</v>
      </c>
      <c r="M8" s="121" t="s">
        <v>22</v>
      </c>
      <c r="N8" s="195" t="s">
        <v>143</v>
      </c>
      <c r="O8" s="166" t="s">
        <v>22</v>
      </c>
      <c r="Q8" s="228"/>
    </row>
    <row r="9" spans="1:17" ht="15" customHeight="1">
      <c r="A9" s="1" t="s">
        <v>64</v>
      </c>
      <c r="B9" s="207">
        <f>+GETPIVOTDATA("Undergrad Student Credit Hour  FTE - Old",'FTE Pivot for regular counts'!$A$2,"Category",1,"Category2","Group1")</f>
        <v>850461.03666666674</v>
      </c>
      <c r="C9" s="256"/>
      <c r="D9" s="208">
        <f>+GETPIVOTDATA("Undergrad Student Credit Hour  FTE - Old",'FTE Pivot for regular counts'!$A$2,"Category",2,"Category2","Four-Year")</f>
        <v>230178.23333333337</v>
      </c>
      <c r="E9" s="256"/>
      <c r="F9" s="186">
        <f>+GETPIVOTDATA("Undergrad Student Credit Hour  FTE - Old",'FTE Pivot for regular counts'!$A$2,"Category",3,"Category2","Four-Year")</f>
        <v>537855.43333333335</v>
      </c>
      <c r="G9" s="256"/>
      <c r="H9" s="186">
        <f>+GETPIVOTDATA("Undergrad Student Credit Hour  FTE - Old",'FTE Pivot for regular counts'!$A$2,"Category",4,"Category2","Four-Year")</f>
        <v>188594.04666666666</v>
      </c>
      <c r="I9" s="256"/>
      <c r="J9" s="186">
        <f>+GETPIVOTDATA("Undergrad Student Credit Hour  FTE - Old",'FTE Pivot for regular counts'!$A$2,"Category",5,"Category2","Four-Year")</f>
        <v>105105.48333333332</v>
      </c>
      <c r="K9" s="256"/>
      <c r="L9" s="186">
        <f>+GETPIVOTDATA("Undergrad Student Credit Hour  FTE - Old",'FTE Pivot for regular counts'!$A$2,"Category",6,"Category2","Four-Year")</f>
        <v>67863.656666666662</v>
      </c>
      <c r="M9" s="256"/>
      <c r="N9" s="186">
        <f>+GETPIVOTDATA("Undergrad Student Credit Hour  FTE - Old",'FTE Pivot for regular counts'!$A$2,"Category2","Four-Year")</f>
        <v>1980057.8900000001</v>
      </c>
      <c r="O9" s="256"/>
    </row>
    <row r="10" spans="1:17" ht="12.75" customHeight="1">
      <c r="B10" s="5"/>
      <c r="C10" s="257" t="s">
        <v>171</v>
      </c>
      <c r="D10" s="186"/>
      <c r="E10" s="257" t="s">
        <v>172</v>
      </c>
      <c r="F10" s="186"/>
      <c r="G10" s="257" t="s">
        <v>173</v>
      </c>
      <c r="H10" s="186"/>
      <c r="I10" s="257" t="s">
        <v>174</v>
      </c>
      <c r="J10" s="186"/>
      <c r="K10" s="257" t="s">
        <v>175</v>
      </c>
      <c r="L10" s="186"/>
      <c r="M10" s="257" t="s">
        <v>176</v>
      </c>
      <c r="N10" s="186"/>
      <c r="O10" s="257" t="s">
        <v>177</v>
      </c>
    </row>
    <row r="11" spans="1:17" ht="15" customHeight="1">
      <c r="A11" s="1" t="s">
        <v>65</v>
      </c>
      <c r="B11" s="5">
        <f>+GETPIVOTDATA("Undergrad Student Credit Hour  FTE - Old",'FTE Pivot for regular counts'!$A$2,"State","AL","Category",1,"Category2","Four-Year")</f>
        <v>44118.633333333331</v>
      </c>
      <c r="C11" s="167">
        <f>+GETPIVOTDATA("Sum of Old-HS % of Total",'Pivot-HS Student % of Undergrad'!$A$3,"State","AL","Category",1,"Category2","Four-Year")</f>
        <v>1.2934821945980496E-3</v>
      </c>
      <c r="D11" s="186">
        <f>+GETPIVOTDATA("Undergrad Student Credit Hour  FTE - Old",'FTE Pivot for regular counts'!$A$2,"State","AL","Category",2,"Category2","Four-Year")</f>
        <v>14015.5</v>
      </c>
      <c r="E11" s="167">
        <f>+GETPIVOTDATA("Sum of Old-HS % of Total",'Pivot-HS Student % of Undergrad'!$A$3,"State","AL","Category",2,"Category2","Four-Year")</f>
        <v>1.1201883628839499E-3</v>
      </c>
      <c r="F11" s="186">
        <f>+GETPIVOTDATA("Undergrad Student Credit Hour  FTE - Old",'FTE Pivot for regular counts'!$A$2,"State","AL","Category",3,"Category2","Four-Year")</f>
        <v>33670.666666666664</v>
      </c>
      <c r="G11" s="167">
        <f>+GETPIVOTDATA("Sum of Old-HS % of Total",'Pivot-HS Student % of Undergrad'!$A$3,"State","AL","Category",3,"Category2","Four-Year")</f>
        <v>2.5591018888844888E-3</v>
      </c>
      <c r="H11" s="186">
        <f>+GETPIVOTDATA("Undergrad Student Credit Hour  FTE - Old",'FTE Pivot for regular counts'!$A$2,"State","AL","Category",4,"Category2","Four-Year")</f>
        <v>14408.033333333333</v>
      </c>
      <c r="I11" s="167">
        <f>+GETPIVOTDATA("Sum of Old-HS % of Total",'Pivot-HS Student % of Undergrad'!$A$3,"State","AL","Category",4,"Category2","Four-Year")</f>
        <v>6.1308390458100917E-3</v>
      </c>
      <c r="J11" s="186">
        <f>+GETPIVOTDATA("Undergrad Student Credit Hour  FTE - Old",'FTE Pivot for regular counts'!$A$2,"State","AL","Category",5,"Category2","Four-Year")</f>
        <v>4158.5333333333338</v>
      </c>
      <c r="K11" s="167">
        <f>+GETPIVOTDATA("Sum of Old-HS % of Total",'Pivot-HS Student % of Undergrad'!$A$3,"State","AL","Category",5,"Category2","Four-Year")</f>
        <v>1.266472153643913E-3</v>
      </c>
      <c r="L11" s="186">
        <f>+GETPIVOTDATA("Undergrad Student Credit Hour  FTE - Old",'FTE Pivot for regular counts'!$A$2,"State","AL","Category",6,"Category2","Four-Year")</f>
        <v>2856.7333333333331</v>
      </c>
      <c r="M11" s="167">
        <f>+GETPIVOTDATA("Sum of Old-HS % of Total",'Pivot-HS Student % of Undergrad'!$A$3,"State","AL","Category",6,"Category2","Four-Year")</f>
        <v>0</v>
      </c>
      <c r="N11" s="186">
        <f>+GETPIVOTDATA("Undergrad Student Credit Hour  FTE - Old",'FTE Pivot for regular counts'!$A$2,"State","AL","Category2","Four-Year")</f>
        <v>113228.09999999999</v>
      </c>
      <c r="O11" s="167">
        <f>+GETPIVOTDATA("Sum of Old-HS % of Total",'Pivot-HS Student % of Undergrad'!$A$3,"State","AL","Category2","Group1")</f>
        <v>2.2303061990206789E-3</v>
      </c>
    </row>
    <row r="12" spans="1:17" ht="15" customHeight="1">
      <c r="A12" s="4" t="s">
        <v>66</v>
      </c>
      <c r="B12" s="5">
        <f>+GETPIVOTDATA("Undergrad Student Credit Hour  FTE - Old",'FTE Pivot for regular counts'!$A$2,"State","AR","Category",1,"Category2","Four-Year")</f>
        <v>17529.766666666666</v>
      </c>
      <c r="C12" s="211">
        <f>+GETPIVOTDATA("Sum of Old-HS % of Total",'Pivot-HS Student % of Undergrad'!$A$3,"State","AR","Category",1,"Category2","Four-Year")</f>
        <v>1.8634969470976035E-4</v>
      </c>
      <c r="D12" s="186">
        <f>+GETPIVOTDATA("Undergrad Student Credit Hour  FTE - Old",'FTE Pivot for regular counts'!$A$2,"State","AR","Category",2,"Category2","Four-Year")</f>
        <v>0</v>
      </c>
      <c r="E12" s="167">
        <f>+GETPIVOTDATA("Sum of Old-HS % of Total",'Pivot-HS Student % of Undergrad'!$A$3,"State","AR","Category",2,"Category2","Four-Year")</f>
        <v>0</v>
      </c>
      <c r="F12" s="186">
        <f>+GETPIVOTDATA("Undergrad Student Credit Hour  FTE - Old",'FTE Pivot for regular counts'!$A$2,"State","AR","Category",3,"Category2","Four-Year")</f>
        <v>33366.033333333333</v>
      </c>
      <c r="G12" s="167">
        <f>+GETPIVOTDATA("Sum of Old-HS % of Total",'Pivot-HS Student % of Undergrad'!$A$3,"State","AR","Category",3,"Category2","Four-Year")</f>
        <v>2.5832658162342741E-2</v>
      </c>
      <c r="H12" s="186">
        <f>+GETPIVOTDATA("Undergrad Student Credit Hour  FTE - Old",'FTE Pivot for regular counts'!$A$2,"State","AR","Category",4,"Category2","Four-Year")</f>
        <v>6052.9</v>
      </c>
      <c r="I12" s="167">
        <f>+GETPIVOTDATA("Sum of Old-HS % of Total",'Pivot-HS Student % of Undergrad'!$A$3,"State","AR","Category",4,"Category2","Four-Year")</f>
        <v>3.9870695589441976E-3</v>
      </c>
      <c r="J12" s="186">
        <f>+GETPIVOTDATA("Undergrad Student Credit Hour  FTE - Old",'FTE Pivot for regular counts'!$A$2,"State","AR","Category",5,"Category2","Four-Year")</f>
        <v>2400.0666666666666</v>
      </c>
      <c r="K12" s="167">
        <f>+GETPIVOTDATA("Sum of Old-HS % of Total",'Pivot-HS Student % of Undergrad'!$A$3,"State","AR","Category",5,"Category2","Four-Year")</f>
        <v>5.4456820643871001E-2</v>
      </c>
      <c r="L12" s="186">
        <f>+GETPIVOTDATA("Undergrad Student Credit Hour  FTE - Old",'FTE Pivot for regular counts'!$A$2,"State","AR","Category",6,"Category2","Four-Year")</f>
        <v>9128.3333333333321</v>
      </c>
      <c r="M12" s="167">
        <f>+GETPIVOTDATA("Sum of Old-HS % of Total",'Pivot-HS Student % of Undergrad'!$A$3,"State","AR","Category",6,"Category2","Four-Year")</f>
        <v>6.5911995618039071E-3</v>
      </c>
      <c r="N12" s="186">
        <f>+GETPIVOTDATA("Undergrad Student Credit Hour  FTE - Old",'FTE Pivot for regular counts'!$A$2,"State","AR","Category2","Four-Year")</f>
        <v>68477.100000000006</v>
      </c>
      <c r="O12" s="167">
        <f>+GETPIVOTDATA("Sum of Old-HS % of Total",'Pivot-HS Student % of Undergrad'!$A$3,"State","AR","Category2","Group1")</f>
        <v>1.5774616623659587E-2</v>
      </c>
    </row>
    <row r="13" spans="1:17" ht="15" customHeight="1">
      <c r="A13" s="1" t="s">
        <v>102</v>
      </c>
      <c r="B13" s="5">
        <f>+GETPIVOTDATA("Undergrad Student Credit Hour  FTE - Old",'FTE Pivot for regular counts'!$A$2,"State","DE","Category",1,"Category2","Four-Year")</f>
        <v>17519.966666666667</v>
      </c>
      <c r="C13" s="167">
        <f>+GETPIVOTDATA("Sum of Old-HS % of Total",'Pivot-HS Student % of Undergrad'!$A$3,"State","DE","Category",1,"Category2","Four-Year")</f>
        <v>0</v>
      </c>
      <c r="D13" s="186">
        <f>+GETPIVOTDATA("Undergrad Student Credit Hour  FTE - Old",'FTE Pivot for regular counts'!$A$2,"State","DE","Category",2,"Category2","Four-Year")</f>
        <v>0</v>
      </c>
      <c r="E13" s="167">
        <f>+GETPIVOTDATA("Sum of Old-HS % of Total",'Pivot-HS Student % of Undergrad'!$A$3,"State","DE","Category",2,"Category2","Four-Year")</f>
        <v>0</v>
      </c>
      <c r="F13" s="186">
        <f>+GETPIVOTDATA("Undergrad Student Credit Hour  FTE - Old",'FTE Pivot for regular counts'!$A$2,"State","DE","Category",3,"Category2","Four-Year")</f>
        <v>3441.0333333333333</v>
      </c>
      <c r="G13" s="167">
        <f>+GETPIVOTDATA("Sum of Old-HS % of Total",'Pivot-HS Student % of Undergrad'!$A$3,"State","DE","Category",3,"Category2","Four-Year")</f>
        <v>0</v>
      </c>
      <c r="H13" s="186">
        <f>+GETPIVOTDATA("Undergrad Student Credit Hour  FTE - Old",'FTE Pivot for regular counts'!$A$2,"State","DE","Category",4,"Category2","Four-Year")</f>
        <v>0</v>
      </c>
      <c r="I13" s="167">
        <f>+GETPIVOTDATA("Sum of Old-HS % of Total",'Pivot-HS Student % of Undergrad'!$A$3,"State","DE","Category",4,"Category2","Four-Year")</f>
        <v>0</v>
      </c>
      <c r="J13" s="186">
        <f>+GETPIVOTDATA("Undergrad Student Credit Hour  FTE - Old",'FTE Pivot for regular counts'!$A$2,"State","DE","Category",5,"Category2","Four-Year")</f>
        <v>0</v>
      </c>
      <c r="K13" s="167">
        <f>+GETPIVOTDATA("Sum of Old-HS % of Total",'Pivot-HS Student % of Undergrad'!$A$3,"State","FL","Category",5,"Category2","Four-Year")</f>
        <v>0</v>
      </c>
      <c r="L13" s="186">
        <f>+GETPIVOTDATA("Undergrad Student Credit Hour  FTE - Old",'FTE Pivot for regular counts'!$A$2,"State","DE","Category",6,"Category2","Four-Year")</f>
        <v>0</v>
      </c>
      <c r="M13" s="167">
        <f>+GETPIVOTDATA("Sum of Old-HS % of Total",'Pivot-HS Student % of Undergrad'!$A$3,"State","DE","Category",6,"Category2","Four-Year")</f>
        <v>0</v>
      </c>
      <c r="N13" s="186">
        <f>+GETPIVOTDATA("Undergrad Student Credit Hour  FTE - Old",'FTE Pivot for regular counts'!$A$2,"State","DE","Category2","Four-Year")</f>
        <v>20961</v>
      </c>
      <c r="O13" s="167">
        <f>+GETPIVOTDATA("Sum of Old-HS % of Total",'Pivot-HS Student % of Undergrad'!$A$3,"State","DE","Category2","Group1")</f>
        <v>0</v>
      </c>
    </row>
    <row r="14" spans="1:17" ht="15" customHeight="1">
      <c r="A14" s="1" t="s">
        <v>67</v>
      </c>
      <c r="B14" s="5">
        <f>+GETPIVOTDATA("Undergrad Student Credit Hour  FTE - Old",'FTE Pivot for regular counts'!$A$2,"State","FL","Category",1,"Category2","Four-Year")</f>
        <v>177447.7</v>
      </c>
      <c r="C14" s="167">
        <f>+GETPIVOTDATA("Sum of Old-HS % of Total",'Pivot-HS Student % of Undergrad'!$A$3,"State","FL","Category",1,"Category2","Four-Year")</f>
        <v>5.4196250500851799E-3</v>
      </c>
      <c r="D14" s="186">
        <f>+GETPIVOTDATA("Undergrad Student Credit Hour  FTE - Old",'FTE Pivot for regular counts'!$A$2,"State","FL","Category",2,"Category2","Four-Year")</f>
        <v>19989.233333333334</v>
      </c>
      <c r="E14" s="167">
        <f>+GETPIVOTDATA("Sum of Old-HS % of Total",'Pivot-HS Student % of Undergrad'!$A$3,"State","FL","Category",2,"Category2","Four-Year")</f>
        <v>1.0313885641770486E-2</v>
      </c>
      <c r="F14" s="186">
        <f>+GETPIVOTDATA("Undergrad Student Credit Hour  FTE - Old",'FTE Pivot for regular counts'!$A$2,"State","FL","Category",3,"Category2","Four-Year")</f>
        <v>32079.4</v>
      </c>
      <c r="G14" s="167">
        <f>+GETPIVOTDATA("Sum of Old-HS % of Total",'Pivot-HS Student % of Undergrad'!$A$3,"State","FL","Category",3,"Category2","Four-Year")</f>
        <v>1.6095479757518324E-3</v>
      </c>
      <c r="H14" s="186">
        <f>+GETPIVOTDATA("Undergrad Student Credit Hour  FTE - Old",'FTE Pivot for regular counts'!$A$2,"State","FL","Category",4,"Category2","Four-Year")</f>
        <v>9618.7666666666664</v>
      </c>
      <c r="I14" s="167">
        <f>+GETPIVOTDATA("Sum of Old-HS % of Total",'Pivot-HS Student % of Undergrad'!$A$3,"State","FL","Category",4,"Category2","Four-Year")</f>
        <v>8.2235075182889011E-3</v>
      </c>
      <c r="J14" s="186">
        <f>+GETPIVOTDATA("Undergrad Student Credit Hour  FTE - Old",'FTE Pivot for regular counts'!$A$2,"State","FL","Category",5,"Category2","Four-Year")</f>
        <v>0</v>
      </c>
      <c r="K14" s="167">
        <f>+GETPIVOTDATA("Sum of Old-HS % of Total",'Pivot-HS Student % of Undergrad'!$A$3,"State","FL","Category",5,"Category2","Four-Year")</f>
        <v>0</v>
      </c>
      <c r="L14" s="186">
        <f>+GETPIVOTDATA("Undergrad Student Credit Hour  FTE - Old",'FTE Pivot for regular counts'!$A$2,"State","FL","Category",6,"Category2","Four-Year")</f>
        <v>940.26666666666665</v>
      </c>
      <c r="M14" s="167">
        <f>+GETPIVOTDATA("Sum of Old-HS % of Total",'Pivot-HS Student % of Undergrad'!$A$3,"State","FL","Category",6,"Category2","Four-Year")</f>
        <v>0</v>
      </c>
      <c r="N14" s="186">
        <f>+GETPIVOTDATA("Undergrad Student Credit Hour  FTE - Old",'FTE Pivot for regular counts'!$A$2,"State","FL","Category2","Four-Year")</f>
        <v>240075.36666666667</v>
      </c>
      <c r="O14" s="167">
        <f>+GETPIVOTDATA("Sum of Old-HS % of Total",'Pivot-HS Student % of Undergrad'!$A$3,"State","FL","Category2","Group1")</f>
        <v>5.4304031486803904E-3</v>
      </c>
    </row>
    <row r="15" spans="1:17" ht="15" customHeight="1">
      <c r="B15" s="5"/>
      <c r="C15" s="167"/>
      <c r="D15" s="186"/>
      <c r="E15" s="167"/>
      <c r="F15" s="186"/>
      <c r="G15" s="167"/>
      <c r="H15" s="186"/>
      <c r="I15" s="167"/>
      <c r="J15" s="186"/>
      <c r="K15" s="167"/>
      <c r="L15" s="186"/>
      <c r="M15" s="167"/>
      <c r="N15" s="186"/>
      <c r="O15" s="167"/>
    </row>
    <row r="16" spans="1:17" ht="15" customHeight="1">
      <c r="A16" s="1" t="s">
        <v>68</v>
      </c>
      <c r="B16" s="5">
        <f>+GETPIVOTDATA("Undergrad Student Credit Hour  FTE - Old",'FTE Pivot for regular counts'!$A$2,"State","GA","Category",1,"Category2","Four-Year")</f>
        <v>46655.236666666664</v>
      </c>
      <c r="C16" s="167">
        <f>+GETPIVOTDATA("Sum of Old-HS % of Total",'Pivot-HS Student % of Undergrad'!$A$3,"State","GA","Category",1,"Category2","Four-Year")</f>
        <v>1.2699539051386228E-3</v>
      </c>
      <c r="D16" s="186">
        <f>+GETPIVOTDATA("Undergrad Student Credit Hour  FTE - Old",'FTE Pivot for regular counts'!$A$2,"State","GA","Category",2,"Category2","Four-Year")</f>
        <v>13747.5</v>
      </c>
      <c r="E16" s="167">
        <f>+GETPIVOTDATA("Sum of Old-HS % of Total",'Pivot-HS Student % of Undergrad'!$A$3,"State","GA","Category",2,"Category2","Four-Year")</f>
        <v>5.3585500394011032E-3</v>
      </c>
      <c r="F16" s="186">
        <f>+GETPIVOTDATA("Undergrad Student Credit Hour  FTE - Old",'FTE Pivot for regular counts'!$A$2,"State","GA","Category",3,"Category2","Four-Year")</f>
        <v>36145.98333333333</v>
      </c>
      <c r="G16" s="167">
        <f>+GETPIVOTDATA("Sum of Old-HS % of Total",'Pivot-HS Student % of Undergrad'!$A$3,"State","GA","Category",3,"Category2","Four-Year")</f>
        <v>4.3923737031177738E-3</v>
      </c>
      <c r="H16" s="186">
        <f>+GETPIVOTDATA("Undergrad Student Credit Hour  FTE - Old",'FTE Pivot for regular counts'!$A$2,"State","GA","Category",4,"Category2","Four-Year")</f>
        <v>51777.729999999996</v>
      </c>
      <c r="I16" s="167">
        <f>+GETPIVOTDATA("Sum of Old-HS % of Total",'Pivot-HS Student % of Undergrad'!$A$3,"State","GA","Category",4,"Category2","Four-Year")</f>
        <v>4.3351971333364112E-3</v>
      </c>
      <c r="J16" s="186">
        <f>+GETPIVOTDATA("Undergrad Student Credit Hour  FTE - Old",'FTE Pivot for regular counts'!$A$2,"State","GA","Category",5,"Category2","Four-Year")</f>
        <v>15605.233333333334</v>
      </c>
      <c r="K16" s="167">
        <f>+GETPIVOTDATA("Sum of Old-HS % of Total",'Pivot-HS Student % of Undergrad'!$A$3,"State","GA","Category",5,"Category2","Four-Year")</f>
        <v>1.3967536531548178E-2</v>
      </c>
      <c r="L16" s="186">
        <f>+GETPIVOTDATA("Undergrad Student Credit Hour  FTE - Old",'FTE Pivot for regular counts'!$A$2,"State","GA","Category",6,"Category2","Four-Year")</f>
        <v>10833.400000000001</v>
      </c>
      <c r="M16" s="167">
        <f>+GETPIVOTDATA("Sum of Old-HS % of Total",'Pivot-HS Student % of Undergrad'!$A$3,"State","GA","Category",6,"Category2","Four-Year")</f>
        <v>1.1110700857225495E-2</v>
      </c>
      <c r="N16" s="186">
        <f>+GETPIVOTDATA("Undergrad Student Credit Hour  FTE - Old",'FTE Pivot for regular counts'!$A$2,"State","GA","Category2","Four-Year")</f>
        <v>174765.08333333334</v>
      </c>
      <c r="O16" s="167">
        <f>+GETPIVOTDATA("Sum of Old-HS % of Total",'Pivot-HS Student % of Undergrad'!$A$3,"State","GA","Category2","Group1")</f>
        <v>4.8893252418365412E-3</v>
      </c>
    </row>
    <row r="17" spans="1:15" ht="15" customHeight="1">
      <c r="A17" s="1" t="s">
        <v>69</v>
      </c>
      <c r="B17" s="5">
        <f>+GETPIVOTDATA("Undergrad Student Credit Hour  FTE - Old",'FTE Pivot for regular counts'!$A$2,"State","KY","Category",1,"Category2","Four-Year")</f>
        <v>31765.800000000003</v>
      </c>
      <c r="C17" s="167">
        <f>+GETPIVOTDATA("Sum of Old-HS % of Total",'Pivot-HS Student % of Undergrad'!$A$3,"State","KY","Category",1,"Category2","Four-Year")</f>
        <v>1.3945815940413905E-3</v>
      </c>
      <c r="D17" s="186">
        <f>+GETPIVOTDATA("Undergrad Student Credit Hour  FTE - Old",'FTE Pivot for regular counts'!$A$2,"State","KY","Category",2,"Category2","Four-Year")</f>
        <v>0</v>
      </c>
      <c r="E17" s="167">
        <f>+GETPIVOTDATA("Sum of Old-HS % of Total",'Pivot-HS Student % of Undergrad'!$A$3,"State","KY","Category",2,"Category2","Four-Year")</f>
        <v>0</v>
      </c>
      <c r="F17" s="186">
        <f>+GETPIVOTDATA("Undergrad Student Credit Hour  FTE - Old",'FTE Pivot for regular counts'!$A$2,"State","KY","Category",3,"Category2","Four-Year")</f>
        <v>41239.73333333333</v>
      </c>
      <c r="G17" s="167">
        <f>+GETPIVOTDATA("Sum of Old-HS % of Total",'Pivot-HS Student % of Undergrad'!$A$3,"State","KY","Category",3,"Category2","Four-Year")</f>
        <v>2.1660340513032738E-2</v>
      </c>
      <c r="H17" s="186">
        <f>+GETPIVOTDATA("Undergrad Student Credit Hour  FTE - Old",'FTE Pivot for regular counts'!$A$2,"State","KY","Category",4,"Category2","Four-Year")</f>
        <v>13283.366666666665</v>
      </c>
      <c r="I17" s="167">
        <f>+GETPIVOTDATA("Sum of Old-HS % of Total",'Pivot-HS Student % of Undergrad'!$A$3,"State","KY","Category",4,"Category2","Four-Year")</f>
        <v>1.1533220744740917E-2</v>
      </c>
      <c r="J17" s="186">
        <f>+GETPIVOTDATA("Undergrad Student Credit Hour  FTE - Old",'FTE Pivot for regular counts'!$A$2,"State","KY","Category",5,"Category2","Four-Year")</f>
        <v>0</v>
      </c>
      <c r="K17" s="167">
        <f>+GETPIVOTDATA("Sum of Old-HS % of Total",'Pivot-HS Student % of Undergrad'!$A$3,"State","KY","Category",5,"Category2","Four-Year")</f>
        <v>0</v>
      </c>
      <c r="L17" s="186">
        <f>+GETPIVOTDATA("Undergrad Student Credit Hour  FTE - Old",'FTE Pivot for regular counts'!$A$2,"State","KY","Category",6,"Category2","Four-Year")</f>
        <v>0</v>
      </c>
      <c r="M17" s="167">
        <f>+GETPIVOTDATA("Sum of Old-HS % of Total",'Pivot-HS Student % of Undergrad'!$A$3,"State","KY","Category",6,"Category2","Four-Year")</f>
        <v>0</v>
      </c>
      <c r="N17" s="186">
        <f>+GETPIVOTDATA("Undergrad Student Credit Hour  FTE - Old",'FTE Pivot for regular counts'!$A$2,"State","KY","Category2","Four-Year")</f>
        <v>86288.9</v>
      </c>
      <c r="O17" s="167">
        <f>+GETPIVOTDATA("Sum of Old-HS % of Total",'Pivot-HS Student % of Undergrad'!$A$3,"State","KY","Category2","Group1")</f>
        <v>1.2640868833264379E-2</v>
      </c>
    </row>
    <row r="18" spans="1:15" ht="15" customHeight="1">
      <c r="A18" s="1" t="s">
        <v>70</v>
      </c>
      <c r="B18" s="5">
        <f>+GETPIVOTDATA("Undergrad Student Credit Hour  FTE - Old",'FTE Pivot for regular counts'!$A$2,"State","LA","Category",1,"Category2","Four-Year")</f>
        <v>24254.566666666666</v>
      </c>
      <c r="C18" s="167">
        <f>+GETPIVOTDATA("Sum of Old-HS % of Total",'Pivot-HS Student % of Undergrad'!$A$3,"State","LA","Category",1,"Category2","Four-Year")</f>
        <v>2.1631665239673077E-3</v>
      </c>
      <c r="D18" s="186">
        <f>+GETPIVOTDATA("Undergrad Student Credit Hour  FTE - Old",'FTE Pivot for regular counts'!$A$2,"State","LA","Category",2,"Category2","Four-Year")</f>
        <v>28736</v>
      </c>
      <c r="E18" s="167">
        <f>+GETPIVOTDATA("Sum of Old-HS % of Total",'Pivot-HS Student % of Undergrad'!$A$3,"State","LA","Category",2,"Category2","Four-Year")</f>
        <v>1.3548626577579806E-2</v>
      </c>
      <c r="F18" s="186">
        <f>+GETPIVOTDATA("Undergrad Student Credit Hour  FTE - Old",'FTE Pivot for regular counts'!$A$2,"State","LA","Category",3,"Category2","Four-Year")</f>
        <v>24473.199999999997</v>
      </c>
      <c r="G18" s="167">
        <f>+GETPIVOTDATA("Sum of Old-HS % of Total",'Pivot-HS Student % of Undergrad'!$A$3,"State","LA","Category",3,"Category2","Four-Year")</f>
        <v>2.5173114536172901E-2</v>
      </c>
      <c r="H18" s="186">
        <f>+GETPIVOTDATA("Undergrad Student Credit Hour  FTE - Old",'FTE Pivot for regular counts'!$A$2,"State","LA","Category",4,"Category2","Four-Year")</f>
        <v>30344.166666666668</v>
      </c>
      <c r="I18" s="167">
        <f>+GETPIVOTDATA("Sum of Old-HS % of Total",'Pivot-HS Student % of Undergrad'!$A$3,"State","LA","Category",4,"Category2","Four-Year")</f>
        <v>2.36673715431302E-2</v>
      </c>
      <c r="J18" s="186">
        <f>+GETPIVOTDATA("Undergrad Student Credit Hour  FTE - Old",'FTE Pivot for regular counts'!$A$2,"State","LA","Category",5,"Category2","Four-Year")</f>
        <v>0</v>
      </c>
      <c r="K18" s="167">
        <f>+GETPIVOTDATA("Sum of Old-HS % of Total",'Pivot-HS Student % of Undergrad'!$A$3,"State","LA","Category",5,"Category2","Four-Year")</f>
        <v>0</v>
      </c>
      <c r="L18" s="186">
        <f>+GETPIVOTDATA("Undergrad Student Credit Hour  FTE - Old",'FTE Pivot for regular counts'!$A$2,"State","LA","Category",6,"Category2","Four-Year")</f>
        <v>1861.8</v>
      </c>
      <c r="M18" s="167">
        <f>+GETPIVOTDATA("Sum of Old-HS % of Total",'Pivot-HS Student % of Undergrad'!$A$3,"State","LA","Category",6,"Category2","Four-Year")</f>
        <v>5.2458194578723097E-2</v>
      </c>
      <c r="N18" s="186">
        <f>+GETPIVOTDATA("Undergrad Student Credit Hour  FTE - Old",'FTE Pivot for regular counts'!$A$2,"State","LA","Category2","Four-Year")</f>
        <v>109669.73333333334</v>
      </c>
      <c r="O18" s="167">
        <f>+GETPIVOTDATA("Sum of Old-HS % of Total",'Pivot-HS Student % of Undergrad'!$A$3,"State","LA","Category2","Group1")</f>
        <v>1.7084932579392916E-2</v>
      </c>
    </row>
    <row r="19" spans="1:15" ht="15" customHeight="1">
      <c r="A19" s="1" t="s">
        <v>71</v>
      </c>
      <c r="B19" s="5">
        <f>+GETPIVOTDATA("Undergrad Student Credit Hour  FTE - Old",'FTE Pivot for regular counts'!$A$2,"State","MD","Category",1,"Category2","Four-Year")</f>
        <v>26664.633333333335</v>
      </c>
      <c r="C19" s="167">
        <f>+GETPIVOTDATA("Sum of Old-HS % of Total",'Pivot-HS Student % of Undergrad'!$A$3,"State","MD","Category",1,"Category2","Four-Year")</f>
        <v>0</v>
      </c>
      <c r="D19" s="186">
        <f>+GETPIVOTDATA("Undergrad Student Credit Hour  FTE - Old",'FTE Pivot for regular counts'!$A$2,"State","MD","Category",2,"Category2","Four-Year")</f>
        <v>16294.099999999999</v>
      </c>
      <c r="E19" s="167">
        <f>+GETPIVOTDATA("Sum of Old-HS % of Total",'Pivot-HS Student % of Undergrad'!$A$3,"State","MD","Category",2,"Category2","Four-Year")</f>
        <v>0</v>
      </c>
      <c r="F19" s="186">
        <f>+GETPIVOTDATA("Undergrad Student Credit Hour  FTE - Old",'FTE Pivot for regular counts'!$A$2,"State","MD","Category",3,"Category2","Four-Year")</f>
        <v>16876.883333333335</v>
      </c>
      <c r="G19" s="167">
        <f>+GETPIVOTDATA("Sum of Old-HS % of Total",'Pivot-HS Student % of Undergrad'!$A$3,"State","MD","Category",3,"Category2","Four-Year")</f>
        <v>0</v>
      </c>
      <c r="H19" s="186">
        <f>+GETPIVOTDATA("Undergrad Student Credit Hour  FTE - Old",'FTE Pivot for regular counts'!$A$2,"State","MD","Category",4,"Category2","Four-Year")</f>
        <v>22567.51666666667</v>
      </c>
      <c r="I19" s="167">
        <f>+GETPIVOTDATA("Sum of Old-HS % of Total",'Pivot-HS Student % of Undergrad'!$A$3,"State","MD","Category",4,"Category2","Four-Year")</f>
        <v>0</v>
      </c>
      <c r="J19" s="186">
        <f>+GETPIVOTDATA("Undergrad Student Credit Hour  FTE - Old",'FTE Pivot for regular counts'!$A$2,"State","MD","Category",5,"Category2","Four-Year")</f>
        <v>3052.5666666666666</v>
      </c>
      <c r="K19" s="167">
        <f>+GETPIVOTDATA("Sum of Old-HS % of Total",'Pivot-HS Student % of Undergrad'!$A$3,"State","MD","Category",5,"Category2","Four-Year")</f>
        <v>0</v>
      </c>
      <c r="L19" s="186">
        <f>+GETPIVOTDATA("Undergrad Student Credit Hour  FTE - Old",'FTE Pivot for regular counts'!$A$2,"State","MD","Category",6,"Category2","Four-Year")</f>
        <v>2171.75</v>
      </c>
      <c r="M19" s="167">
        <f>+GETPIVOTDATA("Sum of Old-HS % of Total",'Pivot-HS Student % of Undergrad'!$A$3,"State","MD","Category",6,"Category2","Four-Year")</f>
        <v>0</v>
      </c>
      <c r="N19" s="186">
        <f>+GETPIVOTDATA("Undergrad Student Credit Hour  FTE - Old",'FTE Pivot for regular counts'!$A$2,"State","MD","Category2","Four-Year")</f>
        <v>87627.45</v>
      </c>
      <c r="O19" s="167">
        <f>+GETPIVOTDATA("Sum of Old-HS % of Total",'Pivot-HS Student % of Undergrad'!$A$3,"State","MD","Category2","Group1")</f>
        <v>0</v>
      </c>
    </row>
    <row r="20" spans="1:15" ht="15" customHeight="1">
      <c r="B20" s="5"/>
      <c r="C20" s="167"/>
      <c r="D20" s="186"/>
      <c r="E20" s="167"/>
      <c r="F20" s="186"/>
      <c r="G20" s="167"/>
      <c r="H20" s="186"/>
      <c r="I20" s="167"/>
      <c r="J20" s="186"/>
      <c r="K20" s="167"/>
      <c r="L20" s="186"/>
      <c r="M20" s="167"/>
      <c r="N20" s="186"/>
      <c r="O20" s="167"/>
    </row>
    <row r="21" spans="1:15" ht="15" customHeight="1">
      <c r="A21" s="1" t="s">
        <v>72</v>
      </c>
      <c r="B21" s="5">
        <f>+GETPIVOTDATA("Undergrad Student Credit Hour  FTE - Old",'FTE Pivot for regular counts'!$A$2,"State","MS","Category",1,"Category2","Four-Year")</f>
        <v>26344.1</v>
      </c>
      <c r="C21" s="167">
        <f>+GETPIVOTDATA("Sum of Old-HS % of Total",'Pivot-HS Student % of Undergrad'!$A$3,"State","MS","Category",1,"Category2","Four-Year")</f>
        <v>0</v>
      </c>
      <c r="D21" s="186">
        <f>+GETPIVOTDATA("Undergrad Student Credit Hour  FTE - Old",'FTE Pivot for regular counts'!$A$2,"State","MS","Category",2,"Category2","Four-Year")</f>
        <v>20476.849999999999</v>
      </c>
      <c r="E21" s="167">
        <f>+GETPIVOTDATA("Sum of Old-HS % of Total",'Pivot-HS Student % of Undergrad'!$A$3,"State","MS","Category",2,"Category2","Four-Year")</f>
        <v>0</v>
      </c>
      <c r="F21" s="186">
        <f>+GETPIVOTDATA("Undergrad Student Credit Hour  FTE - Old",'FTE Pivot for regular counts'!$A$2,"State","MS","Category",3,"Category2","Four-Year")</f>
        <v>0</v>
      </c>
      <c r="G21" s="167">
        <f>+GETPIVOTDATA("Sum of Old-HS % of Total",'Pivot-HS Student % of Undergrad'!$A$3,"State","MS","Category",3,"Category2","Four-Year")</f>
        <v>0</v>
      </c>
      <c r="H21" s="186">
        <f>+GETPIVOTDATA("Undergrad Student Credit Hour  FTE - Old",'FTE Pivot for regular counts'!$A$2,"State","MS","Category",4,"Category2","Four-Year")</f>
        <v>7725.4000000000005</v>
      </c>
      <c r="I21" s="167">
        <f>+GETPIVOTDATA("Sum of Old-HS % of Total",'Pivot-HS Student % of Undergrad'!$A$3,"State","MS","Category",4,"Category2","Four-Year")</f>
        <v>0</v>
      </c>
      <c r="J21" s="186">
        <f>+GETPIVOTDATA("Undergrad Student Credit Hour  FTE - Old",'FTE Pivot for regular counts'!$A$2,"State","MS","Category",5,"Category2","Four-Year")</f>
        <v>2254.1333333333332</v>
      </c>
      <c r="K21" s="167">
        <f>+GETPIVOTDATA("Sum of Old-HS % of Total",'Pivot-HS Student % of Undergrad'!$A$3,"State","MS","Category",5,"Category2","Four-Year")</f>
        <v>0</v>
      </c>
      <c r="L21" s="186">
        <f>+GETPIVOTDATA("Undergrad Student Credit Hour  FTE - Old",'FTE Pivot for regular counts'!$A$2,"State","MS","Category",6,"Category2","Four-Year")</f>
        <v>0</v>
      </c>
      <c r="M21" s="167">
        <f>+GETPIVOTDATA("Sum of Old-HS % of Total",'Pivot-HS Student % of Undergrad'!$A$3,"State","MS","Category",6,"Category2","Four-Year")</f>
        <v>0</v>
      </c>
      <c r="N21" s="186">
        <f>+GETPIVOTDATA("Undergrad Student Credit Hour  FTE - Old",'FTE Pivot for regular counts'!$A$2,"State","MS","Category2","Four-Year")</f>
        <v>56800.48333333333</v>
      </c>
      <c r="O21" s="167">
        <f>+GETPIVOTDATA("Sum of Old-HS % of Total",'Pivot-HS Student % of Undergrad'!$A$3,"State","MS","Category2","Group1")</f>
        <v>0</v>
      </c>
    </row>
    <row r="22" spans="1:15" ht="15" customHeight="1">
      <c r="A22" s="1" t="s">
        <v>73</v>
      </c>
      <c r="B22" s="5">
        <f>+GETPIVOTDATA("Undergrad Student Credit Hour  FTE - Old",'FTE Pivot for regular counts'!$A$2,"State","NC","Category",1,"Category2","Four-Year")</f>
        <v>55453.9</v>
      </c>
      <c r="C22" s="211">
        <f>+GETPIVOTDATA("Sum of Old-HS % of Total",'Pivot-HS Student % of Undergrad'!$A$3,"State","NC","Category",1,"Category2","Four-Year")</f>
        <v>1.7672336841953405E-4</v>
      </c>
      <c r="D22" s="186">
        <f>+GETPIVOTDATA("Undergrad Student Credit Hour  FTE - Old",'FTE Pivot for regular counts'!$A$2,"State","NC","Category",2,"Category2","Four-Year")</f>
        <v>38792.933333333334</v>
      </c>
      <c r="E22" s="211">
        <f>+GETPIVOTDATA("Sum of Old-HS % of Total",'Pivot-HS Student % of Undergrad'!$A$3,"State","NC","Category",2,"Category2","Four-Year")</f>
        <v>3.4542373696927622E-4</v>
      </c>
      <c r="F22" s="186">
        <f>+GETPIVOTDATA("Undergrad Student Credit Hour  FTE - Old",'FTE Pivot for regular counts'!$A$2,"State","NC","Category",3,"Category2","Four-Year")</f>
        <v>49732.433333333334</v>
      </c>
      <c r="G22" s="167">
        <f>+GETPIVOTDATA("Sum of Old-HS % of Total",'Pivot-HS Student % of Undergrad'!$A$3,"State","NC","Category",3,"Category2","Four-Year")</f>
        <v>4.3432421364193591E-3</v>
      </c>
      <c r="H22" s="186">
        <f>+GETPIVOTDATA("Undergrad Student Credit Hour  FTE - Old",'FTE Pivot for regular counts'!$A$2,"State","NC","Category",4,"Category2","Four-Year")</f>
        <v>4946.0666666666666</v>
      </c>
      <c r="I22" s="167">
        <f>+GETPIVOTDATA("Sum of Old-HS % of Total",'Pivot-HS Student % of Undergrad'!$A$3,"State","NC","Category",4,"Category2","Four-Year")</f>
        <v>1.9247617635562264E-2</v>
      </c>
      <c r="J22" s="186">
        <f>+GETPIVOTDATA("Undergrad Student Credit Hour  FTE - Old",'FTE Pivot for regular counts'!$A$2,"State","NC","Category",5,"Category2","Four-Year")</f>
        <v>10963.9</v>
      </c>
      <c r="K22" s="167">
        <f>+GETPIVOTDATA("Sum of Old-HS % of Total",'Pivot-HS Student % of Undergrad'!$A$3,"State","NC","Category",5,"Category2","Four-Year")</f>
        <v>0</v>
      </c>
      <c r="L22" s="186">
        <f>+GETPIVOTDATA("Undergrad Student Credit Hour  FTE - Old",'FTE Pivot for regular counts'!$A$2,"State","NC","Category",6,"Category2","Four-Year")</f>
        <v>6554.7333333333336</v>
      </c>
      <c r="M22" s="167">
        <f>+GETPIVOTDATA("Sum of Old-HS % of Total",'Pivot-HS Student % of Undergrad'!$A$3,"State","NC","Category",6,"Category2","Four-Year")</f>
        <v>0</v>
      </c>
      <c r="N22" s="186">
        <f>+GETPIVOTDATA("Undergrad Student Credit Hour  FTE - Old",'FTE Pivot for regular counts'!$A$2,"State","NC","Category2","Four-Year")</f>
        <v>166443.96666666667</v>
      </c>
      <c r="O22" s="167">
        <f>+GETPIVOTDATA("Sum of Old-HS % of Total",'Pivot-HS Student % of Undergrad'!$A$3,"State","NC","Category2","Group1")</f>
        <v>2.0090845387606918E-3</v>
      </c>
    </row>
    <row r="23" spans="1:15" ht="15" customHeight="1">
      <c r="A23" s="1" t="s">
        <v>74</v>
      </c>
      <c r="B23" s="5">
        <f>+GETPIVOTDATA("Undergrad Student Credit Hour  FTE - Old",'FTE Pivot for regular counts'!$A$2,"State","OK","Category",1,"Category2","Four-Year")</f>
        <v>36359.966666666667</v>
      </c>
      <c r="C23" s="167">
        <f>+GETPIVOTDATA("Sum of Old-HS % of Total",'Pivot-HS Student % of Undergrad'!$A$3,"State","OK","Category",1,"Category2","Four-Year")</f>
        <v>1.7986815169430848E-3</v>
      </c>
      <c r="D23" s="186">
        <f>+GETPIVOTDATA("Undergrad Student Credit Hour  FTE - Old",'FTE Pivot for regular counts'!$A$2,"State","OK","Category",2,"Category2","Four-Year")</f>
        <v>0</v>
      </c>
      <c r="E23" s="167">
        <f>+GETPIVOTDATA("Sum of Old-HS % of Total",'Pivot-HS Student % of Undergrad'!$A$3,"State","OK","Category",2,"Category2","Four-Year")</f>
        <v>0</v>
      </c>
      <c r="F23" s="186">
        <f>+GETPIVOTDATA("Undergrad Student Credit Hour  FTE - Old",'FTE Pivot for regular counts'!$A$2,"State","OK","Category",3,"Category2","Four-Year")</f>
        <v>19483.400000000001</v>
      </c>
      <c r="G23" s="167">
        <f>+GETPIVOTDATA("Sum of Old-HS % of Total",'Pivot-HS Student % of Undergrad'!$A$3,"State","OK","Category",3,"Category2","Four-Year")</f>
        <v>4.340447081447112E-3</v>
      </c>
      <c r="H23" s="186">
        <f>+GETPIVOTDATA("Undergrad Student Credit Hour  FTE - Old",'FTE Pivot for regular counts'!$A$2,"State","OK","Category",4,"Category2","Four-Year")</f>
        <v>3262.6666666666665</v>
      </c>
      <c r="I23" s="167">
        <f>+GETPIVOTDATA("Sum of Old-HS % of Total",'Pivot-HS Student % of Undergrad'!$A$3,"State","OK","Category",4,"Category2","Four-Year")</f>
        <v>1.5243154883530854E-2</v>
      </c>
      <c r="J23" s="186">
        <f>+GETPIVOTDATA("Undergrad Student Credit Hour  FTE - Old",'FTE Pivot for regular counts'!$A$2,"State","OK","Category",5,"Category2","Four-Year")</f>
        <v>16300.4</v>
      </c>
      <c r="K23" s="167">
        <f>+GETPIVOTDATA("Sum of Old-HS % of Total",'Pivot-HS Student % of Undergrad'!$A$3,"State","OK","Category",5,"Category2","Four-Year")</f>
        <v>1.0660270095621375E-2</v>
      </c>
      <c r="L23" s="186">
        <f>+GETPIVOTDATA("Undergrad Student Credit Hour  FTE - Old",'FTE Pivot for regular counts'!$A$2,"State","OK","Category",6,"Category2","Four-Year")</f>
        <v>5744.1</v>
      </c>
      <c r="M23" s="167">
        <f>+GETPIVOTDATA("Sum of Old-HS % of Total",'Pivot-HS Student % of Undergrad'!$A$3,"State","OK","Category",6,"Category2","Four-Year")</f>
        <v>2.9462114749627153E-2</v>
      </c>
      <c r="N23" s="186">
        <f>+GETPIVOTDATA("Undergrad Student Credit Hour  FTE - Old",'FTE Pivot for regular counts'!$A$2,"State","OK","Category2","Four-Year")</f>
        <v>81150.53333333334</v>
      </c>
      <c r="O23" s="167">
        <f>+GETPIVOTDATA("Sum of Old-HS % of Total",'Pivot-HS Student % of Undergrad'!$A$3,"State","OK","Category2","Group1")</f>
        <v>6.6875715748017268E-3</v>
      </c>
    </row>
    <row r="24" spans="1:15" ht="15" customHeight="1">
      <c r="A24" s="1" t="s">
        <v>75</v>
      </c>
      <c r="B24" s="5">
        <f>+GETPIVOTDATA("Undergrad Student Credit Hour  FTE - Old",'FTE Pivot for regular counts'!$A$2,"State","SC","Category",1,"Category2","Four-Year")</f>
        <v>37938.633333333331</v>
      </c>
      <c r="C24" s="211">
        <f>+GETPIVOTDATA("Sum of Old-HS % of Total",'Pivot-HS Student % of Undergrad'!$A$3,"State","SC","Category",1,"Category2","Four-Year")</f>
        <v>2.1593282224198672E-4</v>
      </c>
      <c r="D24" s="186">
        <f>+GETPIVOTDATA("Undergrad Student Credit Hour  FTE - Old",'FTE Pivot for regular counts'!$A$2,"State","SC","Category",2,"Category2","Four-Year")</f>
        <v>0</v>
      </c>
      <c r="E24" s="167">
        <f>+GETPIVOTDATA("Sum of Old-HS % of Total",'Pivot-HS Student % of Undergrad'!$A$3,"State","SC","Category",2,"Category2","Four-Year")</f>
        <v>0</v>
      </c>
      <c r="F24" s="186">
        <f>+GETPIVOTDATA("Undergrad Student Credit Hour  FTE - Old",'FTE Pivot for regular counts'!$A$2,"State","SC","Category",3,"Category2","Four-Year")</f>
        <v>14760.600000000002</v>
      </c>
      <c r="G24" s="167">
        <f>+GETPIVOTDATA("Sum of Old-HS % of Total",'Pivot-HS Student % of Undergrad'!$A$3,"State","SC","Category",3,"Category2","Four-Year")</f>
        <v>2.8973528628014216E-3</v>
      </c>
      <c r="H24" s="186">
        <f>+GETPIVOTDATA("Undergrad Student Credit Hour  FTE - Old",'FTE Pivot for regular counts'!$A$2,"State","SC","Category",4,"Category2","Four-Year")</f>
        <v>2907.9333333333334</v>
      </c>
      <c r="I24" s="167">
        <f>+GETPIVOTDATA("Sum of Old-HS % of Total",'Pivot-HS Student % of Undergrad'!$A$3,"State","SC","Category",4,"Category2","Four-Year")</f>
        <v>2.6020770765033587E-3</v>
      </c>
      <c r="J24" s="186">
        <f>+GETPIVOTDATA("Undergrad Student Credit Hour  FTE - Old",'FTE Pivot for regular counts'!$A$2,"State","SC","Category",5,"Category2","Four-Year")</f>
        <v>15491.533333333335</v>
      </c>
      <c r="K24" s="167">
        <f>+GETPIVOTDATA("Sum of Old-HS % of Total",'Pivot-HS Student % of Undergrad'!$A$3,"State","SC","Category",5,"Category2","Four-Year")</f>
        <v>4.8140379162255218E-3</v>
      </c>
      <c r="L24" s="186">
        <f>+GETPIVOTDATA("Undergrad Student Credit Hour  FTE - Old",'FTE Pivot for regular counts'!$A$2,"State","SC","Category",6,"Category2","Four-Year")</f>
        <v>12260.933333333334</v>
      </c>
      <c r="M24" s="167">
        <f>+GETPIVOTDATA("Sum of Old-HS % of Total",'Pivot-HS Student % of Undergrad'!$A$3,"State","SC","Category",6,"Category2","Four-Year")</f>
        <v>7.9330556673227696E-3</v>
      </c>
      <c r="N24" s="186">
        <f>+GETPIVOTDATA("Undergrad Student Credit Hour  FTE - Old",'FTE Pivot for regular counts'!$A$2,"State","SC","Category2","Four-Year")</f>
        <v>83359.633333333346</v>
      </c>
      <c r="O24" s="167">
        <f>+GETPIVOTDATA("Sum of Old-HS % of Total",'Pivot-HS Student % of Undergrad'!$A$3,"State","SC","Category2","Group1")</f>
        <v>3.2769826869480192E-3</v>
      </c>
    </row>
    <row r="25" spans="1:15" ht="15" customHeight="1">
      <c r="B25" s="5"/>
      <c r="C25" s="211"/>
      <c r="D25" s="186"/>
      <c r="E25" s="167"/>
      <c r="F25" s="186"/>
      <c r="G25" s="167"/>
      <c r="H25" s="186"/>
      <c r="I25" s="167"/>
      <c r="J25" s="186"/>
      <c r="K25" s="167"/>
      <c r="L25" s="186"/>
      <c r="M25" s="167"/>
      <c r="N25" s="186"/>
      <c r="O25" s="167"/>
    </row>
    <row r="26" spans="1:15" ht="15" customHeight="1">
      <c r="A26" s="1" t="s">
        <v>76</v>
      </c>
      <c r="B26" s="5">
        <f>+GETPIVOTDATA("Undergrad Student Credit Hour  FTE - Old",'FTE Pivot for regular counts'!$A$2,"State","TN","Category",1,"Category2","Four-Year")</f>
        <v>34372.1</v>
      </c>
      <c r="C26" s="167">
        <f>+GETPIVOTDATA("Sum of Old-HS % of Total",'Pivot-HS Student % of Undergrad'!$A$3,"State","TN","Category",1,"Category2","Four-Year")</f>
        <v>0</v>
      </c>
      <c r="D26" s="186">
        <f>+GETPIVOTDATA("Undergrad Student Credit Hour  FTE - Old",'FTE Pivot for regular counts'!$A$2,"State","TN","Category",2,"Category2","Four-Year")</f>
        <v>6188.5666666666666</v>
      </c>
      <c r="E26" s="167">
        <f>+GETPIVOTDATA("Sum of Old-HS % of Total",'Pivot-HS Student % of Undergrad'!$A$3,"State","TN","Category",2,"Category2","Four-Year")</f>
        <v>0</v>
      </c>
      <c r="F26" s="186">
        <f>+GETPIVOTDATA("Undergrad Student Credit Hour  FTE - Old",'FTE Pivot for regular counts'!$A$2,"State","TN","Category",3,"Category2","Four-Year")</f>
        <v>57744.666666666664</v>
      </c>
      <c r="G26" s="167">
        <f>+GETPIVOTDATA("Sum of Old-HS % of Total",'Pivot-HS Student % of Undergrad'!$A$3,"State","TN","Category",3,"Category2","Four-Year")</f>
        <v>6.4118984017011655E-3</v>
      </c>
      <c r="H26" s="186">
        <f>+GETPIVOTDATA("Undergrad Student Credit Hour  FTE - Old",'FTE Pivot for regular counts'!$A$2,"State","TN","Category",4,"Category2","Four-Year")</f>
        <v>0</v>
      </c>
      <c r="I26" s="167">
        <f>+GETPIVOTDATA("Sum of Old-HS % of Total",'Pivot-HS Student % of Undergrad'!$A$3,"State","TN","Category",4,"Category2","Four-Year")</f>
        <v>0</v>
      </c>
      <c r="J26" s="186">
        <f>+GETPIVOTDATA("Undergrad Student Credit Hour  FTE - Old",'FTE Pivot for regular counts'!$A$2,"State","TN","Category",5,"Category2","Four-Year")</f>
        <v>6917.4666666666662</v>
      </c>
      <c r="K26" s="167">
        <f>+GETPIVOTDATA("Sum of Old-HS % of Total",'Pivot-HS Student % of Undergrad'!$A$3,"State","TN","Category",5,"Category2","Four-Year")</f>
        <v>2.6777625720398605E-2</v>
      </c>
      <c r="L26" s="186">
        <f>+GETPIVOTDATA("Undergrad Student Credit Hour  FTE - Old",'FTE Pivot for regular counts'!$A$2,"State","TN","Category",6,"Category2","Four-Year")</f>
        <v>0</v>
      </c>
      <c r="M26" s="167">
        <f>+GETPIVOTDATA("Sum of Old-HS % of Total",'Pivot-HS Student % of Undergrad'!$A$3,"State","TN","Category",6,"Category2","Four-Year")</f>
        <v>0</v>
      </c>
      <c r="N26" s="186">
        <f>+GETPIVOTDATA("Undergrad Student Credit Hour  FTE - Old",'FTE Pivot for regular counts'!$A$2,"State","TN","Category2","Four-Year")</f>
        <v>105222.79999999999</v>
      </c>
      <c r="O26" s="167">
        <f>+GETPIVOTDATA("Sum of Old-HS % of Total",'Pivot-HS Student % of Undergrad'!$A$3,"State","TN","Category2","Group1")</f>
        <v>1.5731917887062737E-2</v>
      </c>
    </row>
    <row r="27" spans="1:15" ht="15" customHeight="1">
      <c r="A27" s="1" t="s">
        <v>77</v>
      </c>
      <c r="B27" s="5">
        <f>+GETPIVOTDATA("Undergrad Student Credit Hour  FTE - Old",'FTE Pivot for regular counts'!$A$2,"State","TX","Category",1,"Category2","Four-Year")</f>
        <v>175886.23333333337</v>
      </c>
      <c r="C27" s="167">
        <f>+GETPIVOTDATA("Sum of Old-HS % of Total",'Pivot-HS Student % of Undergrad'!$A$3,"State","TX","Category",1,"Category2","Four-Year")</f>
        <v>1.1278123529470849E-3</v>
      </c>
      <c r="D27" s="186">
        <f>+GETPIVOTDATA("Undergrad Student Credit Hour  FTE - Old",'FTE Pivot for regular counts'!$A$2,"State","TX","Category",2,"Category2","Four-Year")</f>
        <v>44420.633333333331</v>
      </c>
      <c r="E27" s="167">
        <f>+GETPIVOTDATA("Sum of Old-HS % of Total",'Pivot-HS Student % of Undergrad'!$A$3,"State","TX","Category",2,"Category2","Four-Year")</f>
        <v>9.1624087604934344E-4</v>
      </c>
      <c r="F27" s="186">
        <f>+GETPIVOTDATA("Undergrad Student Credit Hour  FTE - Old",'FTE Pivot for regular counts'!$A$2,"State","TX","Category",3,"Category2","Four-Year")</f>
        <v>142673.56666666665</v>
      </c>
      <c r="G27" s="167">
        <f>+GETPIVOTDATA("Sum of Old-HS % of Total",'Pivot-HS Student % of Undergrad'!$A$3,"State","TX","Category",3,"Category2","Four-Year")</f>
        <v>8.3563715493199277E-3</v>
      </c>
      <c r="H27" s="186">
        <f>+GETPIVOTDATA("Undergrad Student Credit Hour  FTE - Old",'FTE Pivot for regular counts'!$A$2,"State","TX","Category",4,"Category2","Four-Year")</f>
        <v>4070.5333333333333</v>
      </c>
      <c r="I27" s="211">
        <f>+GETPIVOTDATA("Sum of Old-HS % of Total",'Pivot-HS Student % of Undergrad'!$A$3,"State","TX","Category",4,"Category2","Four-Year")</f>
        <v>1.310229617740509E-4</v>
      </c>
      <c r="J27" s="186">
        <f>+GETPIVOTDATA("Undergrad Student Credit Hour  FTE - Old",'FTE Pivot for regular counts'!$A$2,"State","TX","Category",5,"Category2","Four-Year")</f>
        <v>11297.633333333335</v>
      </c>
      <c r="K27" s="167">
        <f>+GETPIVOTDATA("Sum of Old-HS % of Total",'Pivot-HS Student % of Undergrad'!$A$3,"State","TX","Category",5,"Category2","Four-Year")</f>
        <v>1.1005254787875927E-3</v>
      </c>
      <c r="L27" s="186">
        <f>+GETPIVOTDATA("Undergrad Student Credit Hour  FTE - Old",'FTE Pivot for regular counts'!$A$2,"State","TX","Category",6,"Category2","Four-Year")</f>
        <v>1805.5333333333333</v>
      </c>
      <c r="M27" s="167">
        <f>+GETPIVOTDATA("Sum of Old-HS % of Total",'Pivot-HS Student % of Undergrad'!$A$3,"State","TX","Category",6,"Category2","Four-Year")</f>
        <v>0</v>
      </c>
      <c r="N27" s="186">
        <f>+GETPIVOTDATA("Undergrad Student Credit Hour  FTE - Old",'FTE Pivot for regular counts'!$A$2,"State","TX","Category2","Four-Year")</f>
        <v>380154.13333333336</v>
      </c>
      <c r="O27" s="167">
        <f>+GETPIVOTDATA("Sum of Old-HS % of Total",'Pivot-HS Student % of Undergrad'!$A$3,"State","TX","Category2","Group1")</f>
        <v>3.7991607614595623E-3</v>
      </c>
    </row>
    <row r="28" spans="1:15" ht="15" customHeight="1">
      <c r="A28" s="1" t="s">
        <v>78</v>
      </c>
      <c r="B28" s="5">
        <f>+GETPIVOTDATA("Undergrad Student Credit Hour  FTE - Old",'FTE Pivot for regular counts'!$A$2,"State","VA","Category",1,"Category2","Four-Year")</f>
        <v>76295.200000000012</v>
      </c>
      <c r="C28" s="167">
        <f>+GETPIVOTDATA("Sum of Old-HS % of Total",'Pivot-HS Student % of Undergrad'!$A$3,"State","VA","Category",1,"Category2","Four-Year")</f>
        <v>1.071015389347342E-2</v>
      </c>
      <c r="D28" s="186">
        <f>+GETPIVOTDATA("Undergrad Student Credit Hour  FTE - Old",'FTE Pivot for regular counts'!$A$2,"State","VA","Category",2,"Category2","Four-Year")</f>
        <v>27516.916666666668</v>
      </c>
      <c r="E28" s="167">
        <f>+GETPIVOTDATA("Sum of Old-HS % of Total",'Pivot-HS Student % of Undergrad'!$A$3,"State","VA","Category",2,"Category2","Four-Year")</f>
        <v>9.1870758291111836E-3</v>
      </c>
      <c r="F28" s="186">
        <f>+GETPIVOTDATA("Undergrad Student Credit Hour  FTE - Old",'FTE Pivot for regular counts'!$A$2,"State","VA","Category",3,"Category2","Four-Year")</f>
        <v>23152.966666666667</v>
      </c>
      <c r="G28" s="167">
        <f>+GETPIVOTDATA("Sum of Old-HS % of Total",'Pivot-HS Student % of Undergrad'!$A$3,"State","VA","Category",3,"Category2","Four-Year")</f>
        <v>8.816724710584244E-3</v>
      </c>
      <c r="H28" s="186">
        <f>+GETPIVOTDATA("Undergrad Student Credit Hour  FTE - Old",'FTE Pivot for regular counts'!$A$2,"State","VA","Category",4,"Category2","Four-Year")</f>
        <v>17628.966666666667</v>
      </c>
      <c r="I28" s="211">
        <f>+GETPIVOTDATA("Sum of Old-HS % of Total",'Pivot-HS Student % of Undergrad'!$A$3,"State","VA","Category",4,"Category2","Four-Year")</f>
        <v>4.8405181623426593E-4</v>
      </c>
      <c r="J28" s="186">
        <f>+GETPIVOTDATA("Undergrad Student Credit Hour  FTE - Old",'FTE Pivot for regular counts'!$A$2,"State","VA","Category",5,"Category2","Four-Year")</f>
        <v>8915.3333333333321</v>
      </c>
      <c r="K28" s="211">
        <f>+GETPIVOTDATA("Sum of Old-HS % of Total",'Pivot-HS Student % of Undergrad'!$A$3,"State","VA","Category",5,"Category2","Four-Year")</f>
        <v>1.1216630524190533E-4</v>
      </c>
      <c r="L28" s="186">
        <f>+GETPIVOTDATA("Undergrad Student Credit Hour  FTE - Old",'FTE Pivot for regular counts'!$A$2,"State","VA","Category",6,"Category2","Four-Year")</f>
        <v>1723.6666666666667</v>
      </c>
      <c r="M28" s="167">
        <f>+GETPIVOTDATA("Sum of Old-HS % of Total",'Pivot-HS Student % of Undergrad'!$A$3,"State","VA","Category",6,"Category2","Four-Year")</f>
        <v>1.566428157029588E-3</v>
      </c>
      <c r="N28" s="186">
        <f>+GETPIVOTDATA("Undergrad Student Credit Hour  FTE - Old",'FTE Pivot for regular counts'!$A$2,"State","VA","Category2","Four-Year")</f>
        <v>155233.05000000002</v>
      </c>
      <c r="O28" s="167">
        <f>+GETPIVOTDATA("Sum of Old-HS % of Total",'Pivot-HS Student % of Undergrad'!$A$3,"State","VA","Category2","Group1")</f>
        <v>8.2862508982462172E-3</v>
      </c>
    </row>
    <row r="29" spans="1:15" s="25" customFormat="1" ht="15" customHeight="1">
      <c r="A29" s="3" t="s">
        <v>79</v>
      </c>
      <c r="B29" s="6">
        <f>+GETPIVOTDATA("Undergrad Student Credit Hour  FTE - Old",'FTE Pivot for regular counts'!$A$2,"State","WV","Category",1,"Category2","Four-Year")</f>
        <v>21854.6</v>
      </c>
      <c r="C29" s="168">
        <f>+GETPIVOTDATA("Sum of Old-HS % of Total",'Pivot-HS Student % of Undergrad'!$A$3,"State","WV","Category",1,"Category2","Four-Year")</f>
        <v>4.6107760685012156E-3</v>
      </c>
      <c r="D29" s="187">
        <f>+GETPIVOTDATA("Undergrad Student Credit Hour  FTE - Old",'FTE Pivot for regular counts'!$A$2,"State","WV","Category",2,"Category2","Four-Year")</f>
        <v>0</v>
      </c>
      <c r="E29" s="168">
        <f>+GETPIVOTDATA("Sum of Old-HS % of Total",'Pivot-HS Student % of Undergrad'!$A$3,"State","WV","Category",2,"Category2","Four-Year")</f>
        <v>0</v>
      </c>
      <c r="F29" s="187">
        <f>+GETPIVOTDATA("Undergrad Student Credit Hour  FTE - Old",'FTE Pivot for regular counts'!$A$2,"State","WV","Category",3,"Category2","Four-Year")</f>
        <v>9014.8666666666668</v>
      </c>
      <c r="G29" s="168">
        <f>+GETPIVOTDATA("Sum of Old-HS % of Total",'Pivot-HS Student % of Undergrad'!$A$3,"State","WV","Category",3,"Category2","Four-Year")</f>
        <v>1.4993751063058799E-2</v>
      </c>
      <c r="H29" s="187">
        <f>+GETPIVOTDATA("Undergrad Student Credit Hour  FTE - Old",'FTE Pivot for regular counts'!$A$2,"State","WV","Category",4,"Category2","Four-Year")</f>
        <v>0</v>
      </c>
      <c r="I29" s="168">
        <f>+GETPIVOTDATA("Sum of Old-HS % of Total",'Pivot-HS Student % of Undergrad'!$A$3,"State","WV","Category",4,"Category2","Four-Year")</f>
        <v>0</v>
      </c>
      <c r="J29" s="187">
        <f>+GETPIVOTDATA("Undergrad Student Credit Hour  FTE - Old",'FTE Pivot for regular counts'!$A$2,"State","WV","Category",5,"Category2","Four-Year")</f>
        <v>7748.6833333333334</v>
      </c>
      <c r="K29" s="238">
        <f>+GETPIVOTDATA("Sum of Old-HS % of Total",'Pivot-HS Student % of Undergrad'!$A$3,"State","WV","Category",5,"Category2","Four-Year")</f>
        <v>4.6459506023604011E-4</v>
      </c>
      <c r="L29" s="187">
        <f>+GETPIVOTDATA("Undergrad Student Credit Hour  FTE - Old",'FTE Pivot for regular counts'!$A$2,"State","WV","Category",6,"Category2","Four-Year")</f>
        <v>11982.406666666666</v>
      </c>
      <c r="M29" s="168">
        <f>+GETPIVOTDATA("Sum of Old-HS % of Total",'Pivot-HS Student % of Undergrad'!$A$3,"State","WV","Category",6,"Category2","Four-Year")</f>
        <v>2.1347965155580875E-2</v>
      </c>
      <c r="N29" s="187">
        <f>+GETPIVOTDATA("Undergrad Student Credit Hour  FTE - Old",'FTE Pivot for regular counts'!$A$2,"State","WV","Category2","Four-Year")</f>
        <v>50600.556666666671</v>
      </c>
      <c r="O29" s="168">
        <f>+GETPIVOTDATA("Sum of Old-HS % of Total",'Pivot-HS Student % of Undergrad'!$A$3,"State","WV","Category2","Group1")</f>
        <v>9.7890886180632929E-3</v>
      </c>
    </row>
    <row r="30" spans="1:15" ht="23.25" customHeight="1">
      <c r="A30" s="840" t="s">
        <v>992</v>
      </c>
      <c r="B30" s="841"/>
      <c r="C30" s="841"/>
      <c r="D30" s="841"/>
      <c r="E30" s="841"/>
      <c r="F30" s="841"/>
      <c r="G30" s="841"/>
      <c r="H30" s="841"/>
      <c r="I30" s="842"/>
      <c r="J30" s="842"/>
      <c r="K30" s="842"/>
      <c r="L30" s="842"/>
      <c r="M30" s="842"/>
      <c r="N30" s="842"/>
      <c r="O30" s="842"/>
    </row>
    <row r="31" spans="1:15">
      <c r="A31" s="49"/>
      <c r="B31" s="50"/>
      <c r="C31" s="50"/>
      <c r="D31" s="50"/>
      <c r="E31" s="50"/>
      <c r="F31" s="50"/>
      <c r="G31" s="50"/>
      <c r="H31" s="1"/>
      <c r="J31" s="124"/>
      <c r="K31" s="124"/>
      <c r="L31" s="124"/>
      <c r="M31" s="193"/>
      <c r="N31" s="48"/>
      <c r="O31" s="169" t="s">
        <v>987</v>
      </c>
    </row>
    <row r="32" spans="1:15" ht="18">
      <c r="A32" s="41" t="s">
        <v>164</v>
      </c>
      <c r="B32" s="43"/>
      <c r="C32" s="43"/>
      <c r="D32" s="43"/>
      <c r="E32" s="43"/>
      <c r="F32" s="51"/>
      <c r="G32" s="43"/>
      <c r="H32" s="110"/>
      <c r="I32" s="50"/>
      <c r="J32" s="124"/>
      <c r="K32" s="124"/>
      <c r="L32" s="124"/>
      <c r="M32" s="193"/>
      <c r="N32" s="48"/>
    </row>
    <row r="33" spans="1:14" ht="15.75">
      <c r="A33" s="43"/>
      <c r="B33" s="43"/>
      <c r="C33" s="43"/>
      <c r="D33" s="43"/>
      <c r="E33" s="43"/>
      <c r="F33" s="43"/>
      <c r="G33" s="43"/>
      <c r="H33" s="110"/>
      <c r="I33" s="50"/>
      <c r="J33" s="124"/>
      <c r="K33" s="124"/>
      <c r="L33" s="124"/>
      <c r="M33" s="193"/>
      <c r="N33" s="48"/>
    </row>
    <row r="34" spans="1:14" ht="15.75">
      <c r="A34" s="43" t="s">
        <v>33</v>
      </c>
      <c r="B34" s="43"/>
      <c r="C34" s="43"/>
      <c r="D34" s="43"/>
      <c r="E34" s="43"/>
      <c r="F34" s="43"/>
      <c r="G34" s="43"/>
      <c r="H34" s="110"/>
      <c r="I34" s="50"/>
      <c r="J34" s="124"/>
      <c r="K34" s="124"/>
      <c r="L34" s="124"/>
      <c r="M34" s="193"/>
      <c r="N34" s="48"/>
    </row>
    <row r="35" spans="1:14" ht="15.75">
      <c r="A35" s="43" t="s">
        <v>233</v>
      </c>
      <c r="B35" s="43"/>
      <c r="C35" s="43"/>
      <c r="D35" s="43"/>
      <c r="E35" s="43"/>
      <c r="F35" s="43"/>
      <c r="G35" s="43"/>
      <c r="H35" s="110"/>
    </row>
    <row r="37" spans="1:14" ht="15" customHeight="1">
      <c r="A37" s="52"/>
      <c r="B37" s="52" t="s">
        <v>62</v>
      </c>
      <c r="C37" s="52"/>
      <c r="D37" s="52"/>
      <c r="E37" s="52"/>
      <c r="F37" s="52"/>
      <c r="G37" s="52"/>
      <c r="H37" s="111"/>
    </row>
    <row r="38" spans="1:14" ht="15" customHeight="1">
      <c r="A38" s="53"/>
      <c r="B38" s="46">
        <v>1</v>
      </c>
      <c r="C38" s="46">
        <v>2</v>
      </c>
      <c r="D38" s="46">
        <v>3</v>
      </c>
      <c r="E38" s="46">
        <v>4</v>
      </c>
      <c r="F38" s="46">
        <v>5</v>
      </c>
      <c r="G38" s="54">
        <v>6</v>
      </c>
      <c r="H38" s="93" t="s">
        <v>30</v>
      </c>
    </row>
    <row r="39" spans="1:14" ht="15" customHeight="1">
      <c r="A39" s="1" t="s">
        <v>64</v>
      </c>
      <c r="B39" s="11">
        <f>+GETPIVOTDATA("Graduate FTE - Old",'FTE Pivot for regular counts'!$A$2,"Category",1,"Category2","Four-Year")</f>
        <v>220401.125</v>
      </c>
      <c r="C39" s="11">
        <f>+GETPIVOTDATA("Graduate FTE - Old",'FTE Pivot for regular counts'!$A$2,"Category",2,"Category2","Four-Year")</f>
        <v>52999.437499999993</v>
      </c>
      <c r="D39" s="11">
        <f>+GETPIVOTDATA("Graduate FTE - Old",'FTE Pivot for regular counts'!$A$2,"Category",3,"Category2","Four-Year")</f>
        <v>83309.458333333328</v>
      </c>
      <c r="E39" s="11">
        <f>+GETPIVOTDATA("Graduate FTE - Old",'FTE Pivot for regular counts'!$A$2,"Category",4,"Category2","Four-Year")</f>
        <v>24748.895833333328</v>
      </c>
      <c r="F39" s="11">
        <f>+GETPIVOTDATA("Graduate FTE - Old",'FTE Pivot for regular counts'!$A$2,"Category",5,"Category2","Four-Year")</f>
        <v>9848.6666666666661</v>
      </c>
      <c r="G39" s="12">
        <f>+GETPIVOTDATA("Graduate FTE - Old",'FTE Pivot for regular counts'!$A$2,"Category",6,"Category2","Four-Year")</f>
        <v>720.5</v>
      </c>
      <c r="H39" s="112">
        <f>+GETPIVOTDATA("Graduate FTE - Old",'FTE Pivot for regular counts'!$A$2,"Category2","Four-Year")</f>
        <v>392028.08333333326</v>
      </c>
    </row>
    <row r="40" spans="1:14" ht="15" customHeight="1">
      <c r="B40" s="11"/>
      <c r="C40" s="11"/>
      <c r="D40" s="11"/>
      <c r="E40" s="11"/>
      <c r="F40" s="11"/>
      <c r="G40" s="12"/>
      <c r="H40" s="112"/>
    </row>
    <row r="41" spans="1:14" ht="15" customHeight="1">
      <c r="A41" s="1" t="s">
        <v>65</v>
      </c>
      <c r="B41" s="33">
        <f>+GETPIVOTDATA("Graduate FTE - Old",'FTE Pivot for regular counts'!$A$2,"State","AL","Category",1,"Category2","Four-Year")</f>
        <v>8086.5833333333339</v>
      </c>
      <c r="C41" s="33">
        <f>+GETPIVOTDATA("Graduate FTE - Old",'FTE Pivot for regular counts'!$A$2,"State","AL","Category",2,"Category2","Four-Year")</f>
        <v>2905</v>
      </c>
      <c r="D41" s="33">
        <f>+GETPIVOTDATA("Graduate FTE - Old",'FTE Pivot for regular counts'!$A$2,"State","AL","Category",3,"Category2","Four-Year")</f>
        <v>4566.125</v>
      </c>
      <c r="E41" s="33">
        <f>+GETPIVOTDATA("Graduate FTE - Old",'FTE Pivot for regular counts'!$A$2,"State","AL","Category",4,"Category2","Four-Year")</f>
        <v>1884.3333333333333</v>
      </c>
      <c r="F41" s="33">
        <f>+GETPIVOTDATA("Graduate FTE - Old",'FTE Pivot for regular counts'!$A$2,"State","AL","Category",5,"Category2","Four-Year")</f>
        <v>2428.541666666667</v>
      </c>
      <c r="G41" s="12">
        <f>+GETPIVOTDATA("Graduate FTE - Old",'FTE Pivot for regular counts'!$A$2,"State","AL","Category",6,"Category2","Four-Year")</f>
        <v>0</v>
      </c>
      <c r="H41" s="113">
        <f>+GETPIVOTDATA("Graduate FTE - Old",'FTE Pivot for regular counts'!$A$2,"State","AL","Category2","Four-Year")</f>
        <v>19870.583333333336</v>
      </c>
    </row>
    <row r="42" spans="1:14" ht="15" customHeight="1">
      <c r="A42" s="4" t="s">
        <v>66</v>
      </c>
      <c r="B42" s="33">
        <f>+GETPIVOTDATA("Graduate FTE - Old",'FTE Pivot for regular counts'!$A$2,"State","AR","Category",1,"Category2","Four-Year")</f>
        <v>3215.9583333333335</v>
      </c>
      <c r="C42" s="33">
        <f>+GETPIVOTDATA("Graduate FTE - Old",'FTE Pivot for regular counts'!$A$2,"State","AR","Category",2,"Category2","Four-Year")</f>
        <v>0</v>
      </c>
      <c r="D42" s="33">
        <f>+GETPIVOTDATA("Graduate FTE - Old",'FTE Pivot for regular counts'!$A$2,"State","AR","Category",3,"Category2","Four-Year")</f>
        <v>7479.416666666667</v>
      </c>
      <c r="E42" s="33">
        <f>+GETPIVOTDATA("Graduate FTE - Old",'FTE Pivot for regular counts'!$A$2,"State","AR","Category",4,"Category2","Four-Year")</f>
        <v>647</v>
      </c>
      <c r="F42" s="33">
        <f>+GETPIVOTDATA("Graduate FTE - Old",'FTE Pivot for regular counts'!$A$2,"State","AR","Category",5,"Category2","Four-Year")</f>
        <v>86.625</v>
      </c>
      <c r="G42" s="12">
        <f>+GETPIVOTDATA("Graduate FTE - Old",'FTE Pivot for regular counts'!$A$2,"State","AR","Category",6,"Category2","Four-Year")</f>
        <v>78.541666666666671</v>
      </c>
      <c r="H42" s="113">
        <f>+GETPIVOTDATA("Graduate FTE - Old",'FTE Pivot for regular counts'!$A$2,"State","AR","Category2","Four-Year")</f>
        <v>11507.541666666666</v>
      </c>
    </row>
    <row r="43" spans="1:14" ht="15" customHeight="1">
      <c r="A43" s="1" t="s">
        <v>102</v>
      </c>
      <c r="B43" s="33">
        <f>+GETPIVOTDATA("Graduate FTE - Old",'FTE Pivot for regular counts'!$A$2,"State","DE","Category",1,"Category2","Four-Year")</f>
        <v>2156</v>
      </c>
      <c r="C43" s="33">
        <f>+GETPIVOTDATA("Graduate FTE - Old",'FTE Pivot for regular counts'!$A$2,"State","DE","Category",2,"Category2","Four-Year")</f>
        <v>0</v>
      </c>
      <c r="D43" s="33">
        <f>+GETPIVOTDATA("Graduate FTE - Old",'FTE Pivot for regular counts'!$A$2,"State","DE","Category",3,"Category2","Four-Year")</f>
        <v>338.125</v>
      </c>
      <c r="E43" s="33">
        <f>+GETPIVOTDATA("Graduate FTE - Old",'FTE Pivot for regular counts'!$A$2,"State","DE","Category",4,"Category2","Four-Year")</f>
        <v>0</v>
      </c>
      <c r="F43" s="33">
        <f>+GETPIVOTDATA("Graduate FTE - Old",'FTE Pivot for regular counts'!$A$2,"State","DE","Category",5,"Category2","Four-Year")</f>
        <v>0</v>
      </c>
      <c r="G43" s="12">
        <f>+GETPIVOTDATA("Graduate FTE - Old",'FTE Pivot for regular counts'!$A$2,"State","DE","Category",6,"Category2","Four-Year")</f>
        <v>0</v>
      </c>
      <c r="H43" s="113">
        <f>+GETPIVOTDATA("Graduate FTE - Old",'FTE Pivot for regular counts'!$A$2,"State","DE","Category2","Four-Year")</f>
        <v>2494.125</v>
      </c>
      <c r="N43" s="95"/>
    </row>
    <row r="44" spans="1:14" ht="15" customHeight="1">
      <c r="A44" s="1" t="s">
        <v>67</v>
      </c>
      <c r="B44" s="33">
        <f>+GETPIVOTDATA("Graduate FTE - Old",'FTE Pivot for regular counts'!$A$2,"State","FL","Category",1,"Category2","Four-Year")</f>
        <v>43996.791666666672</v>
      </c>
      <c r="C44" s="33">
        <f>+GETPIVOTDATA("Graduate FTE - Old",'FTE Pivot for regular counts'!$A$2,"State","FL","Category",2,"Category2","Four-Year")</f>
        <v>3273.25</v>
      </c>
      <c r="D44" s="33">
        <f>+GETPIVOTDATA("Graduate FTE - Old",'FTE Pivot for regular counts'!$A$2,"State","FL","Category",3,"Category2","Four-Year")</f>
        <v>4774.5</v>
      </c>
      <c r="E44" s="33">
        <f>+GETPIVOTDATA("Graduate FTE - Old",'FTE Pivot for regular counts'!$A$2,"State","FL","Category",4,"Category2","Four-Year")</f>
        <v>998.45833333333337</v>
      </c>
      <c r="F44" s="33">
        <f>+GETPIVOTDATA("Graduate FTE - Old",'FTE Pivot for regular counts'!$A$2,"State","FL","Category",5,"Category2","Four-Year")</f>
        <v>0</v>
      </c>
      <c r="G44" s="12">
        <f>+GETPIVOTDATA("Graduate FTE - Old",'FTE Pivot for regular counts'!$A$2,"State","FL","Category",6,"Category2","Four-Year")</f>
        <v>0</v>
      </c>
      <c r="H44" s="113">
        <f>+GETPIVOTDATA("Graduate FTE - Old",'FTE Pivot for regular counts'!$A$2,"State","FL","Category2","Four-Year")</f>
        <v>53043.000000000007</v>
      </c>
    </row>
    <row r="45" spans="1:14" ht="15" customHeight="1">
      <c r="B45" s="33"/>
      <c r="C45" s="33"/>
      <c r="D45" s="33"/>
      <c r="E45" s="33"/>
      <c r="F45" s="33"/>
      <c r="G45" s="12"/>
      <c r="H45" s="113"/>
    </row>
    <row r="46" spans="1:14" ht="15" customHeight="1">
      <c r="A46" s="1" t="s">
        <v>68</v>
      </c>
      <c r="B46" s="33">
        <f>+GETPIVOTDATA("Graduate FTE - Old",'FTE Pivot for regular counts'!$A$2,"State","GA","Category",1,"Category2","Four-Year")</f>
        <v>19576.395833333336</v>
      </c>
      <c r="C46" s="33">
        <f>+GETPIVOTDATA("Graduate FTE - Old",'FTE Pivot for regular counts'!$A$2,"State","GA","Category",2,"Category2","Four-Year")</f>
        <v>9785</v>
      </c>
      <c r="D46" s="33">
        <f>+GETPIVOTDATA("Graduate FTE - Old",'FTE Pivot for regular counts'!$A$2,"State","GA","Category",3,"Category2","Four-Year")</f>
        <v>4761.9583333333339</v>
      </c>
      <c r="E46" s="33">
        <f>+GETPIVOTDATA("Graduate FTE - Old",'FTE Pivot for regular counts'!$A$2,"State","GA","Category",4,"Category2","Four-Year")</f>
        <v>5196.729166666667</v>
      </c>
      <c r="F46" s="33">
        <f>+GETPIVOTDATA("Graduate FTE - Old",'FTE Pivot for regular counts'!$A$2,"State","GA","Category",5,"Category2","Four-Year")</f>
        <v>761.375</v>
      </c>
      <c r="G46" s="12">
        <f>+GETPIVOTDATA("Graduate FTE - Old",'FTE Pivot for regular counts'!$A$2,"State","GA","Category",6,"Category2","Four-Year")</f>
        <v>0</v>
      </c>
      <c r="H46" s="113">
        <f>+GETPIVOTDATA("Graduate FTE - Old",'FTE Pivot for regular counts'!$A$2,"State","GA","Category2","Four-Year")</f>
        <v>40081.458333333336</v>
      </c>
    </row>
    <row r="47" spans="1:14" ht="15" customHeight="1">
      <c r="A47" s="1" t="s">
        <v>69</v>
      </c>
      <c r="B47" s="33">
        <f>+GETPIVOTDATA("Graduate FTE - Old",'FTE Pivot for regular counts'!$A$2,"State","KY","Category",1,"Category2","Four-Year")</f>
        <v>6826</v>
      </c>
      <c r="C47" s="33">
        <f>+GETPIVOTDATA("Graduate FTE - Old",'FTE Pivot for regular counts'!$A$2,"State","KY","Category",2,"Category2","Four-Year")</f>
        <v>0</v>
      </c>
      <c r="D47" s="33">
        <f>+GETPIVOTDATA("Graduate FTE - Old",'FTE Pivot for regular counts'!$A$2,"State","KY","Category",3,"Category2","Four-Year")</f>
        <v>5899.125</v>
      </c>
      <c r="E47" s="33">
        <f>+GETPIVOTDATA("Graduate FTE - Old",'FTE Pivot for regular counts'!$A$2,"State","KY","Category",4,"Category2","Four-Year")</f>
        <v>1888.6666666666667</v>
      </c>
      <c r="F47" s="33">
        <f>+GETPIVOTDATA("Graduate FTE - Old",'FTE Pivot for regular counts'!$A$2,"State","KY","Category",5,"Category2","Four-Year")</f>
        <v>0</v>
      </c>
      <c r="G47" s="12">
        <f>+GETPIVOTDATA("Graduate FTE - Old",'FTE Pivot for regular counts'!$A$2,"State","KY","Category",6,"Category2","Four-Year")</f>
        <v>0</v>
      </c>
      <c r="H47" s="113">
        <f>+GETPIVOTDATA("Graduate FTE - Old",'FTE Pivot for regular counts'!$A$2,"State","KY","Category2","Four-Year")</f>
        <v>14613.791666666666</v>
      </c>
    </row>
    <row r="48" spans="1:14" ht="15" customHeight="1">
      <c r="A48" s="1" t="s">
        <v>70</v>
      </c>
      <c r="B48" s="33">
        <f>+GETPIVOTDATA("Graduate FTE - Old",'FTE Pivot for regular counts'!$A$2,"State","LA","Category",1,"Category2","Four-Year")</f>
        <v>4947.708333333333</v>
      </c>
      <c r="C48" s="33">
        <f>+GETPIVOTDATA("Graduate FTE - Old",'FTE Pivot for regular counts'!$A$2,"State","LA","Category",2,"Category2","Four-Year")</f>
        <v>4271.25</v>
      </c>
      <c r="D48" s="33">
        <f>+GETPIVOTDATA("Graduate FTE - Old",'FTE Pivot for regular counts'!$A$2,"State","LA","Category",3,"Category2","Four-Year")</f>
        <v>4050.208333333333</v>
      </c>
      <c r="E48" s="33">
        <f>+GETPIVOTDATA("Graduate FTE - Old",'FTE Pivot for regular counts'!$A$2,"State","LA","Category",4,"Category2","Four-Year")</f>
        <v>2943.541666666667</v>
      </c>
      <c r="F48" s="33">
        <f>+GETPIVOTDATA("Graduate FTE - Old",'FTE Pivot for regular counts'!$A$2,"State","LA","Category",5,"Category2","Four-Year")</f>
        <v>0</v>
      </c>
      <c r="G48" s="12">
        <f>+GETPIVOTDATA("Graduate FTE - Old",'FTE Pivot for regular counts'!$A$2,"State","LA","Category",6,"Category2","Four-Year")</f>
        <v>0</v>
      </c>
      <c r="H48" s="113">
        <f>+GETPIVOTDATA("Graduate FTE - Old",'FTE Pivot for regular counts'!$A$2,"State","LA","Category2","Four-Year")</f>
        <v>16212.708333333332</v>
      </c>
    </row>
    <row r="49" spans="1:10" ht="15" customHeight="1">
      <c r="A49" s="1" t="s">
        <v>71</v>
      </c>
      <c r="B49" s="33">
        <f>+GETPIVOTDATA("Graduate FTE - Old",'FTE Pivot for regular counts'!$A$2,"State","MD","Category",1,"Category2","Four-Year")</f>
        <v>6619.708333333333</v>
      </c>
      <c r="C49" s="33">
        <f>+GETPIVOTDATA("Graduate FTE - Old",'FTE Pivot for regular counts'!$A$2,"State","MD","Category",2,"Category2","Four-Year")</f>
        <v>2271.7083333333335</v>
      </c>
      <c r="D49" s="33">
        <f>+GETPIVOTDATA("Graduate FTE - Old",'FTE Pivot for regular counts'!$A$2,"State","MD","Category",3,"Category2","Four-Year")</f>
        <v>2396.625</v>
      </c>
      <c r="E49" s="33">
        <f>+GETPIVOTDATA("Graduate FTE - Old",'FTE Pivot for regular counts'!$A$2,"State","MD","Category",4,"Category2","Four-Year")</f>
        <v>4542.458333333333</v>
      </c>
      <c r="F49" s="33">
        <f>+GETPIVOTDATA("Graduate FTE - Old",'FTE Pivot for regular counts'!$A$2,"State","MD","Category",5,"Category2","Four-Year")</f>
        <v>286.08333333333331</v>
      </c>
      <c r="G49" s="12">
        <f>+GETPIVOTDATA("Graduate FTE - Old",'FTE Pivot for regular counts'!$A$2,"State","MD","Category",6,"Category2","Four-Year")</f>
        <v>65.708333333333329</v>
      </c>
      <c r="H49" s="113">
        <f>+GETPIVOTDATA("Graduate FTE - Old",'FTE Pivot for regular counts'!$A$2,"State","MD","Category2","Four-Year")</f>
        <v>16182.291666666668</v>
      </c>
    </row>
    <row r="50" spans="1:10" ht="15" customHeight="1">
      <c r="B50" s="33"/>
      <c r="C50" s="33"/>
      <c r="D50" s="33"/>
      <c r="E50" s="33"/>
      <c r="F50" s="33"/>
      <c r="G50" s="12"/>
      <c r="H50" s="113"/>
    </row>
    <row r="51" spans="1:10" ht="15" customHeight="1">
      <c r="A51" s="1" t="s">
        <v>72</v>
      </c>
      <c r="B51" s="33">
        <f>+GETPIVOTDATA("Graduate FTE - Old",'FTE Pivot for regular counts'!$A$2,"State","MS","Category",1,"Category2","Four-Year")</f>
        <v>5135.3333333333339</v>
      </c>
      <c r="C51" s="33">
        <f>+GETPIVOTDATA("Graduate FTE - Old",'FTE Pivot for regular counts'!$A$2,"State","MS","Category",2,"Category2","Four-Year")</f>
        <v>3872</v>
      </c>
      <c r="D51" s="33">
        <f>+GETPIVOTDATA("Graduate FTE - Old",'FTE Pivot for regular counts'!$A$2,"State","MS","Category",3,"Category2","Four-Year")</f>
        <v>0</v>
      </c>
      <c r="E51" s="33">
        <f>+GETPIVOTDATA("Graduate FTE - Old",'FTE Pivot for regular counts'!$A$2,"State","MS","Category",4,"Category2","Four-Year")</f>
        <v>1749.9583333333335</v>
      </c>
      <c r="F51" s="33">
        <f>+GETPIVOTDATA("Graduate FTE - Old",'FTE Pivot for regular counts'!$A$2,"State","MS","Category",5,"Category2","Four-Year")</f>
        <v>177.5</v>
      </c>
      <c r="G51" s="12">
        <f>+GETPIVOTDATA("Graduate FTE - Old",'FTE Pivot for regular counts'!$A$2,"State","MS","Category",6,"Category2","Four-Year")</f>
        <v>0</v>
      </c>
      <c r="H51" s="113">
        <f>+GETPIVOTDATA("Graduate FTE - Old",'FTE Pivot for regular counts'!$A$2,"State","MS","Category2","Four-Year")</f>
        <v>10934.791666666668</v>
      </c>
    </row>
    <row r="52" spans="1:10" ht="15" customHeight="1">
      <c r="A52" s="1" t="s">
        <v>73</v>
      </c>
      <c r="B52" s="33">
        <f>+GETPIVOTDATA("Graduate FTE - Old",'FTE Pivot for regular counts'!$A$2,"State","NC","Category",1,"Category2","Four-Year")</f>
        <v>16689.125</v>
      </c>
      <c r="C52" s="33">
        <f>+GETPIVOTDATA("Graduate FTE - Old",'FTE Pivot for regular counts'!$A$2,"State","NC","Category",2,"Category2","Four-Year")</f>
        <v>7314.25</v>
      </c>
      <c r="D52" s="33">
        <f>+GETPIVOTDATA("Graduate FTE - Old",'FTE Pivot for regular counts'!$A$2,"State","NC","Category",3,"Category2","Four-Year")</f>
        <v>6773.5</v>
      </c>
      <c r="E52" s="33">
        <f>+GETPIVOTDATA("Graduate FTE - Old",'FTE Pivot for regular counts'!$A$2,"State","NC","Category",4,"Category2","Four-Year")</f>
        <v>452</v>
      </c>
      <c r="F52" s="33">
        <f>+GETPIVOTDATA("Graduate FTE - Old",'FTE Pivot for regular counts'!$A$2,"State","NC","Category",5,"Category2","Four-Year")</f>
        <v>959.5</v>
      </c>
      <c r="G52" s="12">
        <f>+GETPIVOTDATA("Graduate FTE - Old",'FTE Pivot for regular counts'!$A$2,"State","NC","Category",6,"Category2","Four-Year")</f>
        <v>86.333333333333329</v>
      </c>
      <c r="H52" s="113">
        <f>+GETPIVOTDATA("Graduate FTE - Old",'FTE Pivot for regular counts'!$A$2,"State","NC","Category2","Four-Year")</f>
        <v>32274.708333333332</v>
      </c>
    </row>
    <row r="53" spans="1:10" ht="15" customHeight="1">
      <c r="A53" s="1" t="s">
        <v>74</v>
      </c>
      <c r="B53" s="33">
        <f>+GETPIVOTDATA("Graduate FTE - Old",'FTE Pivot for regular counts'!$A$2,"State","OK","Category",1,"Category2","Four-Year")</f>
        <v>10016.375</v>
      </c>
      <c r="C53" s="33">
        <f>+GETPIVOTDATA("Graduate FTE - Old",'FTE Pivot for regular counts'!$A$2,"State","OK","Category",2,"Category2","Four-Year")</f>
        <v>0</v>
      </c>
      <c r="D53" s="33">
        <f>+GETPIVOTDATA("Graduate FTE - Old",'FTE Pivot for regular counts'!$A$2,"State","OK","Category",3,"Category2","Four-Year")</f>
        <v>2034.625</v>
      </c>
      <c r="E53" s="33">
        <f>+GETPIVOTDATA("Graduate FTE - Old",'FTE Pivot for regular counts'!$A$2,"State","OK","Category",4,"Category2","Four-Year")</f>
        <v>257.45833333333331</v>
      </c>
      <c r="F53" s="33">
        <f>+GETPIVOTDATA("Graduate FTE - Old",'FTE Pivot for regular counts'!$A$2,"State","OK","Category",5,"Category2","Four-Year")</f>
        <v>2075.833333333333</v>
      </c>
      <c r="G53" s="12">
        <f>+GETPIVOTDATA("Graduate FTE - Old",'FTE Pivot for regular counts'!$A$2,"State","OK","Category",6,"Category2","Four-Year")</f>
        <v>0</v>
      </c>
      <c r="H53" s="113">
        <f>+GETPIVOTDATA("Graduate FTE - Old",'FTE Pivot for regular counts'!$A$2,"State","OK","Category2","Four-Year")</f>
        <v>14384.291666666668</v>
      </c>
    </row>
    <row r="54" spans="1:10" ht="15" customHeight="1">
      <c r="A54" s="1" t="s">
        <v>75</v>
      </c>
      <c r="B54" s="33">
        <f>+GETPIVOTDATA("Graduate FTE - Old",'FTE Pivot for regular counts'!$A$2,"State","SC","Category",1,"Category2","Four-Year")</f>
        <v>8145.541666666667</v>
      </c>
      <c r="C54" s="33">
        <f>+GETPIVOTDATA("Graduate FTE - Old",'FTE Pivot for regular counts'!$A$2,"State","SC","Category",2,"Category2","Four-Year")</f>
        <v>0</v>
      </c>
      <c r="D54" s="33">
        <f>+GETPIVOTDATA("Graduate FTE - Old",'FTE Pivot for regular counts'!$A$2,"State","SC","Category",3,"Category2","Four-Year")</f>
        <v>1568.1666666666665</v>
      </c>
      <c r="E54" s="33">
        <f>+GETPIVOTDATA("Graduate FTE - Old",'FTE Pivot for regular counts'!$A$2,"State","SC","Category",4,"Category2","Four-Year")</f>
        <v>669.25</v>
      </c>
      <c r="F54" s="33">
        <f>+GETPIVOTDATA("Graduate FTE - Old",'FTE Pivot for regular counts'!$A$2,"State","SC","Category",5,"Category2","Four-Year")</f>
        <v>1030.375</v>
      </c>
      <c r="G54" s="12">
        <f>+GETPIVOTDATA("Graduate FTE - Old",'FTE Pivot for regular counts'!$A$2,"State","SC","Category",6,"Category2","Four-Year")</f>
        <v>177.20833333333331</v>
      </c>
      <c r="H54" s="113">
        <f>+GETPIVOTDATA("Graduate FTE - Old",'FTE Pivot for regular counts'!$A$2,"State","SC","Category2","Four-Year")</f>
        <v>11590.541666666668</v>
      </c>
    </row>
    <row r="55" spans="1:10" ht="15" customHeight="1">
      <c r="B55" s="33"/>
      <c r="C55" s="33"/>
      <c r="D55" s="33"/>
      <c r="E55" s="33"/>
      <c r="F55" s="33"/>
      <c r="G55" s="12"/>
      <c r="H55" s="113"/>
    </row>
    <row r="56" spans="1:10" ht="15" customHeight="1">
      <c r="A56" s="1" t="s">
        <v>76</v>
      </c>
      <c r="B56" s="33">
        <f>+GETPIVOTDATA("Graduate FTE - Old",'FTE Pivot for regular counts'!$A$2,"State","TN","Category",1,"Category2","Four-Year")</f>
        <v>8505.7083333333339</v>
      </c>
      <c r="C56" s="33">
        <f>+GETPIVOTDATA("Graduate FTE - Old",'FTE Pivot for regular counts'!$A$2,"State","TN","Category",2,"Category2","Four-Year")</f>
        <v>1498.9583333333333</v>
      </c>
      <c r="D56" s="33">
        <f>+GETPIVOTDATA("Graduate FTE - Old",'FTE Pivot for regular counts'!$A$2,"State","TN","Category",3,"Category2","Four-Year")</f>
        <v>6474.4166666666661</v>
      </c>
      <c r="E56" s="33">
        <f>+GETPIVOTDATA("Graduate FTE - Old",'FTE Pivot for regular counts'!$A$2,"State","TN","Category",4,"Category2","Four-Year")</f>
        <v>0</v>
      </c>
      <c r="F56" s="33">
        <f>+GETPIVOTDATA("Graduate FTE - Old",'FTE Pivot for regular counts'!$A$2,"State","TN","Category",5,"Category2","Four-Year")</f>
        <v>308.20833333333331</v>
      </c>
      <c r="G56" s="12">
        <f>+GETPIVOTDATA("Graduate FTE - Old",'FTE Pivot for regular counts'!$A$2,"State","TN","Category",6,"Category2","Four-Year")</f>
        <v>0</v>
      </c>
      <c r="H56" s="113">
        <f>+GETPIVOTDATA("Graduate FTE - Old",'FTE Pivot for regular counts'!$A$2,"State","TN","Category2","Four-Year")</f>
        <v>16787.291666666668</v>
      </c>
    </row>
    <row r="57" spans="1:10" ht="15" customHeight="1">
      <c r="A57" s="1" t="s">
        <v>77</v>
      </c>
      <c r="B57" s="33">
        <f>+GETPIVOTDATA("Graduate FTE - Old",'FTE Pivot for regular counts'!$A$2,"State","TX","Category",1,"Category2","Four-Year")</f>
        <v>46534.666666666664</v>
      </c>
      <c r="C57" s="33">
        <f>+GETPIVOTDATA("Graduate FTE - Old",'FTE Pivot for regular counts'!$A$2,"State","TX","Category",2,"Category2","Four-Year")</f>
        <v>9660.0416666666679</v>
      </c>
      <c r="D57" s="33">
        <f>+GETPIVOTDATA("Graduate FTE - Old",'FTE Pivot for regular counts'!$A$2,"State","TX","Category",3,"Category2","Four-Year")</f>
        <v>27744.25</v>
      </c>
      <c r="E57" s="33">
        <f>+GETPIVOTDATA("Graduate FTE - Old",'FTE Pivot for regular counts'!$A$2,"State","TX","Category",4,"Category2","Four-Year")</f>
        <v>1930.2083333333333</v>
      </c>
      <c r="F57" s="33">
        <f>+GETPIVOTDATA("Graduate FTE - Old",'FTE Pivot for regular counts'!$A$2,"State","TX","Category",5,"Category2","Four-Year")</f>
        <v>846.91666666666663</v>
      </c>
      <c r="G57" s="12">
        <f>+GETPIVOTDATA("Graduate FTE - Old",'FTE Pivot for regular counts'!$A$2,"State","TX","Category",6,"Category2","Four-Year")</f>
        <v>50.458333333333336</v>
      </c>
      <c r="H57" s="113">
        <f>+GETPIVOTDATA("Graduate FTE - Old",'FTE Pivot for regular counts'!$A$2,"State","TX","Category2","Four-Year")</f>
        <v>86766.541666666657</v>
      </c>
    </row>
    <row r="58" spans="1:10" ht="15" customHeight="1">
      <c r="A58" s="1" t="s">
        <v>78</v>
      </c>
      <c r="B58" s="33">
        <f>+GETPIVOTDATA("Graduate FTE - Old",'FTE Pivot for regular counts'!$A$2,"State","VA","Category",1,"Category2","Four-Year")</f>
        <v>25017.437499999996</v>
      </c>
      <c r="C58" s="33">
        <f>+GETPIVOTDATA("Graduate FTE - Old",'FTE Pivot for regular counts'!$A$2,"State","VA","Category",2,"Category2","Four-Year")</f>
        <v>8147.979166666667</v>
      </c>
      <c r="D58" s="33">
        <f>+GETPIVOTDATA("Graduate FTE - Old",'FTE Pivot for regular counts'!$A$2,"State","VA","Category",3,"Category2","Four-Year")</f>
        <v>2001</v>
      </c>
      <c r="E58" s="33">
        <f>+GETPIVOTDATA("Graduate FTE - Old",'FTE Pivot for regular counts'!$A$2,"State","VA","Category",4,"Category2","Four-Year")</f>
        <v>1588.8333333333333</v>
      </c>
      <c r="F58" s="33">
        <f>+GETPIVOTDATA("Graduate FTE - Old",'FTE Pivot for regular counts'!$A$2,"State","VA","Category",5,"Category2","Four-Year")</f>
        <v>563.08333333333326</v>
      </c>
      <c r="G58" s="12">
        <f>+GETPIVOTDATA("Graduate FTE - Old",'FTE Pivot for regular counts'!$A$2,"State","VA","Category",6,"Category2","Four-Year")</f>
        <v>0</v>
      </c>
      <c r="H58" s="113">
        <f>+GETPIVOTDATA("Graduate FTE - Old",'FTE Pivot for regular counts'!$A$2,"State","VA","Category2","Four-Year")</f>
        <v>37318.333333333336</v>
      </c>
    </row>
    <row r="59" spans="1:10" ht="15" customHeight="1">
      <c r="A59" s="3" t="s">
        <v>79</v>
      </c>
      <c r="B59" s="13">
        <f>+GETPIVOTDATA("Graduate FTE - Old",'FTE Pivot for regular counts'!$A$2,"State","WV","Category",1,"Category2","Four-Year")</f>
        <v>4931.791666666667</v>
      </c>
      <c r="C59" s="13">
        <f>+GETPIVOTDATA("Graduate FTE - Old",'FTE Pivot for regular counts'!$A$2,"State","WV","Category",2,"Category2","Four-Year")</f>
        <v>0</v>
      </c>
      <c r="D59" s="13">
        <f>+GETPIVOTDATA("Graduate FTE - Old",'FTE Pivot for regular counts'!$A$2,"State","WV","Category",3,"Category2","Four-Year")</f>
        <v>2447.4166666666665</v>
      </c>
      <c r="E59" s="13">
        <f>+GETPIVOTDATA("Graduate FTE - Old",'FTE Pivot for regular counts'!$A$2,"State","WV","Category",4,"Category2","Four-Year")</f>
        <v>0</v>
      </c>
      <c r="F59" s="13">
        <f>+GETPIVOTDATA("Graduate FTE - Old",'FTE Pivot for regular counts'!$A$2,"State","WV","Category",5,"Category2","Four-Year")</f>
        <v>324.625</v>
      </c>
      <c r="G59" s="14">
        <f>+GETPIVOTDATA("Graduate FTE - Old",'FTE Pivot for regular counts'!$A$2,"State","WV","Category",6,"Category2","Four-Year")</f>
        <v>262.25</v>
      </c>
      <c r="H59" s="114">
        <f>+GETPIVOTDATA("Graduate FTE - Old",'FTE Pivot for regular counts'!$A$2,"State","WV","Category2","Four-Year")</f>
        <v>7966.0833333333339</v>
      </c>
    </row>
    <row r="60" spans="1:10" ht="46.5" customHeight="1">
      <c r="A60" s="840" t="s">
        <v>993</v>
      </c>
      <c r="B60" s="850"/>
      <c r="C60" s="850"/>
      <c r="D60" s="850"/>
      <c r="E60" s="850"/>
      <c r="F60" s="850"/>
      <c r="G60" s="850"/>
      <c r="H60" s="850"/>
    </row>
    <row r="61" spans="1:10">
      <c r="A61" s="49"/>
      <c r="B61" s="50"/>
      <c r="C61" s="50"/>
      <c r="D61" s="50"/>
      <c r="E61" s="50"/>
      <c r="F61" s="50"/>
      <c r="G61" s="50"/>
      <c r="H61" s="169" t="s">
        <v>987</v>
      </c>
    </row>
    <row r="62" spans="1:10">
      <c r="A62" s="49"/>
      <c r="B62" s="50"/>
      <c r="C62" s="50"/>
      <c r="D62" s="50"/>
      <c r="E62" s="50"/>
      <c r="F62" s="50"/>
      <c r="G62" s="50"/>
      <c r="H62" s="169"/>
    </row>
    <row r="63" spans="1:10" ht="18">
      <c r="A63" s="41" t="s">
        <v>165</v>
      </c>
      <c r="B63" s="41"/>
      <c r="C63" s="41"/>
      <c r="D63" s="41"/>
      <c r="E63" s="41"/>
      <c r="F63" s="41"/>
      <c r="G63" s="41"/>
      <c r="H63" s="115"/>
      <c r="J63" s="228"/>
    </row>
    <row r="64" spans="1:10" ht="15.75">
      <c r="A64" s="55"/>
      <c r="B64" s="43"/>
      <c r="C64" s="43"/>
      <c r="D64" s="43"/>
      <c r="E64" s="43"/>
      <c r="F64" s="43"/>
      <c r="G64" s="43"/>
      <c r="H64" s="110"/>
    </row>
    <row r="65" spans="1:8" ht="15.75">
      <c r="A65" s="43" t="s">
        <v>36</v>
      </c>
      <c r="B65" s="43"/>
      <c r="C65" s="43"/>
      <c r="D65" s="43"/>
      <c r="E65" s="43"/>
      <c r="F65" s="43"/>
      <c r="G65" s="43"/>
      <c r="H65" s="110"/>
    </row>
    <row r="66" spans="1:8" ht="15.75">
      <c r="A66" s="43" t="s">
        <v>233</v>
      </c>
      <c r="B66" s="43"/>
      <c r="C66" s="43"/>
      <c r="D66" s="43"/>
      <c r="E66" s="43"/>
      <c r="F66" s="43"/>
      <c r="G66" s="43"/>
      <c r="H66" s="110"/>
    </row>
    <row r="67" spans="1:8" ht="15.75">
      <c r="A67" s="43"/>
      <c r="B67" s="43"/>
      <c r="C67" s="43"/>
      <c r="D67" s="43"/>
      <c r="E67" s="43"/>
      <c r="F67" s="43"/>
      <c r="G67" s="43"/>
      <c r="H67" s="110"/>
    </row>
    <row r="68" spans="1:8" ht="15" customHeight="1">
      <c r="A68" s="52"/>
      <c r="B68" s="52" t="s">
        <v>62</v>
      </c>
      <c r="C68" s="52"/>
      <c r="D68" s="52"/>
      <c r="E68" s="52"/>
      <c r="F68" s="52"/>
      <c r="G68" s="52"/>
      <c r="H68" s="111"/>
    </row>
    <row r="69" spans="1:8" ht="15" customHeight="1">
      <c r="A69" s="53"/>
      <c r="B69" s="46">
        <v>1</v>
      </c>
      <c r="C69" s="46">
        <v>2</v>
      </c>
      <c r="D69" s="46">
        <v>3</v>
      </c>
      <c r="E69" s="46">
        <v>4</v>
      </c>
      <c r="F69" s="46">
        <v>5</v>
      </c>
      <c r="G69" s="54">
        <v>6</v>
      </c>
      <c r="H69" s="93" t="s">
        <v>30</v>
      </c>
    </row>
    <row r="70" spans="1:8" ht="15" customHeight="1">
      <c r="A70" s="1" t="s">
        <v>64</v>
      </c>
      <c r="B70" s="11">
        <f>+'OLD Tables'!B9+'OLD Tables'!B39</f>
        <v>1070862.1616666666</v>
      </c>
      <c r="C70" s="11">
        <f>+'OLD Tables'!D9+'OLD Tables'!C39</f>
        <v>283177.67083333334</v>
      </c>
      <c r="D70" s="11">
        <f>+'OLD Tables'!F9+'OLD Tables'!D39</f>
        <v>621164.89166666672</v>
      </c>
      <c r="E70" s="11">
        <f>+'OLD Tables'!H9+'OLD Tables'!E39</f>
        <v>213342.9425</v>
      </c>
      <c r="F70" s="11">
        <f>+'OLD Tables'!J9+'OLD Tables'!F39</f>
        <v>114954.15</v>
      </c>
      <c r="G70" s="12">
        <f>+'OLD Tables'!L9+'OLD Tables'!G39</f>
        <v>68584.156666666662</v>
      </c>
      <c r="H70" s="112">
        <f>+'OLD Tables'!N9+'OLD Tables'!H39</f>
        <v>2372085.9733333336</v>
      </c>
    </row>
    <row r="71" spans="1:8" ht="15" customHeight="1">
      <c r="B71" s="11"/>
      <c r="C71" s="11"/>
      <c r="D71" s="11"/>
      <c r="E71" s="11"/>
      <c r="F71" s="11"/>
      <c r="G71" s="12"/>
      <c r="H71" s="112"/>
    </row>
    <row r="72" spans="1:8" ht="15" customHeight="1">
      <c r="A72" s="1" t="s">
        <v>65</v>
      </c>
      <c r="B72" s="33">
        <f>+'OLD Tables'!B11+'OLD Tables'!B41</f>
        <v>52205.216666666667</v>
      </c>
      <c r="C72" s="33">
        <f>+'OLD Tables'!D11+'OLD Tables'!C41</f>
        <v>16920.5</v>
      </c>
      <c r="D72" s="33">
        <f>+'OLD Tables'!F11+'OLD Tables'!D41</f>
        <v>38236.791666666664</v>
      </c>
      <c r="E72" s="33">
        <f>+'OLD Tables'!H11+'OLD Tables'!E41</f>
        <v>16292.366666666667</v>
      </c>
      <c r="F72" s="33">
        <f>+'OLD Tables'!J11+'OLD Tables'!F41</f>
        <v>6587.0750000000007</v>
      </c>
      <c r="G72" s="12">
        <f>+'OLD Tables'!L11+'OLD Tables'!G41</f>
        <v>2856.7333333333331</v>
      </c>
      <c r="H72" s="113">
        <f>+'OLD Tables'!N11+'OLD Tables'!H41</f>
        <v>133098.68333333332</v>
      </c>
    </row>
    <row r="73" spans="1:8" ht="15" customHeight="1">
      <c r="A73" s="4" t="s">
        <v>66</v>
      </c>
      <c r="B73" s="33">
        <f>+'OLD Tables'!B12+'OLD Tables'!B42</f>
        <v>20745.724999999999</v>
      </c>
      <c r="C73" s="33">
        <f>+'OLD Tables'!D12+'OLD Tables'!C42</f>
        <v>0</v>
      </c>
      <c r="D73" s="33">
        <f>+'OLD Tables'!F12+'OLD Tables'!D42</f>
        <v>40845.449999999997</v>
      </c>
      <c r="E73" s="33">
        <f>+'OLD Tables'!H12+'OLD Tables'!E42</f>
        <v>6699.9</v>
      </c>
      <c r="F73" s="33">
        <f>+'OLD Tables'!J12+'OLD Tables'!F42</f>
        <v>2486.6916666666666</v>
      </c>
      <c r="G73" s="12">
        <f>+'OLD Tables'!L12+'OLD Tables'!G42</f>
        <v>9206.8749999999982</v>
      </c>
      <c r="H73" s="113">
        <f>+'OLD Tables'!N12+'OLD Tables'!H42</f>
        <v>79984.641666666677</v>
      </c>
    </row>
    <row r="74" spans="1:8" ht="15" customHeight="1">
      <c r="A74" s="1" t="s">
        <v>102</v>
      </c>
      <c r="B74" s="33">
        <f>+'OLD Tables'!B13+'OLD Tables'!B43</f>
        <v>19675.966666666667</v>
      </c>
      <c r="C74" s="33">
        <f>+'OLD Tables'!D13+'OLD Tables'!C43</f>
        <v>0</v>
      </c>
      <c r="D74" s="33">
        <f>+'OLD Tables'!F13+'OLD Tables'!D43</f>
        <v>3779.1583333333333</v>
      </c>
      <c r="E74" s="1">
        <f>+'OLD Tables'!H13+'OLD Tables'!E43</f>
        <v>0</v>
      </c>
      <c r="F74" s="33">
        <f>+'OLD Tables'!J13+'OLD Tables'!F43</f>
        <v>0</v>
      </c>
      <c r="G74" s="12">
        <f>+'OLD Tables'!L13+'OLD Tables'!G43</f>
        <v>0</v>
      </c>
      <c r="H74" s="1">
        <f>+'OLD Tables'!N13+'OLD Tables'!H43</f>
        <v>23455.125</v>
      </c>
    </row>
    <row r="75" spans="1:8" ht="15" customHeight="1">
      <c r="A75" s="1" t="s">
        <v>67</v>
      </c>
      <c r="B75" s="33">
        <f>+'OLD Tables'!B14+'OLD Tables'!B44</f>
        <v>221444.4916666667</v>
      </c>
      <c r="C75" s="33">
        <f>+'OLD Tables'!D14+'OLD Tables'!C44</f>
        <v>23262.483333333334</v>
      </c>
      <c r="D75" s="33">
        <f>+'OLD Tables'!F14+'OLD Tables'!D44</f>
        <v>36853.9</v>
      </c>
      <c r="E75" s="33">
        <f>+'OLD Tables'!H14+'OLD Tables'!E44</f>
        <v>10617.225</v>
      </c>
      <c r="F75" s="33">
        <f>+'OLD Tables'!J14+'OLD Tables'!F44</f>
        <v>0</v>
      </c>
      <c r="G75" s="12">
        <f>+'OLD Tables'!L14+'OLD Tables'!G44</f>
        <v>940.26666666666665</v>
      </c>
      <c r="H75" s="113">
        <f>+'OLD Tables'!N14+'OLD Tables'!H44</f>
        <v>293118.3666666667</v>
      </c>
    </row>
    <row r="76" spans="1:8" ht="15" customHeight="1">
      <c r="B76" s="33"/>
      <c r="C76" s="33"/>
      <c r="D76" s="33"/>
      <c r="E76" s="33"/>
      <c r="F76" s="33"/>
      <c r="G76" s="12"/>
      <c r="H76" s="113"/>
    </row>
    <row r="77" spans="1:8" ht="15" customHeight="1">
      <c r="A77" s="1" t="s">
        <v>68</v>
      </c>
      <c r="B77" s="33">
        <f>+'OLD Tables'!B16+'OLD Tables'!B46</f>
        <v>66231.632500000007</v>
      </c>
      <c r="C77" s="33">
        <f>+'OLD Tables'!D16+'OLD Tables'!C46</f>
        <v>23532.5</v>
      </c>
      <c r="D77" s="33">
        <f>+'OLD Tables'!F16+'OLD Tables'!D46</f>
        <v>40907.941666666666</v>
      </c>
      <c r="E77" s="33">
        <f>+'OLD Tables'!H16+'OLD Tables'!E46</f>
        <v>56974.45916666666</v>
      </c>
      <c r="F77" s="33">
        <f>+'OLD Tables'!J16+'OLD Tables'!F46</f>
        <v>16366.608333333334</v>
      </c>
      <c r="G77" s="12">
        <f>+'OLD Tables'!L16+'OLD Tables'!G46</f>
        <v>10833.400000000001</v>
      </c>
      <c r="H77" s="113">
        <f>+'OLD Tables'!N16+'OLD Tables'!H46</f>
        <v>214846.54166666669</v>
      </c>
    </row>
    <row r="78" spans="1:8" ht="15" customHeight="1">
      <c r="A78" s="1" t="s">
        <v>69</v>
      </c>
      <c r="B78" s="33">
        <f>+'OLD Tables'!B17+'OLD Tables'!B47</f>
        <v>38591.800000000003</v>
      </c>
      <c r="C78" s="33">
        <f>+'OLD Tables'!D17+'OLD Tables'!C47</f>
        <v>0</v>
      </c>
      <c r="D78" s="33">
        <f>+'OLD Tables'!F17+'OLD Tables'!D47</f>
        <v>47138.85833333333</v>
      </c>
      <c r="E78" s="33">
        <f>+'OLD Tables'!H17+'OLD Tables'!E47</f>
        <v>15172.033333333331</v>
      </c>
      <c r="F78" s="33">
        <f>+'OLD Tables'!J17+'OLD Tables'!F47</f>
        <v>0</v>
      </c>
      <c r="G78" s="12">
        <f>+'OLD Tables'!L17+'OLD Tables'!G47</f>
        <v>0</v>
      </c>
      <c r="H78" s="113">
        <f>+'OLD Tables'!N17+'OLD Tables'!H47</f>
        <v>100902.69166666667</v>
      </c>
    </row>
    <row r="79" spans="1:8" ht="15" customHeight="1">
      <c r="A79" s="1" t="s">
        <v>70</v>
      </c>
      <c r="B79" s="33">
        <f>+'OLD Tables'!B18+'OLD Tables'!B48</f>
        <v>29202.274999999998</v>
      </c>
      <c r="C79" s="33">
        <f>+'OLD Tables'!D18+'OLD Tables'!C48</f>
        <v>33007.25</v>
      </c>
      <c r="D79" s="33">
        <f>+'OLD Tables'!F18+'OLD Tables'!D48</f>
        <v>28523.408333333329</v>
      </c>
      <c r="E79" s="33">
        <f>+'OLD Tables'!H18+'OLD Tables'!E48</f>
        <v>33287.708333333336</v>
      </c>
      <c r="F79" s="33">
        <f>+'OLD Tables'!J18+'OLD Tables'!F48</f>
        <v>0</v>
      </c>
      <c r="G79" s="12">
        <f>+'OLD Tables'!L18+'OLD Tables'!G48</f>
        <v>1861.8</v>
      </c>
      <c r="H79" s="113">
        <f>+'OLD Tables'!N18+'OLD Tables'!H48</f>
        <v>125882.44166666667</v>
      </c>
    </row>
    <row r="80" spans="1:8" ht="15" customHeight="1">
      <c r="A80" s="1" t="s">
        <v>71</v>
      </c>
      <c r="B80" s="33">
        <f>+'OLD Tables'!B19+'OLD Tables'!B49</f>
        <v>33284.341666666667</v>
      </c>
      <c r="C80" s="33">
        <f>+'OLD Tables'!D19+'OLD Tables'!C49</f>
        <v>18565.808333333331</v>
      </c>
      <c r="D80" s="33">
        <f>+'OLD Tables'!F19+'OLD Tables'!D49</f>
        <v>19273.508333333335</v>
      </c>
      <c r="E80" s="33">
        <f>+'OLD Tables'!H19+'OLD Tables'!E49</f>
        <v>27109.975000000002</v>
      </c>
      <c r="F80" s="33">
        <f>+'OLD Tables'!J19+'OLD Tables'!F49</f>
        <v>3338.65</v>
      </c>
      <c r="G80" s="12">
        <f>+'OLD Tables'!L19+'OLD Tables'!G49</f>
        <v>2237.4583333333335</v>
      </c>
      <c r="H80" s="113">
        <f>+'OLD Tables'!N19+'OLD Tables'!H49</f>
        <v>103809.74166666667</v>
      </c>
    </row>
    <row r="81" spans="1:13" ht="15" customHeight="1">
      <c r="B81" s="33"/>
      <c r="C81" s="33"/>
      <c r="D81" s="33"/>
      <c r="E81" s="33"/>
      <c r="F81" s="33"/>
      <c r="G81" s="12"/>
      <c r="H81" s="113"/>
    </row>
    <row r="82" spans="1:13" ht="15" customHeight="1">
      <c r="A82" s="1" t="s">
        <v>72</v>
      </c>
      <c r="B82" s="33">
        <f>+'OLD Tables'!B21+'OLD Tables'!B51</f>
        <v>31479.433333333334</v>
      </c>
      <c r="C82" s="33">
        <f>+'OLD Tables'!D21+'OLD Tables'!C51</f>
        <v>24348.85</v>
      </c>
      <c r="D82" s="33">
        <f>+'OLD Tables'!F21+'OLD Tables'!D51</f>
        <v>0</v>
      </c>
      <c r="E82" s="33">
        <f>+'OLD Tables'!H21+'OLD Tables'!E51</f>
        <v>9475.3583333333336</v>
      </c>
      <c r="F82" s="33">
        <f>+'OLD Tables'!J21+'OLD Tables'!F51</f>
        <v>2431.6333333333332</v>
      </c>
      <c r="G82" s="12">
        <f>+'OLD Tables'!L21+'OLD Tables'!G51</f>
        <v>0</v>
      </c>
      <c r="H82" s="113">
        <f>+'OLD Tables'!N21+'OLD Tables'!H51</f>
        <v>67735.274999999994</v>
      </c>
    </row>
    <row r="83" spans="1:13" ht="15" customHeight="1">
      <c r="A83" s="1" t="s">
        <v>73</v>
      </c>
      <c r="B83" s="33">
        <f>+'OLD Tables'!B22+'OLD Tables'!B52</f>
        <v>72143.024999999994</v>
      </c>
      <c r="C83" s="33">
        <f>+'OLD Tables'!D22+'OLD Tables'!C52</f>
        <v>46107.183333333334</v>
      </c>
      <c r="D83" s="33">
        <f>+'OLD Tables'!F22+'OLD Tables'!D52</f>
        <v>56505.933333333334</v>
      </c>
      <c r="E83" s="33">
        <f>+'OLD Tables'!H22+'OLD Tables'!E52</f>
        <v>5398.0666666666666</v>
      </c>
      <c r="F83" s="33">
        <f>+'OLD Tables'!J22+'OLD Tables'!F52</f>
        <v>11923.4</v>
      </c>
      <c r="G83" s="12">
        <f>+'OLD Tables'!L22+'OLD Tables'!G52</f>
        <v>6641.0666666666666</v>
      </c>
      <c r="H83" s="113">
        <f>+'OLD Tables'!N22+'OLD Tables'!H52</f>
        <v>198718.67500000002</v>
      </c>
    </row>
    <row r="84" spans="1:13" ht="15" customHeight="1">
      <c r="A84" s="1" t="s">
        <v>74</v>
      </c>
      <c r="B84" s="33">
        <f>+'OLD Tables'!B23+'OLD Tables'!B53</f>
        <v>46376.341666666667</v>
      </c>
      <c r="C84" s="33">
        <f>+'OLD Tables'!D23+'OLD Tables'!C53</f>
        <v>0</v>
      </c>
      <c r="D84" s="33">
        <f>+'OLD Tables'!F23+'OLD Tables'!D53</f>
        <v>21518.025000000001</v>
      </c>
      <c r="E84" s="33">
        <f>+'OLD Tables'!H23+'OLD Tables'!E53</f>
        <v>3520.125</v>
      </c>
      <c r="F84" s="33">
        <f>+'OLD Tables'!J23+'OLD Tables'!F53</f>
        <v>18376.233333333334</v>
      </c>
      <c r="G84" s="12">
        <f>+'OLD Tables'!L23+'OLD Tables'!G53</f>
        <v>5744.1</v>
      </c>
      <c r="H84" s="113">
        <f>+'OLD Tables'!N23+'OLD Tables'!H53</f>
        <v>95534.825000000012</v>
      </c>
    </row>
    <row r="85" spans="1:13" ht="15" customHeight="1">
      <c r="A85" s="1" t="s">
        <v>75</v>
      </c>
      <c r="B85" s="33">
        <f>+'OLD Tables'!B24+'OLD Tables'!B54</f>
        <v>46084.174999999996</v>
      </c>
      <c r="C85" s="33">
        <f>+'OLD Tables'!D24+'OLD Tables'!C54</f>
        <v>0</v>
      </c>
      <c r="D85" s="33">
        <f>+'OLD Tables'!F24+'OLD Tables'!D54</f>
        <v>16328.766666666668</v>
      </c>
      <c r="E85" s="33">
        <f>+'OLD Tables'!H24+'OLD Tables'!E54</f>
        <v>3577.1833333333334</v>
      </c>
      <c r="F85" s="33">
        <f>+'OLD Tables'!J24+'OLD Tables'!F54</f>
        <v>16521.908333333333</v>
      </c>
      <c r="G85" s="12">
        <f>+'OLD Tables'!L24+'OLD Tables'!G54</f>
        <v>12438.141666666668</v>
      </c>
      <c r="H85" s="113">
        <f>+'OLD Tables'!N24+'OLD Tables'!H54</f>
        <v>94950.175000000017</v>
      </c>
    </row>
    <row r="86" spans="1:13" ht="15" customHeight="1">
      <c r="B86" s="33"/>
      <c r="C86" s="33"/>
      <c r="D86" s="33"/>
      <c r="E86" s="33"/>
      <c r="F86" s="33"/>
      <c r="G86" s="12"/>
      <c r="H86" s="113"/>
    </row>
    <row r="87" spans="1:13" ht="15" customHeight="1">
      <c r="A87" s="1" t="s">
        <v>76</v>
      </c>
      <c r="B87" s="33">
        <f>+'OLD Tables'!B26+'OLD Tables'!B56</f>
        <v>42877.808333333334</v>
      </c>
      <c r="C87" s="33">
        <f>+'OLD Tables'!D26+'OLD Tables'!C56</f>
        <v>7687.5249999999996</v>
      </c>
      <c r="D87" s="33">
        <f>+'OLD Tables'!F26+'OLD Tables'!D56</f>
        <v>64219.083333333328</v>
      </c>
      <c r="E87" s="33">
        <f>+'OLD Tables'!H26+'OLD Tables'!E56</f>
        <v>0</v>
      </c>
      <c r="F87" s="33">
        <f>+'OLD Tables'!J26+'OLD Tables'!F56</f>
        <v>7225.6749999999993</v>
      </c>
      <c r="G87" s="12">
        <f>+'OLD Tables'!L26+'OLD Tables'!G56</f>
        <v>0</v>
      </c>
      <c r="H87" s="113">
        <f>+'OLD Tables'!N26+'OLD Tables'!H56</f>
        <v>122010.09166666666</v>
      </c>
    </row>
    <row r="88" spans="1:13" ht="15" customHeight="1">
      <c r="A88" s="1" t="s">
        <v>77</v>
      </c>
      <c r="B88" s="33">
        <f>+'OLD Tables'!B27+'OLD Tables'!B57</f>
        <v>222420.90000000002</v>
      </c>
      <c r="C88" s="33">
        <f>+'OLD Tables'!D27+'OLD Tables'!C57</f>
        <v>54080.675000000003</v>
      </c>
      <c r="D88" s="33">
        <f>+'OLD Tables'!F27+'OLD Tables'!D57</f>
        <v>170417.81666666665</v>
      </c>
      <c r="E88" s="33">
        <f>+'OLD Tables'!H27+'OLD Tables'!E57</f>
        <v>6000.7416666666668</v>
      </c>
      <c r="F88" s="33">
        <f>+'OLD Tables'!J27+'OLD Tables'!F57</f>
        <v>12144.550000000001</v>
      </c>
      <c r="G88" s="12">
        <f>+'OLD Tables'!L27+'OLD Tables'!G57</f>
        <v>1855.9916666666666</v>
      </c>
      <c r="H88" s="113">
        <f>+'OLD Tables'!N27+'OLD Tables'!H57</f>
        <v>466920.67500000005</v>
      </c>
    </row>
    <row r="89" spans="1:13" ht="15" customHeight="1">
      <c r="A89" s="1" t="s">
        <v>78</v>
      </c>
      <c r="B89" s="33">
        <f>+'OLD Tables'!B28+'OLD Tables'!B58</f>
        <v>101312.63750000001</v>
      </c>
      <c r="C89" s="33">
        <f>+'OLD Tables'!D28+'OLD Tables'!C58</f>
        <v>35664.895833333336</v>
      </c>
      <c r="D89" s="33">
        <f>+'OLD Tables'!F28+'OLD Tables'!D58</f>
        <v>25153.966666666667</v>
      </c>
      <c r="E89" s="33">
        <f>+'OLD Tables'!H28+'OLD Tables'!E58</f>
        <v>19217.8</v>
      </c>
      <c r="F89" s="33">
        <f>+'OLD Tables'!J28+'OLD Tables'!F58</f>
        <v>9478.4166666666661</v>
      </c>
      <c r="G89" s="12">
        <f>+'OLD Tables'!L28+'OLD Tables'!G58</f>
        <v>1723.6666666666667</v>
      </c>
      <c r="H89" s="113">
        <f>+'OLD Tables'!N28+'OLD Tables'!H58</f>
        <v>192551.38333333336</v>
      </c>
    </row>
    <row r="90" spans="1:13" ht="15" customHeight="1">
      <c r="A90" s="3" t="s">
        <v>79</v>
      </c>
      <c r="B90" s="13">
        <f>+'OLD Tables'!B29+'OLD Tables'!B59</f>
        <v>26786.391666666666</v>
      </c>
      <c r="C90" s="13">
        <f>+'OLD Tables'!D29+'OLD Tables'!C59</f>
        <v>0</v>
      </c>
      <c r="D90" s="13">
        <f>+'OLD Tables'!F29+'OLD Tables'!D59</f>
        <v>11462.283333333333</v>
      </c>
      <c r="E90" s="13">
        <f>+'OLD Tables'!H29+'OLD Tables'!E59</f>
        <v>0</v>
      </c>
      <c r="F90" s="13">
        <f>+'OLD Tables'!J29+'OLD Tables'!F59</f>
        <v>8073.3083333333334</v>
      </c>
      <c r="G90" s="14">
        <f>+'OLD Tables'!L29+'OLD Tables'!G59</f>
        <v>12244.656666666666</v>
      </c>
      <c r="H90" s="114">
        <f>+'OLD Tables'!N29+'OLD Tables'!H59</f>
        <v>58566.640000000007</v>
      </c>
    </row>
    <row r="91" spans="1:13" ht="51.75" customHeight="1">
      <c r="A91" s="840" t="s">
        <v>994</v>
      </c>
      <c r="B91" s="850"/>
      <c r="C91" s="850"/>
      <c r="D91" s="850"/>
      <c r="E91" s="850"/>
      <c r="F91" s="850"/>
      <c r="G91" s="850"/>
      <c r="H91" s="850"/>
    </row>
    <row r="92" spans="1:13">
      <c r="A92" s="49"/>
      <c r="B92" s="50"/>
      <c r="C92" s="50"/>
      <c r="D92" s="50"/>
      <c r="E92" s="50"/>
      <c r="F92" s="50"/>
      <c r="G92" s="50"/>
      <c r="H92" s="169" t="s">
        <v>987</v>
      </c>
    </row>
    <row r="93" spans="1:13" ht="18">
      <c r="A93" s="838" t="s">
        <v>166</v>
      </c>
      <c r="B93" s="838"/>
      <c r="C93" s="838"/>
      <c r="D93" s="838"/>
      <c r="E93" s="838"/>
      <c r="F93" s="838"/>
      <c r="G93" s="838"/>
      <c r="H93" s="838"/>
      <c r="I93" s="838"/>
      <c r="J93" s="838"/>
      <c r="K93" s="268"/>
      <c r="L93" s="268"/>
      <c r="M93" s="178"/>
    </row>
    <row r="94" spans="1:13" ht="15.75">
      <c r="A94" s="21"/>
      <c r="B94" s="21"/>
      <c r="C94" s="21"/>
      <c r="D94" s="21"/>
      <c r="E94" s="21"/>
      <c r="F94" s="21"/>
      <c r="G94" s="21"/>
      <c r="H94" s="105"/>
      <c r="I94" s="21"/>
      <c r="J94" s="105"/>
      <c r="K94" s="105"/>
      <c r="L94" s="105"/>
      <c r="M94" s="198"/>
    </row>
    <row r="95" spans="1:13" ht="15.75">
      <c r="A95" s="839" t="s">
        <v>34</v>
      </c>
      <c r="B95" s="839"/>
      <c r="C95" s="839"/>
      <c r="D95" s="839"/>
      <c r="E95" s="839"/>
      <c r="F95" s="839"/>
      <c r="G95" s="839"/>
      <c r="H95" s="839"/>
      <c r="I95" s="839"/>
      <c r="J95" s="839"/>
      <c r="K95" s="269"/>
      <c r="L95" s="269"/>
      <c r="M95" s="199"/>
    </row>
    <row r="96" spans="1:13" ht="15.75">
      <c r="A96" s="839" t="s">
        <v>234</v>
      </c>
      <c r="B96" s="839"/>
      <c r="C96" s="839"/>
      <c r="D96" s="839"/>
      <c r="E96" s="839"/>
      <c r="F96" s="839"/>
      <c r="G96" s="839"/>
      <c r="H96" s="839"/>
      <c r="I96" s="839"/>
      <c r="J96" s="839"/>
      <c r="K96" s="269"/>
      <c r="L96" s="269"/>
      <c r="M96" s="199"/>
    </row>
    <row r="97" spans="1:13">
      <c r="B97" s="2"/>
      <c r="C97" s="2"/>
      <c r="D97" s="2"/>
      <c r="E97" s="2"/>
      <c r="F97" s="2"/>
      <c r="G97" s="2"/>
      <c r="H97" s="107"/>
      <c r="I97" s="2"/>
      <c r="J97" s="107"/>
      <c r="K97" s="107"/>
      <c r="L97" s="107"/>
      <c r="M97" s="191"/>
    </row>
    <row r="98" spans="1:13" ht="15" customHeight="1">
      <c r="A98" s="44"/>
      <c r="B98" s="56" t="s">
        <v>63</v>
      </c>
      <c r="C98" s="56"/>
      <c r="D98" s="27"/>
      <c r="E98" s="27"/>
      <c r="F98" s="28"/>
      <c r="G98" s="57" t="s">
        <v>45</v>
      </c>
      <c r="H98" s="91"/>
      <c r="I98" s="92"/>
      <c r="J98" s="170" t="s">
        <v>28</v>
      </c>
      <c r="K98" s="170" t="s">
        <v>28</v>
      </c>
      <c r="L98" s="228"/>
      <c r="M98" s="170"/>
    </row>
    <row r="99" spans="1:13" ht="24">
      <c r="A99" s="45"/>
      <c r="B99" s="58" t="s">
        <v>140</v>
      </c>
      <c r="C99" s="46">
        <v>1</v>
      </c>
      <c r="D99" s="46">
        <v>2</v>
      </c>
      <c r="E99" s="46">
        <v>3</v>
      </c>
      <c r="F99" s="59" t="s">
        <v>30</v>
      </c>
      <c r="G99" s="60">
        <v>1</v>
      </c>
      <c r="H99" s="94">
        <v>2</v>
      </c>
      <c r="I99" s="93" t="s">
        <v>30</v>
      </c>
      <c r="J99" s="123"/>
      <c r="K99" s="123"/>
      <c r="L99" s="123"/>
      <c r="M99" s="123"/>
    </row>
    <row r="100" spans="1:13" ht="15" customHeight="1">
      <c r="A100" s="1" t="s">
        <v>64</v>
      </c>
      <c r="B100" s="5">
        <f>+GETPIVOTDATA("Undergrad Student Credit Hour  FTE - Old",'FTE Pivot for regular counts'!$A$2,"Category","7","Category2","Two-Year")</f>
        <v>198182.16666666669</v>
      </c>
      <c r="C100" s="15">
        <f>+GETPIVOTDATA("Undergrad Student Credit Hour  FTE - Old",'FTE Pivot for regular counts'!$A$2,"Category","8","Category2","Two-Year")</f>
        <v>1062514.1726666668</v>
      </c>
      <c r="D100" s="5">
        <f>+GETPIVOTDATA("Undergrad Student Credit Hour  FTE - Old",'FTE Pivot for regular counts'!$A$2,"Category","9","Category2","Two-Year")</f>
        <v>450644.67433333333</v>
      </c>
      <c r="E100" s="5">
        <f>+GETPIVOTDATA("Undergrad Student Credit Hour  FTE - Old",'FTE Pivot for regular counts'!$A$2,"Category","10","Category2","Two-Year")</f>
        <v>130920.04099999998</v>
      </c>
      <c r="F100" s="23">
        <f>+GETPIVOTDATA("Undergrad Student Credit Hour  FTE - Old",'FTE Pivot for regular counts'!$A$2,"Category2","Two-Year")</f>
        <v>1842261.0546666668</v>
      </c>
      <c r="G100" s="18">
        <f>+GETPIVOTDATA("Undergrad Student Credit Hour  FTE - Old",'FTE Pivot for regular counts'!$A$2,"Category","12","Category2","Technical")</f>
        <v>121800.91666666666</v>
      </c>
      <c r="H100" s="103">
        <f>+GETPIVOTDATA("Undergrad Student Credit Hour  FTE - Old",'FTE Pivot for regular counts'!$A$2,"Category","13","Category2","Technical")</f>
        <v>2468.5</v>
      </c>
      <c r="I100" s="4">
        <f>+GETPIVOTDATA("Undergrad Student Credit Hour  FTE - Old",'FTE Pivot for regular counts'!$A$2,"Category2","Technical")</f>
        <v>124269.41666666666</v>
      </c>
      <c r="J100" s="73"/>
    </row>
    <row r="101" spans="1:13" ht="15" customHeight="1">
      <c r="B101" s="5"/>
      <c r="C101" s="15"/>
      <c r="D101" s="5"/>
      <c r="E101" s="5"/>
      <c r="F101" s="23"/>
      <c r="G101" s="18"/>
      <c r="H101" s="103"/>
      <c r="I101" s="4"/>
      <c r="J101" s="73"/>
    </row>
    <row r="102" spans="1:13" ht="15" customHeight="1">
      <c r="A102" s="1" t="s">
        <v>65</v>
      </c>
      <c r="B102" s="5">
        <f>+GETPIVOTDATA("Undergrad Student Credit Hour  FTE - Old",'FTE Pivot for regular counts'!$A$2,"State","AL","Category","7","Category2","Two-Year")</f>
        <v>0</v>
      </c>
      <c r="C102" s="15">
        <f>+GETPIVOTDATA("Undergrad Student Credit Hour  FTE - Old",'FTE Pivot for regular counts'!$A$2,"State","AL","Category","8","Category2","Two-Year")</f>
        <v>26710.799999999999</v>
      </c>
      <c r="D102" s="5">
        <f>+GETPIVOTDATA("Undergrad Student Credit Hour  FTE - Old",'FTE Pivot for regular counts'!$A$2,"State","AL","Category","9","Category2","Two-Year")</f>
        <v>38344.900000000009</v>
      </c>
      <c r="E102" s="5">
        <f>+GETPIVOTDATA("Undergrad Student Credit Hour  FTE - Old",'FTE Pivot for regular counts'!$A$2,"State","AL","Category","10","Category2","Two-Year")</f>
        <v>9439</v>
      </c>
      <c r="F102" s="23">
        <f>+GETPIVOTDATA("Undergrad Student Credit Hour  FTE - Old",'FTE Pivot for regular counts'!$A$2,"State","AL","Category2","Two-Year")</f>
        <v>74494.700000000012</v>
      </c>
      <c r="G102" s="18">
        <f>+GETPIVOTDATA("Undergrad Student Credit Hour  FTE - Old",'FTE Pivot for regular counts'!$A$2,"State","AL","Category","12","Category2","Technical")</f>
        <v>1650.0666666666666</v>
      </c>
      <c r="H102" s="103">
        <f>+GETPIVOTDATA("Undergrad Student Credit Hour  FTE - Old",'FTE Pivot for regular counts'!$A$2,"State","AL","Category","13","Category2","Technical")</f>
        <v>2468.5</v>
      </c>
      <c r="I102" s="4">
        <f>+GETPIVOTDATA("Undergrad Student Credit Hour  FTE - Old",'FTE Pivot for regular counts'!$A$2,"State","AL","Category2","Technical")</f>
        <v>4118.5666666666666</v>
      </c>
      <c r="J102" s="73"/>
    </row>
    <row r="103" spans="1:13" ht="15" customHeight="1">
      <c r="A103" s="4" t="s">
        <v>66</v>
      </c>
      <c r="B103" s="15">
        <f>+GETPIVOTDATA("Undergrad Student Credit Hour  FTE - Old",'FTE Pivot for regular counts'!$A$2,"State","AR","Category","7","Category2","Two-Year")</f>
        <v>0</v>
      </c>
      <c r="C103" s="15">
        <f>+GETPIVOTDATA("Undergrad Student Credit Hour  FTE - Old",'FTE Pivot for regular counts'!$A$2,"State","AR","Category","8","Category2","Two-Year")</f>
        <v>14508.2</v>
      </c>
      <c r="D103" s="15">
        <f>+GETPIVOTDATA("Undergrad Student Credit Hour  FTE - Old",'FTE Pivot for regular counts'!$A$2,"State","AR","Category","9","Category2","Two-Year")</f>
        <v>6390.6666666666661</v>
      </c>
      <c r="E103" s="15">
        <f>+GETPIVOTDATA("Undergrad Student Credit Hour  FTE - Old",'FTE Pivot for regular counts'!$A$2,"State","AR","Category","10","Category2","Two-Year")</f>
        <v>23666.500000000007</v>
      </c>
      <c r="F103" s="23">
        <f>+GETPIVOTDATA("Undergrad Student Credit Hour  FTE - Old",'FTE Pivot for regular counts'!$A$2,"State","AR","Category2","Two-Year")</f>
        <v>44565.366666666676</v>
      </c>
      <c r="G103" s="18">
        <f>+GETPIVOTDATA("Undergrad Student Credit Hour  FTE - Old",'FTE Pivot for regular counts'!$A$2,"State","AR","Category","12","Category2","Technical")</f>
        <v>0</v>
      </c>
      <c r="H103" s="103">
        <f>+GETPIVOTDATA("Undergrad Student Credit Hour  FTE - Old",'FTE Pivot for regular counts'!$A$2,"State","AR","Category","13","Category2","Technical")</f>
        <v>0</v>
      </c>
      <c r="I103" s="73">
        <f>+GETPIVOTDATA("Undergrad Student Credit Hour  FTE - Old",'FTE Pivot for regular counts'!$A$2,"State","AR","Category2","Technical")</f>
        <v>0</v>
      </c>
      <c r="J103" s="73"/>
      <c r="K103" s="73"/>
      <c r="L103" s="73"/>
    </row>
    <row r="104" spans="1:13" ht="15" customHeight="1">
      <c r="A104" s="1" t="s">
        <v>102</v>
      </c>
      <c r="B104" s="15">
        <f>+GETPIVOTDATA("Undergrad Student Credit Hour  FTE - Old",'FTE Pivot for regular counts'!$A$2,"State","DE","Category","7","Category2","Two-Year")</f>
        <v>0</v>
      </c>
      <c r="C104" s="15">
        <f>+GETPIVOTDATA("Undergrad Student Credit Hour  FTE - Old",'FTE Pivot for regular counts'!$A$2,"State","DE","Category","8","Category2","Two-Year")</f>
        <v>5258.4</v>
      </c>
      <c r="D104" s="15">
        <f>+GETPIVOTDATA("Undergrad Student Credit Hour  FTE - Old",'FTE Pivot for regular counts'!$A$2,"State","DE","Category","9","Category2","Two-Year")</f>
        <v>5958.9333333333334</v>
      </c>
      <c r="E104" s="15">
        <f>+GETPIVOTDATA("Undergrad Student Credit Hour  FTE - Old",'FTE Pivot for regular counts'!$A$2,"State","DE","Category","10","Category2","Two-Year")</f>
        <v>0</v>
      </c>
      <c r="F104" s="23">
        <f>+GETPIVOTDATA("Undergrad Student Credit Hour  FTE - Old",'FTE Pivot for regular counts'!$A$2,"State","DE","Category2","Two-Year")</f>
        <v>11217.333333333332</v>
      </c>
      <c r="G104" s="18">
        <f>+GETPIVOTDATA("Undergrad Student Credit Hour  FTE - Old",'FTE Pivot for regular counts'!$A$2,"State","DE","Category","12","Category2","Technical")</f>
        <v>0</v>
      </c>
      <c r="H104" s="103">
        <f>+GETPIVOTDATA("Undergrad Student Credit Hour  FTE - Old",'FTE Pivot for regular counts'!$A$2,"State","DE","Category","13","Category2","Technical")</f>
        <v>0</v>
      </c>
      <c r="I104" s="73">
        <f>+GETPIVOTDATA("Undergrad Student Credit Hour  FTE - Old",'FTE Pivot for regular counts'!$A$2,"State","DE","Category2","Technical")</f>
        <v>0</v>
      </c>
      <c r="J104" s="73"/>
      <c r="K104" s="73"/>
      <c r="L104" s="73"/>
    </row>
    <row r="105" spans="1:13" ht="15" customHeight="1">
      <c r="A105" s="1" t="s">
        <v>67</v>
      </c>
      <c r="B105" s="15">
        <f>+GETPIVOTDATA("Undergrad Student Credit Hour  FTE - Old",'FTE Pivot for regular counts'!$A$2,"State","FL","Category","7","Category2","Two-Year")</f>
        <v>143650.26666666666</v>
      </c>
      <c r="C105" s="15">
        <f>+GETPIVOTDATA("Undergrad Student Credit Hour  FTE - Old",'FTE Pivot for regular counts'!$A$2,"State","FL","Category","8","Category2","Two-Year")</f>
        <v>190091.36666666667</v>
      </c>
      <c r="D105" s="15">
        <f>+GETPIVOTDATA("Undergrad Student Credit Hour  FTE - Old",'FTE Pivot for regular counts'!$A$2,"State","FL","Category","9","Category2","Two-Year")</f>
        <v>16191.333333333332</v>
      </c>
      <c r="E105" s="15">
        <f>+GETPIVOTDATA("Undergrad Student Credit Hour  FTE - Old",'FTE Pivot for regular counts'!$A$2,"State","FL","Category","10","Category2","Two-Year")</f>
        <v>1795.1333333333332</v>
      </c>
      <c r="F105" s="23">
        <f>+GETPIVOTDATA("Undergrad Student Credit Hour  FTE - Old",'FTE Pivot for regular counts'!$A$2,"State","FL","Category2","Two-Year")</f>
        <v>351728.1</v>
      </c>
      <c r="G105" s="18">
        <f>+GETPIVOTDATA("Undergrad Student Credit Hour  FTE - Old",'FTE Pivot for regular counts'!$A$2,"State","FL","Category","12","Category2","Technical")</f>
        <v>0</v>
      </c>
      <c r="H105" s="103">
        <f>+GETPIVOTDATA("Undergrad Student Credit Hour  FTE - Old",'FTE Pivot for regular counts'!$A$2,"State","FL","Category","13","Category2","Technical")</f>
        <v>0</v>
      </c>
      <c r="I105" s="73">
        <f>+GETPIVOTDATA("Undergrad Student Credit Hour  FTE - Old",'FTE Pivot for regular counts'!$A$2,"State","FL","Category2","Technical")</f>
        <v>0</v>
      </c>
      <c r="J105" s="73"/>
      <c r="K105" s="73"/>
      <c r="L105" s="73"/>
    </row>
    <row r="106" spans="1:13" ht="15" customHeight="1">
      <c r="B106" s="15"/>
      <c r="C106" s="15"/>
      <c r="D106" s="15"/>
      <c r="E106" s="15"/>
      <c r="F106" s="23"/>
      <c r="G106" s="18"/>
      <c r="H106" s="103"/>
      <c r="I106" s="73"/>
      <c r="J106" s="73"/>
      <c r="K106" s="73"/>
      <c r="L106" s="73"/>
    </row>
    <row r="107" spans="1:13" ht="15" customHeight="1">
      <c r="A107" s="1" t="s">
        <v>68</v>
      </c>
      <c r="B107" s="15">
        <f>+GETPIVOTDATA("Undergrad Student Credit Hour  FTE - Old",'FTE Pivot for regular counts'!$A$2,"State","GA","Category","7","Category2","Two-Year")</f>
        <v>15149.266666666666</v>
      </c>
      <c r="C107" s="15">
        <f>+GETPIVOTDATA("Undergrad Student Credit Hour  FTE - Old",'FTE Pivot for regular counts'!$A$2,"State","GA","Category","8","Category2","Two-Year")</f>
        <v>20341.233333333334</v>
      </c>
      <c r="D107" s="15">
        <f>+GETPIVOTDATA("Undergrad Student Credit Hour  FTE - Old",'FTE Pivot for regular counts'!$A$2,"State","GA","Category","9","Category2","Two-Year")</f>
        <v>26135.266666666663</v>
      </c>
      <c r="E107" s="15">
        <f>+GETPIVOTDATA("Undergrad Student Credit Hour  FTE - Old",'FTE Pivot for regular counts'!$A$2,"State","GA","Category","10","Category2","Two-Year")</f>
        <v>2721.1666666666665</v>
      </c>
      <c r="F107" s="23">
        <f>+GETPIVOTDATA("Undergrad Student Credit Hour  FTE - Old",'FTE Pivot for regular counts'!$A$2,"State","GA","Category2","Two-Year")</f>
        <v>64346.933333333327</v>
      </c>
      <c r="G107" s="18">
        <f>+GETPIVOTDATA("Undergrad Student Credit Hour  FTE - Old",'FTE Pivot for regular counts'!$A$2,"State","GA","Category","12","Category2","Technical")</f>
        <v>96674.833333333328</v>
      </c>
      <c r="H107" s="103">
        <f>+GETPIVOTDATA("Undergrad Student Credit Hour  FTE - Old",'FTE Pivot for regular counts'!$A$2,"State","GA","Category","13","Category2","Technical")</f>
        <v>0</v>
      </c>
      <c r="I107" s="73">
        <f>+GETPIVOTDATA("Undergrad Student Credit Hour  FTE - Old",'FTE Pivot for regular counts'!$A$2,"State","GA","Category2","Technical")</f>
        <v>96674.833333333328</v>
      </c>
      <c r="J107" s="73"/>
      <c r="K107" s="73"/>
      <c r="L107" s="73"/>
    </row>
    <row r="108" spans="1:13" ht="15" customHeight="1">
      <c r="A108" s="1" t="s">
        <v>69</v>
      </c>
      <c r="B108" s="15">
        <f>+GETPIVOTDATA("Undergrad Student Credit Hour  FTE - Old",'FTE Pivot for regular counts'!$A$2,"State","KY","Category","7","Category2","Two-Year")</f>
        <v>0</v>
      </c>
      <c r="C108" s="15">
        <f>+GETPIVOTDATA("Undergrad Student Credit Hour  FTE - Old",'FTE Pivot for regular counts'!$A$2,"State","KY","Category","8","Category2","Two-Year")</f>
        <v>18423.433333333334</v>
      </c>
      <c r="D108" s="15">
        <f>+GETPIVOTDATA("Undergrad Student Credit Hour  FTE - Old",'FTE Pivot for regular counts'!$A$2,"State","KY","Category","9","Category2","Two-Year")</f>
        <v>36209.100000000006</v>
      </c>
      <c r="E108" s="15">
        <f>+GETPIVOTDATA("Undergrad Student Credit Hour  FTE - Old",'FTE Pivot for regular counts'!$A$2,"State","KY","Category","10","Category2","Two-Year")</f>
        <v>1441.1666666666667</v>
      </c>
      <c r="F108" s="23">
        <f>+GETPIVOTDATA("Undergrad Student Credit Hour  FTE - Old",'FTE Pivot for regular counts'!$A$2,"State","KY","Category2","Two-Year")</f>
        <v>56073.700000000004</v>
      </c>
      <c r="G108" s="18">
        <f>+GETPIVOTDATA("Undergrad Student Credit Hour  FTE - Old",'FTE Pivot for regular counts'!$A$2,"State","KY","Category","12","Category2","Technical")</f>
        <v>4817.2</v>
      </c>
      <c r="H108" s="103">
        <f>+GETPIVOTDATA("Undergrad Student Credit Hour  FTE - Old",'FTE Pivot for regular counts'!$A$2,"State","KY","Category","13","Category2","Technical")</f>
        <v>0</v>
      </c>
      <c r="I108" s="73">
        <f>+GETPIVOTDATA("Undergrad Student Credit Hour  FTE - Old",'FTE Pivot for regular counts'!$A$2,"State","KY","Category2","Technical")</f>
        <v>4817.2</v>
      </c>
      <c r="J108" s="73"/>
      <c r="K108" s="73"/>
      <c r="L108" s="73"/>
    </row>
    <row r="109" spans="1:13" ht="15" customHeight="1">
      <c r="A109" s="1" t="s">
        <v>70</v>
      </c>
      <c r="B109" s="15">
        <f>+GETPIVOTDATA("Undergrad Student Credit Hour  FTE - Old",'FTE Pivot for regular counts'!$A$2,"State","LA","Category","7","Category2","Two-Year")</f>
        <v>0</v>
      </c>
      <c r="C109" s="15">
        <f>+GETPIVOTDATA("Undergrad Student Credit Hour  FTE - Old",'FTE Pivot for regular counts'!$A$2,"State","LA","Category","8","Category2","Two-Year")</f>
        <v>25316.166666666668</v>
      </c>
      <c r="D109" s="15">
        <f>+GETPIVOTDATA("Undergrad Student Credit Hour  FTE - Old",'FTE Pivot for regular counts'!$A$2,"State","LA","Category","9","Category2","Two-Year")</f>
        <v>4755.8333333333339</v>
      </c>
      <c r="E109" s="15">
        <f>+GETPIVOTDATA("Undergrad Student Credit Hour  FTE - Old",'FTE Pivot for regular counts'!$A$2,"State","LA","Category","10","Category2","Two-Year")</f>
        <v>7497.0333333333328</v>
      </c>
      <c r="F109" s="23">
        <f>+GETPIVOTDATA("Undergrad Student Credit Hour  FTE - Old",'FTE Pivot for regular counts'!$A$2,"State","LA","Category2","Two-Year")</f>
        <v>37569.033333333333</v>
      </c>
      <c r="G109" s="18">
        <f>+GETPIVOTDATA("Undergrad Student Credit Hour  FTE - Old",'FTE Pivot for regular counts'!$A$2,"State","LA","Category","12","Category2","Technical")</f>
        <v>18658.816666666669</v>
      </c>
      <c r="H109" s="103">
        <f>+GETPIVOTDATA("Undergrad Student Credit Hour  FTE - Old",'FTE Pivot for regular counts'!$A$2,"State","LA","Category","13","Category2","Technical")</f>
        <v>0</v>
      </c>
      <c r="I109" s="73">
        <f>+GETPIVOTDATA("Undergrad Student Credit Hour  FTE - Old",'FTE Pivot for regular counts'!$A$2,"State","LA","Category2","Technical")</f>
        <v>18658.816666666669</v>
      </c>
      <c r="J109" s="73"/>
      <c r="K109" s="73"/>
      <c r="L109" s="73"/>
    </row>
    <row r="110" spans="1:13" ht="15" customHeight="1">
      <c r="A110" s="1" t="s">
        <v>71</v>
      </c>
      <c r="B110" s="15">
        <f>+GETPIVOTDATA("Undergrad Student Credit Hour  FTE - Old",'FTE Pivot for regular counts'!$A$2,"State","MD","Category","7","Category2","Two-Year")</f>
        <v>0</v>
      </c>
      <c r="C110" s="15">
        <f>+GETPIVOTDATA("Undergrad Student Credit Hour  FTE - Old",'FTE Pivot for regular counts'!$A$2,"State","MD","Category","8","Category2","Two-Year")</f>
        <v>70204.950000000012</v>
      </c>
      <c r="D110" s="15">
        <f>+GETPIVOTDATA("Undergrad Student Credit Hour  FTE - Old",'FTE Pivot for regular counts'!$A$2,"State","MD","Category","9","Category2","Two-Year")</f>
        <v>24798.749999999996</v>
      </c>
      <c r="E110" s="15">
        <f>+GETPIVOTDATA("Undergrad Student Credit Hour  FTE - Old",'FTE Pivot for regular counts'!$A$2,"State","MD","Category","10","Category2","Two-Year")</f>
        <v>4195.625</v>
      </c>
      <c r="F110" s="23">
        <f>+GETPIVOTDATA("Undergrad Student Credit Hour  FTE - Old",'FTE Pivot for regular counts'!$A$2,"State","MD","Category2","Two-Year")</f>
        <v>99199.325000000012</v>
      </c>
      <c r="G110" s="18">
        <f>+GETPIVOTDATA("Undergrad Student Credit Hour  FTE - Old",'FTE Pivot for regular counts'!$A$2,"State","MD","Category","12","Category2","Technical")</f>
        <v>0</v>
      </c>
      <c r="H110" s="103">
        <f>+GETPIVOTDATA("Undergrad Student Credit Hour  FTE - Old",'FTE Pivot for regular counts'!$A$2,"State","MD","Category","13","Category2","Technical")</f>
        <v>0</v>
      </c>
      <c r="I110" s="73">
        <f>+GETPIVOTDATA("Undergrad Student Credit Hour  FTE - Old",'FTE Pivot for regular counts'!$A$2,"State","MD","Category2","Technical")</f>
        <v>0</v>
      </c>
      <c r="J110" s="73"/>
      <c r="K110" s="73"/>
      <c r="L110" s="73"/>
    </row>
    <row r="111" spans="1:13" ht="15" customHeight="1">
      <c r="B111" s="15"/>
      <c r="C111" s="15"/>
      <c r="D111" s="15"/>
      <c r="E111" s="15"/>
      <c r="F111" s="23"/>
      <c r="G111" s="18"/>
      <c r="H111" s="103"/>
      <c r="I111" s="73"/>
      <c r="J111" s="73"/>
      <c r="K111" s="73"/>
      <c r="L111" s="73"/>
    </row>
    <row r="112" spans="1:13" ht="15" customHeight="1">
      <c r="A112" s="1" t="s">
        <v>72</v>
      </c>
      <c r="B112" s="15">
        <f>+GETPIVOTDATA("Undergrad Student Credit Hour  FTE - Old",'FTE Pivot for regular counts'!$A$2,"State","MS","Category","7","Category2","Two-Year")</f>
        <v>0</v>
      </c>
      <c r="C112" s="15">
        <f>+GETPIVOTDATA("Undergrad Student Credit Hour  FTE - Old",'FTE Pivot for regular counts'!$A$2,"State","MS","Category","8","Category2","Two-Year")</f>
        <v>33757.566666666666</v>
      </c>
      <c r="D112" s="15">
        <f>+GETPIVOTDATA("Undergrad Student Credit Hour  FTE - Old",'FTE Pivot for regular counts'!$A$2,"State","MS","Category","9","Category2","Two-Year")</f>
        <v>34043.916666666672</v>
      </c>
      <c r="E112" s="15">
        <f>+GETPIVOTDATA("Undergrad Student Credit Hour  FTE - Old",'FTE Pivot for regular counts'!$A$2,"State","MS","Category","10","Category2","Two-Year")</f>
        <v>4316.0666666666666</v>
      </c>
      <c r="F112" s="23">
        <f>+GETPIVOTDATA("Undergrad Student Credit Hour  FTE - Old",'FTE Pivot for regular counts'!$A$2,"State","MS","Category2","Two-Year")</f>
        <v>72117.55</v>
      </c>
      <c r="G112" s="18">
        <f>+GETPIVOTDATA("Undergrad Student Credit Hour  FTE - Old",'FTE Pivot for regular counts'!$A$2,"State","MS","Category","12","Category2","Technical")</f>
        <v>0</v>
      </c>
      <c r="H112" s="103">
        <f>+GETPIVOTDATA("Undergrad Student Credit Hour  FTE - Old",'FTE Pivot for regular counts'!$A$2,"State","MS","Category","13","Category2","Technical")</f>
        <v>0</v>
      </c>
      <c r="I112" s="73">
        <f>+GETPIVOTDATA("Undergrad Student Credit Hour  FTE - Old",'FTE Pivot for regular counts'!$A$2,"State","MS","Category2","Technical")</f>
        <v>0</v>
      </c>
      <c r="J112" s="73"/>
      <c r="K112" s="73"/>
      <c r="L112" s="73"/>
    </row>
    <row r="113" spans="1:13" ht="15" customHeight="1">
      <c r="A113" s="1" t="s">
        <v>73</v>
      </c>
      <c r="B113" s="15">
        <f>+GETPIVOTDATA("Undergrad Student Credit Hour  FTE - Old",'FTE Pivot for regular counts'!$A$2,"State","NC","Category","7","Category2","Two-Year")</f>
        <v>0</v>
      </c>
      <c r="C113" s="15">
        <f>+GETPIVOTDATA("Undergrad Student Credit Hour  FTE - Old",'FTE Pivot for regular counts'!$A$2,"State","NC","Category","8","Category2","Two-Year")</f>
        <v>82142.633333333331</v>
      </c>
      <c r="D113" s="15">
        <f>+GETPIVOTDATA("Undergrad Student Credit Hour  FTE - Old",'FTE Pivot for regular counts'!$A$2,"State","NC","Category","9","Category2","Two-Year")</f>
        <v>66190.000000000015</v>
      </c>
      <c r="E113" s="15">
        <f>+GETPIVOTDATA("Undergrad Student Credit Hour  FTE - Old",'FTE Pivot for regular counts'!$A$2,"State","NC","Category","10","Category2","Two-Year")</f>
        <v>27244.7</v>
      </c>
      <c r="F113" s="23">
        <f>+GETPIVOTDATA("Undergrad Student Credit Hour  FTE - Old",'FTE Pivot for regular counts'!$A$2,"State","NC","Category2","Two-Year")</f>
        <v>175577.33333333337</v>
      </c>
      <c r="G113" s="18">
        <f>+GETPIVOTDATA("Undergrad Student Credit Hour  FTE - Old",'FTE Pivot for regular counts'!$A$2,"State","NC","Category","12","Category2","Technical")</f>
        <v>0</v>
      </c>
      <c r="H113" s="103">
        <f>+GETPIVOTDATA("Undergrad Student Credit Hour  FTE - Old",'FTE Pivot for regular counts'!$A$2,"State","NC","Category","13","Category2","Technical")</f>
        <v>0</v>
      </c>
      <c r="I113" s="73">
        <f>+GETPIVOTDATA("Undergrad Student Credit Hour  FTE - Old",'FTE Pivot for regular counts'!$A$2,"State","NC","Category2","Technical")</f>
        <v>0</v>
      </c>
      <c r="J113" s="73"/>
      <c r="K113" s="73"/>
      <c r="L113" s="73"/>
    </row>
    <row r="114" spans="1:13" ht="15" customHeight="1">
      <c r="A114" s="1" t="s">
        <v>74</v>
      </c>
      <c r="B114" s="15">
        <f>+GETPIVOTDATA("Undergrad Student Credit Hour  FTE - Old",'FTE Pivot for regular counts'!$A$2,"State","OK","Category","7","Category2","Two-Year")</f>
        <v>8835.7333333333336</v>
      </c>
      <c r="C114" s="15">
        <f>+GETPIVOTDATA("Undergrad Student Credit Hour  FTE - Old",'FTE Pivot for regular counts'!$A$2,"State","OK","Category","8","Category2","Two-Year")</f>
        <v>28434.266666666663</v>
      </c>
      <c r="D114" s="15">
        <f>+GETPIVOTDATA("Undergrad Student Credit Hour  FTE - Old",'FTE Pivot for regular counts'!$A$2,"State","OK","Category","9","Category2","Two-Year")</f>
        <v>6122.3666666666668</v>
      </c>
      <c r="E114" s="15">
        <f>+GETPIVOTDATA("Undergrad Student Credit Hour  FTE - Old",'FTE Pivot for regular counts'!$A$2,"State","OK","Category","10","Category2","Two-Year")</f>
        <v>12909.900000000001</v>
      </c>
      <c r="F114" s="23">
        <f>+GETPIVOTDATA("Undergrad Student Credit Hour  FTE - Old",'FTE Pivot for regular counts'!$A$2,"State","OK","Category2","Two-Year")</f>
        <v>56302.26666666667</v>
      </c>
      <c r="G114" s="18">
        <f>+GETPIVOTDATA("Undergrad Student Credit Hour  FTE - Old",'FTE Pivot for regular counts'!$A$2,"State","OK","Category","12","Category2","Technical")</f>
        <v>0</v>
      </c>
      <c r="H114" s="103">
        <f>+GETPIVOTDATA("Undergrad Student Credit Hour  FTE - Old",'FTE Pivot for regular counts'!$A$2,"State","OK","Category","13","Category2","Technical")</f>
        <v>0</v>
      </c>
      <c r="I114" s="73">
        <f>+GETPIVOTDATA("Undergrad Student Credit Hour  FTE - Old",'FTE Pivot for regular counts'!$A$2,"State","OK","Category2","Technical")</f>
        <v>0</v>
      </c>
      <c r="J114" s="73"/>
      <c r="K114" s="73"/>
      <c r="L114" s="73"/>
    </row>
    <row r="115" spans="1:13" ht="15" customHeight="1">
      <c r="A115" s="1" t="s">
        <v>75</v>
      </c>
      <c r="B115" s="15">
        <f>+GETPIVOTDATA("Undergrad Student Credit Hour  FTE - Old",'FTE Pivot for regular counts'!$A$2,"State","SC","Category","7","Category2","Two-Year")</f>
        <v>0</v>
      </c>
      <c r="C115" s="15">
        <f>+GETPIVOTDATA("Undergrad Student Credit Hour  FTE - Old",'FTE Pivot for regular counts'!$A$2,"State","SC","Category","8","Category2","Two-Year")</f>
        <v>57517.322666666667</v>
      </c>
      <c r="D115" s="15">
        <f>+GETPIVOTDATA("Undergrad Student Credit Hour  FTE - Old",'FTE Pivot for regular counts'!$A$2,"State","SC","Category","9","Category2","Two-Year")</f>
        <v>17807.101000000002</v>
      </c>
      <c r="E115" s="15">
        <f>+GETPIVOTDATA("Undergrad Student Credit Hour  FTE - Old",'FTE Pivot for regular counts'!$A$2,"State","SC","Category","10","Category2","Two-Year")</f>
        <v>8309.9860000000008</v>
      </c>
      <c r="F115" s="23">
        <f>+GETPIVOTDATA("Undergrad Student Credit Hour  FTE - Old",'FTE Pivot for regular counts'!$A$2,"State","SC","Category2","Two-Year")</f>
        <v>83634.409666666674</v>
      </c>
      <c r="G115" s="18">
        <f>+GETPIVOTDATA("Undergrad Student Credit Hour  FTE - Old",'FTE Pivot for regular counts'!$A$2,"State","SC","Category","12","Category2","Technical")</f>
        <v>0</v>
      </c>
      <c r="H115" s="103">
        <f>+GETPIVOTDATA("Undergrad Student Credit Hour  FTE - Old",'FTE Pivot for regular counts'!$A$2,"State","SC","Category","13","Category2","Technical")</f>
        <v>0</v>
      </c>
      <c r="I115" s="73">
        <f>+GETPIVOTDATA("Undergrad Student Credit Hour  FTE - Old",'FTE Pivot for regular counts'!$A$2,"State","SC","Category2","Technical")</f>
        <v>0</v>
      </c>
      <c r="J115" s="73"/>
      <c r="K115" s="73"/>
      <c r="L115" s="73"/>
    </row>
    <row r="116" spans="1:13" ht="15" customHeight="1">
      <c r="B116" s="15"/>
      <c r="C116" s="15"/>
      <c r="D116" s="15"/>
      <c r="E116" s="15"/>
      <c r="F116" s="23"/>
      <c r="G116" s="18"/>
      <c r="H116" s="103"/>
      <c r="I116" s="73"/>
      <c r="J116" s="73"/>
      <c r="K116" s="73"/>
      <c r="L116" s="73"/>
    </row>
    <row r="117" spans="1:13" ht="15" customHeight="1">
      <c r="A117" s="1" t="s">
        <v>76</v>
      </c>
      <c r="B117" s="15">
        <f>+GETPIVOTDATA("Undergrad Student Credit Hour  FTE - Old",'FTE Pivot for regular counts'!$A$2,"State","TN","Category","7","Category2","Two-Year")</f>
        <v>0</v>
      </c>
      <c r="C117" s="15">
        <f>+GETPIVOTDATA("Undergrad Student Credit Hour  FTE - Old",'FTE Pivot for regular counts'!$A$2,"State","TN","Category","8","Category2","Two-Year")</f>
        <v>37019.933333333334</v>
      </c>
      <c r="D117" s="15">
        <f>+GETPIVOTDATA("Undergrad Student Credit Hour  FTE - Old",'FTE Pivot for regular counts'!$A$2,"State","TN","Category","9","Category2","Two-Year")</f>
        <v>29790.466666666667</v>
      </c>
      <c r="E117" s="15">
        <f>+GETPIVOTDATA("Undergrad Student Credit Hour  FTE - Old",'FTE Pivot for regular counts'!$A$2,"State","TN","Category","10","Category2","Two-Year")</f>
        <v>0</v>
      </c>
      <c r="F117" s="23">
        <f>+GETPIVOTDATA("Undergrad Student Credit Hour  FTE - Old",'FTE Pivot for regular counts'!$A$2,"State","TN","Category2","Two-Year")</f>
        <v>66810.399999999994</v>
      </c>
      <c r="G117" s="18">
        <f>+GETPIVOTDATA("Undergrad Student Credit Hour  FTE - Old",'FTE Pivot for regular counts'!$A$2,"State","TN","Category","12","Category2","Technical")</f>
        <v>0</v>
      </c>
      <c r="H117" s="103">
        <f>+GETPIVOTDATA("Undergrad Student Credit Hour  FTE - Old",'FTE Pivot for regular counts'!$A$2,"State","TN","Category","13","Category2","Technical")</f>
        <v>0</v>
      </c>
      <c r="I117" s="73">
        <f>+GETPIVOTDATA("Undergrad Student Credit Hour  FTE - Old",'FTE Pivot for regular counts'!$A$2,"State","TN","Category2","Technical")</f>
        <v>0</v>
      </c>
      <c r="J117" s="73"/>
      <c r="K117" s="73"/>
      <c r="L117" s="73"/>
    </row>
    <row r="118" spans="1:13" ht="15" customHeight="1">
      <c r="A118" s="1" t="s">
        <v>77</v>
      </c>
      <c r="B118" s="15">
        <f>+GETPIVOTDATA("Undergrad Student Credit Hour  FTE - Old",'FTE Pivot for regular counts'!$A$2,"State","TX","Category","7","Category2","Two-Year")</f>
        <v>25594.699999999997</v>
      </c>
      <c r="C118" s="15">
        <f>+GETPIVOTDATA("Undergrad Student Credit Hour  FTE - Old",'FTE Pivot for regular counts'!$A$2,"State","TX","Category","8","Category2","Two-Year")</f>
        <v>378903.30000000005</v>
      </c>
      <c r="D118" s="15">
        <f>+GETPIVOTDATA("Undergrad Student Credit Hour  FTE - Old",'FTE Pivot for regular counts'!$A$2,"State","TX","Category","9","Category2","Two-Year")</f>
        <v>82406.299999999988</v>
      </c>
      <c r="E118" s="15">
        <f>+GETPIVOTDATA("Undergrad Student Credit Hour  FTE - Old",'FTE Pivot for regular counts'!$A$2,"State","TX","Category","10","Category2","Two-Year")</f>
        <v>11892.766666666668</v>
      </c>
      <c r="F118" s="23">
        <f>+GETPIVOTDATA("Undergrad Student Credit Hour  FTE - Old",'FTE Pivot for regular counts'!$A$2,"State","TX","Category2","Two-Year")</f>
        <v>498797.06666666671</v>
      </c>
      <c r="G118" s="18">
        <f>+GETPIVOTDATA("Undergrad Student Credit Hour  FTE - Old",'FTE Pivot for regular counts'!$A$2,"State","TX","Category","12","Category2","Technical")</f>
        <v>0</v>
      </c>
      <c r="H118" s="103">
        <f>+GETPIVOTDATA("Undergrad Student Credit Hour  FTE - Old",'FTE Pivot for regular counts'!$A$2,"State","TX","Category","13","Category2","Technical")</f>
        <v>0</v>
      </c>
      <c r="I118" s="73">
        <f>+GETPIVOTDATA("Undergrad Student Credit Hour  FTE - Old",'FTE Pivot for regular counts'!$A$2,"State","TX","Category2","Technical")</f>
        <v>0</v>
      </c>
      <c r="J118" s="73"/>
      <c r="K118" s="73"/>
      <c r="L118" s="73"/>
    </row>
    <row r="119" spans="1:13" ht="15" customHeight="1">
      <c r="A119" s="1" t="s">
        <v>78</v>
      </c>
      <c r="B119" s="15">
        <f>+GETPIVOTDATA("Undergrad Student Credit Hour  FTE - Old",'FTE Pivot for regular counts'!$A$2,"State","VA","Category","7","Category2","Two-Year")</f>
        <v>0</v>
      </c>
      <c r="C119" s="15">
        <f>+GETPIVOTDATA("Undergrad Student Credit Hour  FTE - Old",'FTE Pivot for regular counts'!$A$2,"State","VA","Category","8","Category2","Two-Year")</f>
        <v>73884.600000000006</v>
      </c>
      <c r="D119" s="15">
        <f>+GETPIVOTDATA("Undergrad Student Credit Hour  FTE - Old",'FTE Pivot for regular counts'!$A$2,"State","VA","Category","9","Category2","Two-Year")</f>
        <v>48716.466666666674</v>
      </c>
      <c r="E119" s="15">
        <f>+GETPIVOTDATA("Undergrad Student Credit Hour  FTE - Old",'FTE Pivot for regular counts'!$A$2,"State","VA","Category","10","Category2","Two-Year")</f>
        <v>7702.833333333333</v>
      </c>
      <c r="F119" s="23">
        <f>+GETPIVOTDATA("Undergrad Student Credit Hour  FTE - Old",'FTE Pivot for regular counts'!$A$2,"State","VA","Category2","Two-Year")</f>
        <v>130303.90000000001</v>
      </c>
      <c r="G119" s="18">
        <f>+GETPIVOTDATA("Undergrad Student Credit Hour  FTE - Old",'FTE Pivot for regular counts'!$A$2,"State","VA","Category","12","Category2","Technical")</f>
        <v>0</v>
      </c>
      <c r="H119" s="103">
        <f>+GETPIVOTDATA("Undergrad Student Credit Hour  FTE - Old",'FTE Pivot for regular counts'!$A$2,"State","VA","Category","13","Category2","Technical")</f>
        <v>0</v>
      </c>
      <c r="I119" s="73">
        <f>+GETPIVOTDATA("Undergrad Student Credit Hour  FTE - Old",'FTE Pivot for regular counts'!$A$2,"State","VA","Category2","Technical")</f>
        <v>0</v>
      </c>
      <c r="J119" s="73"/>
      <c r="K119" s="73"/>
      <c r="L119" s="73"/>
    </row>
    <row r="120" spans="1:13" ht="15" customHeight="1">
      <c r="A120" s="3" t="s">
        <v>79</v>
      </c>
      <c r="B120" s="6">
        <f>+GETPIVOTDATA("Undergrad Student Credit Hour  FTE - Old",'FTE Pivot for regular counts'!$A$2,"State","WV","Category","7","Category2","Two-Year")</f>
        <v>4952.2</v>
      </c>
      <c r="C120" s="6">
        <f>+GETPIVOTDATA("Undergrad Student Credit Hour  FTE - Old",'FTE Pivot for regular counts'!$A$2,"State","WV","Category","8","Category2","Two-Year")</f>
        <v>0</v>
      </c>
      <c r="D120" s="6">
        <f>+GETPIVOTDATA("Undergrad Student Credit Hour  FTE - Old",'FTE Pivot for regular counts'!$A$2,"State","WV","Category","9","Category2","Two-Year")</f>
        <v>6783.2733333333326</v>
      </c>
      <c r="E120" s="6">
        <f>+GETPIVOTDATA("Undergrad Student Credit Hour  FTE - Old",'FTE Pivot for regular counts'!$A$2,"State","WV","Category","10","Category2","Two-Year")</f>
        <v>7788.1633333333339</v>
      </c>
      <c r="F120" s="24">
        <f>+GETPIVOTDATA("Undergrad Student Credit Hour  FTE - Old",'FTE Pivot for regular counts'!$A$2,"State","WV","Category2","Two-Year")</f>
        <v>19523.636666666665</v>
      </c>
      <c r="G120" s="19">
        <f>+GETPIVOTDATA("Undergrad Student Credit Hour  FTE - Old",'FTE Pivot for regular counts'!$A$2,"State","WV","Category","12","Category2","Technical")</f>
        <v>0</v>
      </c>
      <c r="H120" s="116">
        <f>+GETPIVOTDATA("Undergrad Student Credit Hour  FTE - Old",'FTE Pivot for regular counts'!$A$2,"State","WV","Category","13","Category2","Technical")</f>
        <v>0</v>
      </c>
      <c r="I120" s="83">
        <f>+GETPIVOTDATA("Undergrad Student Credit Hour  FTE - Old",'FTE Pivot for regular counts'!$A$2,"State","WV","Category2","Technical")</f>
        <v>0</v>
      </c>
      <c r="J120" s="73"/>
      <c r="K120" s="73"/>
      <c r="L120" s="73"/>
    </row>
    <row r="121" spans="1:13" ht="38.25" customHeight="1">
      <c r="A121" s="837" t="s">
        <v>992</v>
      </c>
      <c r="B121" s="837"/>
      <c r="C121" s="837"/>
      <c r="D121" s="837"/>
      <c r="E121" s="837"/>
      <c r="F121" s="837"/>
      <c r="G121" s="837"/>
      <c r="H121" s="837"/>
      <c r="I121" s="837"/>
      <c r="J121" s="442"/>
      <c r="K121" s="267"/>
      <c r="L121" s="267"/>
      <c r="M121" s="200"/>
    </row>
    <row r="122" spans="1:13">
      <c r="J122" s="169" t="s">
        <v>987</v>
      </c>
      <c r="K122" s="169"/>
      <c r="L122" s="169"/>
      <c r="M122" s="201"/>
    </row>
    <row r="123" spans="1:13" ht="18">
      <c r="A123" s="838" t="s">
        <v>167</v>
      </c>
      <c r="B123" s="838"/>
      <c r="C123" s="838"/>
      <c r="D123" s="838"/>
      <c r="E123" s="838"/>
      <c r="F123" s="838"/>
      <c r="G123" s="838"/>
      <c r="H123" s="838"/>
      <c r="I123" s="838"/>
      <c r="J123" s="838"/>
      <c r="K123" s="268"/>
      <c r="L123" s="268"/>
      <c r="M123" s="178"/>
    </row>
    <row r="124" spans="1:13" ht="15.75">
      <c r="A124" s="77"/>
      <c r="B124" s="17"/>
      <c r="C124" s="43"/>
      <c r="D124" s="55"/>
      <c r="E124" s="17"/>
      <c r="F124" s="17"/>
      <c r="G124" s="17"/>
      <c r="H124" s="117"/>
      <c r="I124" s="17"/>
      <c r="J124" s="117"/>
      <c r="K124" s="117"/>
      <c r="L124" s="117"/>
    </row>
    <row r="125" spans="1:13" ht="15.75">
      <c r="A125" s="839" t="s">
        <v>35</v>
      </c>
      <c r="B125" s="839"/>
      <c r="C125" s="839"/>
      <c r="D125" s="839"/>
      <c r="E125" s="839"/>
      <c r="F125" s="839"/>
      <c r="G125" s="839"/>
      <c r="H125" s="839"/>
      <c r="I125" s="839"/>
      <c r="J125" s="839"/>
      <c r="K125" s="269"/>
      <c r="L125" s="269"/>
    </row>
    <row r="126" spans="1:13" ht="15.75">
      <c r="A126" s="839" t="s">
        <v>234</v>
      </c>
      <c r="B126" s="839"/>
      <c r="C126" s="839"/>
      <c r="D126" s="839"/>
      <c r="E126" s="839"/>
      <c r="F126" s="839"/>
      <c r="G126" s="839"/>
      <c r="H126" s="839"/>
      <c r="I126" s="839"/>
      <c r="J126" s="839"/>
      <c r="K126" s="269"/>
      <c r="L126" s="269"/>
    </row>
    <row r="127" spans="1:13">
      <c r="A127" s="22"/>
      <c r="B127" s="22"/>
      <c r="C127" s="22"/>
      <c r="D127" s="22"/>
      <c r="E127" s="22"/>
      <c r="F127" s="22"/>
      <c r="G127" s="22"/>
      <c r="H127" s="106"/>
      <c r="I127" s="22"/>
      <c r="J127" s="106"/>
      <c r="K127" s="106"/>
      <c r="L127" s="106"/>
    </row>
    <row r="128" spans="1:13">
      <c r="A128" s="61"/>
      <c r="B128" s="56" t="s">
        <v>63</v>
      </c>
      <c r="C128" s="56"/>
      <c r="D128" s="27"/>
      <c r="E128" s="27"/>
      <c r="F128" s="27"/>
      <c r="G128" s="57" t="s">
        <v>45</v>
      </c>
      <c r="H128" s="91"/>
      <c r="I128" s="92"/>
      <c r="J128" s="170" t="s">
        <v>28</v>
      </c>
      <c r="K128" s="170" t="s">
        <v>28</v>
      </c>
      <c r="L128" s="170"/>
    </row>
    <row r="129" spans="1:12" ht="24">
      <c r="A129" s="45"/>
      <c r="B129" s="58" t="s">
        <v>140</v>
      </c>
      <c r="C129" s="46">
        <v>1</v>
      </c>
      <c r="D129" s="46">
        <v>2</v>
      </c>
      <c r="E129" s="46">
        <v>3</v>
      </c>
      <c r="F129" s="46" t="s">
        <v>30</v>
      </c>
      <c r="G129" s="60">
        <v>1</v>
      </c>
      <c r="H129" s="94">
        <v>2</v>
      </c>
      <c r="I129" s="93" t="s">
        <v>30</v>
      </c>
      <c r="J129" s="123"/>
      <c r="K129" s="123"/>
      <c r="L129" s="123"/>
    </row>
    <row r="130" spans="1:12" ht="15" customHeight="1">
      <c r="A130" s="1" t="s">
        <v>64</v>
      </c>
      <c r="B130" s="7">
        <f>+GETPIVOTDATA(" Undergrad Contact Hour FTE - Old",'FTE Pivot for regular counts'!$A$2,"Category","7","Category2","Two-Year")</f>
        <v>14589.29888888889</v>
      </c>
      <c r="C130" s="7">
        <f>+GETPIVOTDATA(" Undergrad Contact Hour FTE - Old",'FTE Pivot for regular counts'!$A$2,"Category","8","Category2","Two-Year")</f>
        <v>37476.965555555551</v>
      </c>
      <c r="D130" s="7">
        <f>+GETPIVOTDATA(" Undergrad Contact Hour FTE - Old",'FTE Pivot for regular counts'!$A$2,"Category","9","Category2","Two-Year")</f>
        <v>23488.522222222226</v>
      </c>
      <c r="E130" s="7">
        <f>+GETPIVOTDATA(" Undergrad Contact Hour FTE - Old",'FTE Pivot for regular counts'!$A$2,"Category","10","Category2","Two-Year")</f>
        <v>9621.3166666666675</v>
      </c>
      <c r="F130" s="8">
        <f>+GETPIVOTDATA(" Undergrad Contact Hour FTE - Old",'FTE Pivot for regular counts'!$A$2,"Category2","Two-Year")</f>
        <v>85176.103333333347</v>
      </c>
      <c r="G130" s="7">
        <f>+GETPIVOTDATA(" Undergrad Contact Hour FTE - Old",'FTE Pivot for regular counts'!$A$2,"Category","12","Category2","Technical")</f>
        <v>5377.0617888888883</v>
      </c>
      <c r="H130" s="118">
        <f>+GETPIVOTDATA(" Undergrad Contact Hour FTE - Old",'FTE Pivot for regular counts'!$A$2,"Category","13","Category2","Technical")</f>
        <v>26880.628744444439</v>
      </c>
      <c r="I130" s="118">
        <f>+GETPIVOTDATA(" Undergrad Contact Hour FTE - Old",'FTE Pivot for regular counts'!$A$2,"Category2","Technical")</f>
        <v>32257.690533333327</v>
      </c>
      <c r="J130" s="119"/>
      <c r="K130" s="118"/>
      <c r="L130" s="118"/>
    </row>
    <row r="131" spans="1:12" ht="15" customHeight="1">
      <c r="B131" s="7"/>
      <c r="C131" s="32"/>
      <c r="D131" s="32"/>
      <c r="G131" s="31"/>
      <c r="I131" s="4"/>
      <c r="J131" s="73"/>
    </row>
    <row r="132" spans="1:12" ht="15" customHeight="1">
      <c r="A132" s="1" t="s">
        <v>65</v>
      </c>
      <c r="B132" s="7">
        <f>+GETPIVOTDATA(" Undergrad Contact Hour FTE - Old",'FTE Pivot for regular counts'!$A$2,"State","AL","Category","7","Category2","Two-Year")</f>
        <v>0</v>
      </c>
      <c r="C132" s="7">
        <f>+GETPIVOTDATA(" Undergrad Contact Hour FTE - Old",'FTE Pivot for regular counts'!$A$2,"State","AL","Category","8","Category2","Two-Year")</f>
        <v>0</v>
      </c>
      <c r="D132" s="7">
        <f>+GETPIVOTDATA(" Undergrad Contact Hour FTE - Old",'FTE Pivot for regular counts'!$A$2,"State","AL","Category","9","Category2","Two-Year")</f>
        <v>0</v>
      </c>
      <c r="E132" s="7">
        <f>+GETPIVOTDATA(" Undergrad Contact Hour FTE - Old",'FTE Pivot for regular counts'!$A$2,"State","AL","Category","10","Category2","Two-Year")</f>
        <v>0</v>
      </c>
      <c r="F132" s="8">
        <f>+GETPIVOTDATA(" Undergrad Contact Hour FTE - Old",'FTE Pivot for regular counts'!$A$2,"State","AL","Category2","Two-Year")</f>
        <v>0</v>
      </c>
      <c r="G132" s="7">
        <f>+GETPIVOTDATA(" Undergrad Contact Hour FTE - Old",'FTE Pivot for regular counts'!$A$2,"State","AL","Category","12","Category2","Technical")</f>
        <v>0</v>
      </c>
      <c r="H132" s="118">
        <f>+GETPIVOTDATA(" Undergrad Contact Hour FTE - Old",'FTE Pivot for regular counts'!$A$2,"State","AL","Category","13","Category2","Technical")</f>
        <v>0</v>
      </c>
      <c r="I132" s="118">
        <f>+GETPIVOTDATA(" Undergrad Contact Hour FTE - Old",'FTE Pivot for regular counts'!$A$2,"State","AL","Category2","Technical")</f>
        <v>0</v>
      </c>
      <c r="J132" s="119"/>
      <c r="K132" s="118"/>
      <c r="L132" s="118"/>
    </row>
    <row r="133" spans="1:12" ht="15" customHeight="1">
      <c r="A133" s="1" t="s">
        <v>66</v>
      </c>
      <c r="B133" s="32">
        <f>+GETPIVOTDATA(" Undergrad Contact Hour FTE - Old",'FTE Pivot for regular counts'!$A$2,"State","AR","Category","7","Category2","Two-Year")</f>
        <v>0</v>
      </c>
      <c r="C133" s="32">
        <f>+GETPIVOTDATA(" Undergrad Contact Hour FTE - Old",'FTE Pivot for regular counts'!$A$2,"State","AR","Category","8","Category2","Two-Year")</f>
        <v>0</v>
      </c>
      <c r="D133" s="32">
        <f>+GETPIVOTDATA(" Undergrad Contact Hour FTE - Old",'FTE Pivot for regular counts'!$A$2,"State","AR","Category","9","Category2","Two-Year")</f>
        <v>0</v>
      </c>
      <c r="E133" s="32">
        <f>+GETPIVOTDATA(" Undergrad Contact Hour FTE - Old",'FTE Pivot for regular counts'!$A$2,"State","AR","Category","10","Category2","Two-Year")</f>
        <v>0</v>
      </c>
      <c r="F133" s="8">
        <f>+GETPIVOTDATA(" Undergrad Contact Hour FTE - Old",'FTE Pivot for regular counts'!$A$2,"State","AR","Category2","Two-Year")</f>
        <v>0</v>
      </c>
      <c r="G133" s="32">
        <f>+GETPIVOTDATA(" Undergrad Contact Hour FTE - Old",'FTE Pivot for regular counts'!$A$2,"State","AR","Category","12","Category2","Technical")</f>
        <v>0</v>
      </c>
      <c r="H133" s="119">
        <f>+GETPIVOTDATA(" Undergrad Contact Hour FTE - Old",'FTE Pivot for regular counts'!$A$2,"State","AR","Category","13","Category2","Technical")</f>
        <v>0</v>
      </c>
      <c r="I133" s="119">
        <f>+GETPIVOTDATA(" Undergrad Contact Hour FTE - Old",'FTE Pivot for regular counts'!$A$2,"State","AR","Category2","Technical")</f>
        <v>0</v>
      </c>
      <c r="J133" s="119"/>
      <c r="K133" s="119"/>
      <c r="L133" s="119"/>
    </row>
    <row r="134" spans="1:12" ht="15" customHeight="1">
      <c r="A134" s="1" t="s">
        <v>102</v>
      </c>
      <c r="B134" s="32">
        <f>+GETPIVOTDATA(" Undergrad Contact Hour FTE - Old",'FTE Pivot for regular counts'!$A$2,"State","DE","Category","7","Category2","Two-Year")</f>
        <v>0</v>
      </c>
      <c r="C134" s="32">
        <f>+GETPIVOTDATA(" Undergrad Contact Hour FTE - Old",'FTE Pivot for regular counts'!$A$2,"State","DE","Category","8","Category2","Two-Year")</f>
        <v>0</v>
      </c>
      <c r="D134" s="32">
        <f>+GETPIVOTDATA(" Undergrad Contact Hour FTE - Old",'FTE Pivot for regular counts'!$A$2,"State","DE","Category","9","Category2","Two-Year")</f>
        <v>0</v>
      </c>
      <c r="E134" s="32">
        <f>+GETPIVOTDATA(" Undergrad Contact Hour FTE - Old",'FTE Pivot for regular counts'!$A$2,"State","DE","Category","10","Category2","Two-Year")</f>
        <v>0</v>
      </c>
      <c r="F134" s="8">
        <f>+GETPIVOTDATA(" Undergrad Contact Hour FTE - Old",'FTE Pivot for regular counts'!$A$2,"State","DE","Category2","Two-Year")</f>
        <v>0</v>
      </c>
      <c r="G134" s="32">
        <f>+GETPIVOTDATA(" Undergrad Contact Hour FTE - Old",'FTE Pivot for regular counts'!$A$2,"State","DE","Category","12","Category2","Technical")</f>
        <v>0</v>
      </c>
      <c r="H134" s="119">
        <f>+GETPIVOTDATA(" Undergrad Contact Hour FTE - Old",'FTE Pivot for regular counts'!$A$2,"State","DE","Category","13","Category2","Technical")</f>
        <v>0</v>
      </c>
      <c r="I134" s="119">
        <f>+GETPIVOTDATA(" Undergrad Contact Hour FTE - Old",'FTE Pivot for regular counts'!$A$2,"State","DE","Category2","Technical")</f>
        <v>0</v>
      </c>
      <c r="J134" s="119"/>
      <c r="K134" s="119"/>
      <c r="L134" s="119"/>
    </row>
    <row r="135" spans="1:12" ht="15" customHeight="1">
      <c r="A135" s="1" t="s">
        <v>67</v>
      </c>
      <c r="B135" s="32">
        <f>+GETPIVOTDATA(" Undergrad Contact Hour FTE - Old",'FTE Pivot for regular counts'!$A$2,"State","FL","Category","7","Category2","Two-Year")</f>
        <v>14118.404444444446</v>
      </c>
      <c r="C135" s="32">
        <f>+GETPIVOTDATA(" Undergrad Contact Hour FTE - Old",'FTE Pivot for regular counts'!$A$2,"State","FL","Category","8","Category2","Two-Year")</f>
        <v>10012.414444444443</v>
      </c>
      <c r="D135" s="32">
        <f>+GETPIVOTDATA(" Undergrad Contact Hour FTE - Old",'FTE Pivot for regular counts'!$A$2,"State","FL","Category","9","Category2","Two-Year")</f>
        <v>1927.6377777777777</v>
      </c>
      <c r="E135" s="32">
        <f>+GETPIVOTDATA(" Undergrad Contact Hour FTE - Old",'FTE Pivot for regular counts'!$A$2,"State","FL","Category","10","Category2","Two-Year")</f>
        <v>153.69222222222223</v>
      </c>
      <c r="F135" s="8">
        <f>+GETPIVOTDATA(" Undergrad Contact Hour FTE - Old",'FTE Pivot for regular counts'!$A$2,"State","FL","Category2","Two-Year")</f>
        <v>26212.148888888893</v>
      </c>
      <c r="G135" s="32">
        <f>+GETPIVOTDATA(" Undergrad Contact Hour FTE - Old",'FTE Pivot for regular counts'!$A$2,"State","FL","Category","12","Category2","Technical")</f>
        <v>0</v>
      </c>
      <c r="H135" s="119">
        <f>+GETPIVOTDATA(" Undergrad Contact Hour FTE - Old",'FTE Pivot for regular counts'!$A$2,"State","FL","Category","13","Category2","Technical")</f>
        <v>0</v>
      </c>
      <c r="I135" s="119">
        <f>+GETPIVOTDATA(" Undergrad Contact Hour FTE - Old",'FTE Pivot for regular counts'!$A$2,"State","FL","Category2","Technical")</f>
        <v>0</v>
      </c>
      <c r="J135" s="119"/>
      <c r="K135" s="119"/>
      <c r="L135" s="119"/>
    </row>
    <row r="136" spans="1:12" ht="15" customHeight="1">
      <c r="B136" s="32"/>
      <c r="C136" s="32"/>
      <c r="D136" s="32"/>
      <c r="E136" s="32"/>
      <c r="F136" s="8"/>
      <c r="G136" s="32"/>
      <c r="H136" s="119"/>
      <c r="I136" s="119"/>
      <c r="J136" s="119"/>
      <c r="K136" s="119"/>
      <c r="L136" s="119"/>
    </row>
    <row r="137" spans="1:12" ht="15" customHeight="1">
      <c r="A137" s="1" t="s">
        <v>68</v>
      </c>
      <c r="B137" s="32">
        <f>+GETPIVOTDATA(" Undergrad Contact Hour FTE - Old",'FTE Pivot for regular counts'!$A$2,"State","GA","Category","7","Category2","Two-Year")</f>
        <v>0</v>
      </c>
      <c r="C137" s="32">
        <f>+GETPIVOTDATA(" Undergrad Contact Hour FTE - Old",'FTE Pivot for regular counts'!$A$2,"State","GA","Category","8","Category2","Two-Year")</f>
        <v>0</v>
      </c>
      <c r="D137" s="32">
        <f>+GETPIVOTDATA(" Undergrad Contact Hour FTE - Old",'FTE Pivot for regular counts'!$A$2,"State","GA","Category","9","Category2","Two-Year")</f>
        <v>0</v>
      </c>
      <c r="E137" s="32">
        <f>+GETPIVOTDATA(" Undergrad Contact Hour FTE - Old",'FTE Pivot for regular counts'!$A$2,"State","GA","Category","10","Category2","Two-Year")</f>
        <v>0</v>
      </c>
      <c r="F137" s="8">
        <f>+GETPIVOTDATA(" Undergrad Contact Hour FTE - Old",'FTE Pivot for regular counts'!$A$2,"State","GA","Category2","Two-Year")</f>
        <v>0</v>
      </c>
      <c r="G137" s="32">
        <f>+GETPIVOTDATA(" Undergrad Contact Hour FTE - Old",'FTE Pivot for regular counts'!$A$2,"State","GA","Category","12","Category2","Technical")</f>
        <v>0</v>
      </c>
      <c r="H137" s="119">
        <f>+GETPIVOTDATA(" Undergrad Contact Hour FTE - Old",'FTE Pivot for regular counts'!$A$2,"State","GA","Category","13","Category2","Technical")</f>
        <v>0</v>
      </c>
      <c r="I137" s="119">
        <f>+GETPIVOTDATA(" Undergrad Contact Hour FTE - Old",'FTE Pivot for regular counts'!$A$2,"State","GA","Category2","Technical")</f>
        <v>0</v>
      </c>
      <c r="J137" s="119"/>
      <c r="K137" s="119"/>
      <c r="L137" s="119"/>
    </row>
    <row r="138" spans="1:12" ht="15" customHeight="1">
      <c r="A138" s="1" t="s">
        <v>69</v>
      </c>
      <c r="B138" s="32">
        <f>+GETPIVOTDATA(" Undergrad Contact Hour FTE - Old",'FTE Pivot for regular counts'!$A$2,"State","KY","Category","7","Category2","Two-Year")</f>
        <v>0</v>
      </c>
      <c r="C138" s="32">
        <f>+GETPIVOTDATA(" Undergrad Contact Hour FTE - Old",'FTE Pivot for regular counts'!$A$2,"State","KY","Category","8","Category2","Two-Year")</f>
        <v>0</v>
      </c>
      <c r="D138" s="32">
        <f>+GETPIVOTDATA(" Undergrad Contact Hour FTE - Old",'FTE Pivot for regular counts'!$A$2,"State","KY","Category","9","Category2","Two-Year")</f>
        <v>0</v>
      </c>
      <c r="E138" s="32">
        <f>+GETPIVOTDATA(" Undergrad Contact Hour FTE - Old",'FTE Pivot for regular counts'!$A$2,"State","KY","Category","10","Category2","Two-Year")</f>
        <v>0</v>
      </c>
      <c r="F138" s="8">
        <f>+GETPIVOTDATA(" Undergrad Contact Hour FTE - Old",'FTE Pivot for regular counts'!$A$2,"State","KY","Category2","Two-Year")</f>
        <v>0</v>
      </c>
      <c r="G138" s="32">
        <f>+GETPIVOTDATA(" Undergrad Contact Hour FTE - Old",'FTE Pivot for regular counts'!$A$2,"State","KY","Category","12","Category2","Technical")</f>
        <v>0</v>
      </c>
      <c r="H138" s="119">
        <f>+GETPIVOTDATA(" Undergrad Contact Hour FTE - Old",'FTE Pivot for regular counts'!$A$2,"State","KY","Category","13","Category2","Technical")</f>
        <v>0</v>
      </c>
      <c r="I138" s="119">
        <f>+GETPIVOTDATA(" Undergrad Contact Hour FTE - Old",'FTE Pivot for regular counts'!$A$2,"State","KY","Category2","Technical")</f>
        <v>0</v>
      </c>
      <c r="J138" s="119"/>
      <c r="K138" s="119"/>
      <c r="L138" s="119"/>
    </row>
    <row r="139" spans="1:12" ht="15" customHeight="1">
      <c r="A139" s="1" t="s">
        <v>70</v>
      </c>
      <c r="B139" s="32">
        <f>+GETPIVOTDATA(" Undergrad Contact Hour FTE - Old",'FTE Pivot for regular counts'!$A$2,"State","LA","Category","7","Category2","Two-Year")</f>
        <v>0</v>
      </c>
      <c r="C139" s="32">
        <f>+GETPIVOTDATA(" Undergrad Contact Hour FTE - Old",'FTE Pivot for regular counts'!$A$2,"State","LA","Category","8","Category2","Two-Year")</f>
        <v>0</v>
      </c>
      <c r="D139" s="32">
        <f>+GETPIVOTDATA(" Undergrad Contact Hour FTE - Old",'FTE Pivot for regular counts'!$A$2,"State","LA","Category","9","Category2","Two-Year")</f>
        <v>0</v>
      </c>
      <c r="E139" s="32">
        <f>+GETPIVOTDATA(" Undergrad Contact Hour FTE - Old",'FTE Pivot for regular counts'!$A$2,"State","LA","Category","10","Category2","Two-Year")</f>
        <v>0</v>
      </c>
      <c r="F139" s="8">
        <f>+GETPIVOTDATA(" Undergrad Contact Hour FTE - Old",'FTE Pivot for regular counts'!$A$2,"State","LA","Category2","Two-Year")</f>
        <v>0</v>
      </c>
      <c r="G139" s="32">
        <f>+GETPIVOTDATA(" Undergrad Contact Hour FTE - Old",'FTE Pivot for regular counts'!$A$2,"State","LA","Category","12","Category2","Technical")</f>
        <v>0</v>
      </c>
      <c r="H139" s="119">
        <f>+GETPIVOTDATA(" Undergrad Contact Hour FTE - Old",'FTE Pivot for regular counts'!$A$2,"State","LA","Category","13","Category2","Technical")</f>
        <v>0</v>
      </c>
      <c r="I139" s="119">
        <f>+GETPIVOTDATA(" Undergrad Contact Hour FTE - Old",'FTE Pivot for regular counts'!$A$2,"State","LA","Category2","Technical")</f>
        <v>0</v>
      </c>
      <c r="J139" s="119"/>
      <c r="K139" s="119"/>
      <c r="L139" s="119"/>
    </row>
    <row r="140" spans="1:12" ht="15" customHeight="1">
      <c r="A140" s="1" t="s">
        <v>71</v>
      </c>
      <c r="B140" s="32">
        <f>+GETPIVOTDATA(" Undergrad Contact Hour FTE - Old",'FTE Pivot for regular counts'!$A$2,"State","MD","Category","7","Category2","Two-Year")</f>
        <v>0</v>
      </c>
      <c r="C140" s="32">
        <f>+GETPIVOTDATA(" Undergrad Contact Hour FTE - Old",'FTE Pivot for regular counts'!$A$2,"State","MD","Category","8","Category2","Two-Year")</f>
        <v>0</v>
      </c>
      <c r="D140" s="32">
        <f>+GETPIVOTDATA(" Undergrad Contact Hour FTE - Old",'FTE Pivot for regular counts'!$A$2,"State","MD","Category","9","Category2","Two-Year")</f>
        <v>0</v>
      </c>
      <c r="E140" s="32">
        <f>+GETPIVOTDATA(" Undergrad Contact Hour FTE - Old",'FTE Pivot for regular counts'!$A$2,"State","MD","Category","10","Category2","Two-Year")</f>
        <v>0</v>
      </c>
      <c r="F140" s="8">
        <f>+GETPIVOTDATA(" Undergrad Contact Hour FTE - Old",'FTE Pivot for regular counts'!$A$2,"State","MD","Category2","Two-Year")</f>
        <v>0</v>
      </c>
      <c r="G140" s="32">
        <f>+GETPIVOTDATA(" Undergrad Contact Hour FTE - Old",'FTE Pivot for regular counts'!$A$2,"State","MD","Category","12","Category2","Technical")</f>
        <v>0</v>
      </c>
      <c r="H140" s="119">
        <f>+GETPIVOTDATA(" Undergrad Contact Hour FTE - Old",'FTE Pivot for regular counts'!$A$2,"State","MD","Category","13","Category2","Technical")</f>
        <v>0</v>
      </c>
      <c r="I140" s="119">
        <f>+GETPIVOTDATA(" Undergrad Contact Hour FTE - Old",'FTE Pivot for regular counts'!$A$2,"State","MD","Category2","Technical")</f>
        <v>0</v>
      </c>
      <c r="J140" s="119"/>
      <c r="K140" s="119"/>
      <c r="L140" s="119"/>
    </row>
    <row r="141" spans="1:12" ht="15" customHeight="1">
      <c r="B141" s="32"/>
      <c r="C141" s="32"/>
      <c r="D141" s="32"/>
      <c r="E141" s="32"/>
      <c r="F141" s="8"/>
      <c r="G141" s="32"/>
      <c r="H141" s="119"/>
      <c r="I141" s="119"/>
      <c r="J141" s="119"/>
      <c r="K141" s="119"/>
      <c r="L141" s="119"/>
    </row>
    <row r="142" spans="1:12" ht="15" customHeight="1">
      <c r="A142" s="1" t="s">
        <v>72</v>
      </c>
      <c r="B142" s="32">
        <f>+GETPIVOTDATA(" Undergrad Contact Hour FTE - Old",'FTE Pivot for regular counts'!$A$2,"State","MS","Category","7","Category2","Two-Year")</f>
        <v>0</v>
      </c>
      <c r="C142" s="32">
        <f>+GETPIVOTDATA(" Undergrad Contact Hour FTE - Old",'FTE Pivot for regular counts'!$A$2,"State","MS","Category","8","Category2","Two-Year")</f>
        <v>0</v>
      </c>
      <c r="D142" s="32">
        <f>+GETPIVOTDATA(" Undergrad Contact Hour FTE - Old",'FTE Pivot for regular counts'!$A$2,"State","MS","Category","9","Category2","Two-Year")</f>
        <v>0</v>
      </c>
      <c r="E142" s="32">
        <f>+GETPIVOTDATA(" Undergrad Contact Hour FTE - Old",'FTE Pivot for regular counts'!$A$2,"State","MS","Category","10","Category2","Two-Year")</f>
        <v>0</v>
      </c>
      <c r="F142" s="8">
        <f>+GETPIVOTDATA(" Undergrad Contact Hour FTE - Old",'FTE Pivot for regular counts'!$A$2,"State","MS","Category2","Two-Year")</f>
        <v>0</v>
      </c>
      <c r="G142" s="32">
        <f>+GETPIVOTDATA(" Undergrad Contact Hour FTE - Old",'FTE Pivot for regular counts'!$A$2,"State","MS","Category","12","Category2","Technical")</f>
        <v>0</v>
      </c>
      <c r="H142" s="119">
        <f>+GETPIVOTDATA(" Undergrad Contact Hour FTE - Old",'FTE Pivot for regular counts'!$A$2,"State","MS","Category","13","Category2","Technical")</f>
        <v>0</v>
      </c>
      <c r="I142" s="119">
        <f>+GETPIVOTDATA(" Undergrad Contact Hour FTE - Old",'FTE Pivot for regular counts'!$A$2,"State","MS","Category2","Technical")</f>
        <v>0</v>
      </c>
      <c r="J142" s="119"/>
      <c r="K142" s="119"/>
      <c r="L142" s="119"/>
    </row>
    <row r="143" spans="1:12" ht="15" customHeight="1">
      <c r="A143" s="1" t="s">
        <v>73</v>
      </c>
      <c r="B143" s="32">
        <f>+GETPIVOTDATA(" Undergrad Contact Hour FTE - Old",'FTE Pivot for regular counts'!$A$2,"State","NC","Category","7","Category2","Two-Year")</f>
        <v>0</v>
      </c>
      <c r="C143" s="32">
        <f>+GETPIVOTDATA(" Undergrad Contact Hour FTE - Old",'FTE Pivot for regular counts'!$A$2,"State","NC","Category","8","Category2","Two-Year")</f>
        <v>14347.11</v>
      </c>
      <c r="D143" s="32">
        <f>+GETPIVOTDATA(" Undergrad Contact Hour FTE - Old",'FTE Pivot for regular counts'!$A$2,"State","NC","Category","9","Category2","Two-Year")</f>
        <v>16625.906666666669</v>
      </c>
      <c r="E143" s="32">
        <f>+GETPIVOTDATA(" Undergrad Contact Hour FTE - Old",'FTE Pivot for regular counts'!$A$2,"State","NC","Category","10","Category2","Two-Year")</f>
        <v>8932.3288888888892</v>
      </c>
      <c r="F143" s="8">
        <f>+GETPIVOTDATA(" Undergrad Contact Hour FTE - Old",'FTE Pivot for regular counts'!$A$2,"State","NC","Category2","Two-Year")</f>
        <v>39905.345555555556</v>
      </c>
      <c r="G143" s="32">
        <f>+GETPIVOTDATA(" Undergrad Contact Hour FTE - Old",'FTE Pivot for regular counts'!$A$2,"State","NC","Category","12","Category2","Technical")</f>
        <v>0</v>
      </c>
      <c r="H143" s="119">
        <f>+GETPIVOTDATA(" Undergrad Contact Hour FTE - Old",'FTE Pivot for regular counts'!$A$2,"State","NC","Category","13","Category2","Technical")</f>
        <v>0</v>
      </c>
      <c r="I143" s="119">
        <f>+GETPIVOTDATA(" Undergrad Contact Hour FTE - Old",'FTE Pivot for regular counts'!$A$2,"State","NC","Category2","Technical")</f>
        <v>0</v>
      </c>
      <c r="J143" s="119"/>
      <c r="K143" s="119"/>
      <c r="L143" s="119"/>
    </row>
    <row r="144" spans="1:12" ht="15" customHeight="1">
      <c r="A144" s="1" t="s">
        <v>74</v>
      </c>
      <c r="B144" s="32">
        <f>+GETPIVOTDATA(" Undergrad Contact Hour FTE - Old",'FTE Pivot for regular counts'!$A$2,"State","OK","Category","7","Category2","Two-Year")</f>
        <v>0</v>
      </c>
      <c r="C144" s="32">
        <f>+GETPIVOTDATA(" Undergrad Contact Hour FTE - Old",'FTE Pivot for regular counts'!$A$2,"State","OK","Category","8","Category2","Two-Year")</f>
        <v>0</v>
      </c>
      <c r="D144" s="32">
        <f>+GETPIVOTDATA(" Undergrad Contact Hour FTE - Old",'FTE Pivot for regular counts'!$A$2,"State","OK","Category","9","Category2","Two-Year")</f>
        <v>0</v>
      </c>
      <c r="E144" s="32">
        <f>+GETPIVOTDATA(" Undergrad Contact Hour FTE - Old",'FTE Pivot for regular counts'!$A$2,"State","OK","Category","10","Category2","Two-Year")</f>
        <v>0</v>
      </c>
      <c r="F144" s="8">
        <f>+GETPIVOTDATA(" Undergrad Contact Hour FTE - Old",'FTE Pivot for regular counts'!$A$2,"State","OK","Category2","Two-Year")</f>
        <v>0</v>
      </c>
      <c r="G144" s="32">
        <f>+GETPIVOTDATA(" Undergrad Contact Hour FTE - Old",'FTE Pivot for regular counts'!$A$2,"State","OK","Category","12","Category2","Technical")</f>
        <v>4304.7606777777773</v>
      </c>
      <c r="H144" s="119">
        <f>+GETPIVOTDATA(" Undergrad Contact Hour FTE - Old",'FTE Pivot for regular counts'!$A$2,"State","OK","Category","13","Category2","Technical")</f>
        <v>16254.157633333331</v>
      </c>
      <c r="I144" s="119">
        <f>+GETPIVOTDATA(" Undergrad Contact Hour FTE - Old",'FTE Pivot for regular counts'!$A$2,"State","OK","Category2","Technical")</f>
        <v>20558.918311111109</v>
      </c>
      <c r="J144" s="119"/>
      <c r="K144" s="119"/>
      <c r="L144" s="119"/>
    </row>
    <row r="145" spans="1:19" ht="15" customHeight="1">
      <c r="A145" s="1" t="s">
        <v>75</v>
      </c>
      <c r="B145" s="32">
        <f>+GETPIVOTDATA(" Undergrad Contact Hour FTE - Old",'FTE Pivot for regular counts'!$A$2,"State","SC","Category","7","Category2","Two-Year")</f>
        <v>0</v>
      </c>
      <c r="C145" s="32">
        <f>+GETPIVOTDATA(" Undergrad Contact Hour FTE - Old",'FTE Pivot for regular counts'!$A$2,"State","SC","Category","8","Category2","Two-Year")</f>
        <v>0</v>
      </c>
      <c r="D145" s="32">
        <f>+GETPIVOTDATA(" Undergrad Contact Hour FTE - Old",'FTE Pivot for regular counts'!$A$2,"State","SC","Category","9","Category2","Two-Year")</f>
        <v>0</v>
      </c>
      <c r="E145" s="32">
        <f>+GETPIVOTDATA(" Undergrad Contact Hour FTE - Old",'FTE Pivot for regular counts'!$A$2,"State","SC","Category","10","Category2","Two-Year")</f>
        <v>0</v>
      </c>
      <c r="F145" s="8">
        <f>+GETPIVOTDATA(" Undergrad Contact Hour FTE - Old",'FTE Pivot for regular counts'!$A$2,"State","SC","Category2","Two-Year")</f>
        <v>0</v>
      </c>
      <c r="G145" s="32">
        <f>+GETPIVOTDATA(" Undergrad Contact Hour FTE - Old",'FTE Pivot for regular counts'!$A$2,"State","SC","Category","12","Category2","Technical")</f>
        <v>0</v>
      </c>
      <c r="H145" s="119">
        <f>+GETPIVOTDATA(" Undergrad Contact Hour FTE - Old",'FTE Pivot for regular counts'!$A$2,"State","SC","Category","13","Category2","Technical")</f>
        <v>0</v>
      </c>
      <c r="I145" s="119">
        <f>+GETPIVOTDATA(" Undergrad Contact Hour FTE - Old",'FTE Pivot for regular counts'!$A$2,"State","SC","Category2","Technical")</f>
        <v>0</v>
      </c>
      <c r="J145" s="119"/>
      <c r="K145" s="119"/>
      <c r="L145" s="119"/>
    </row>
    <row r="146" spans="1:19" ht="15" customHeight="1">
      <c r="B146" s="32"/>
      <c r="C146" s="32"/>
      <c r="D146" s="32"/>
      <c r="E146" s="32"/>
      <c r="F146" s="8"/>
      <c r="G146" s="32"/>
      <c r="H146" s="119"/>
      <c r="I146" s="119"/>
      <c r="J146" s="119"/>
      <c r="K146" s="119"/>
      <c r="L146" s="119"/>
    </row>
    <row r="147" spans="1:19" ht="15" customHeight="1">
      <c r="A147" s="1" t="s">
        <v>76</v>
      </c>
      <c r="B147" s="32">
        <f>+GETPIVOTDATA(" Undergrad Contact Hour FTE - Old",'FTE Pivot for regular counts'!$A$2,"State","TN","Category","7","Category2","Two-Year")</f>
        <v>0</v>
      </c>
      <c r="C147" s="32">
        <f>+GETPIVOTDATA(" Undergrad Contact Hour FTE - Old",'FTE Pivot for regular counts'!$A$2,"State","TN","Category","8","Category2","Two-Year")</f>
        <v>0</v>
      </c>
      <c r="D147" s="32">
        <f>+GETPIVOTDATA(" Undergrad Contact Hour FTE - Old",'FTE Pivot for regular counts'!$A$2,"State","TN","Category","9","Category2","Two-Year")</f>
        <v>0</v>
      </c>
      <c r="E147" s="32">
        <f>+GETPIVOTDATA(" Undergrad Contact Hour FTE - Old",'FTE Pivot for regular counts'!$A$2,"State","TN","Category","10","Category2","Two-Year")</f>
        <v>0</v>
      </c>
      <c r="F147" s="8">
        <f>+GETPIVOTDATA(" Undergrad Contact Hour FTE - Old",'FTE Pivot for regular counts'!$A$2,"State","TN","Category2","Two-Year")</f>
        <v>0</v>
      </c>
      <c r="G147" s="32">
        <f>+GETPIVOTDATA(" Undergrad Contact Hour FTE - Old",'FTE Pivot for regular counts'!$A$2,"State","TN","Category","12","Category2","Technical")</f>
        <v>1072.3011111111111</v>
      </c>
      <c r="H147" s="119">
        <f>+GETPIVOTDATA(" Undergrad Contact Hour FTE - Old",'FTE Pivot for regular counts'!$A$2,"State","TN","Category","13","Category2","Technical")</f>
        <v>10626.471111111108</v>
      </c>
      <c r="I147" s="119">
        <f>+GETPIVOTDATA(" Undergrad Contact Hour FTE - Old",'FTE Pivot for regular counts'!$A$2,"State","TN","Category2","Technical")</f>
        <v>11698.77222222222</v>
      </c>
      <c r="J147" s="119"/>
      <c r="K147" s="119"/>
      <c r="L147" s="119"/>
    </row>
    <row r="148" spans="1:19" ht="15" customHeight="1">
      <c r="A148" s="1" t="s">
        <v>77</v>
      </c>
      <c r="B148" s="32">
        <f>+GETPIVOTDATA(" Undergrad Contact Hour FTE - Old",'FTE Pivot for regular counts'!$A$2,"State","TX","Category","7","Category2","Two-Year")</f>
        <v>470.8944444444445</v>
      </c>
      <c r="C148" s="32">
        <f>+GETPIVOTDATA(" Undergrad Contact Hour FTE - Old",'FTE Pivot for regular counts'!$A$2,"State","TX","Category","8","Category2","Two-Year")</f>
        <v>13117.441111111111</v>
      </c>
      <c r="D148" s="32">
        <f>+GETPIVOTDATA(" Undergrad Contact Hour FTE - Old",'FTE Pivot for regular counts'!$A$2,"State","TX","Category","9","Category2","Two-Year")</f>
        <v>4934.9777777777781</v>
      </c>
      <c r="E148" s="32">
        <f>+GETPIVOTDATA(" Undergrad Contact Hour FTE - Old",'FTE Pivot for regular counts'!$A$2,"State","TX","Category","10","Category2","Two-Year")</f>
        <v>535.29555555555555</v>
      </c>
      <c r="F148" s="8">
        <f>+GETPIVOTDATA(" Undergrad Contact Hour FTE - Old",'FTE Pivot for regular counts'!$A$2,"State","TX","Category2","Two-Year")</f>
        <v>19058.608888888888</v>
      </c>
      <c r="G148" s="32">
        <f>+GETPIVOTDATA(" Undergrad Contact Hour FTE - Old",'FTE Pivot for regular counts'!$A$2,"State","TX","Category","12","Category2","Technical")</f>
        <v>0</v>
      </c>
      <c r="H148" s="119">
        <f>+GETPIVOTDATA(" Undergrad Contact Hour FTE - Old",'FTE Pivot for regular counts'!$A$2,"State","TX","Category","13","Category2","Technical")</f>
        <v>0</v>
      </c>
      <c r="I148" s="119">
        <f>+GETPIVOTDATA(" Undergrad Contact Hour FTE - Old",'FTE Pivot for regular counts'!$A$2,"State","TX","Category2","Technical")</f>
        <v>0</v>
      </c>
      <c r="J148" s="119"/>
      <c r="K148" s="119"/>
      <c r="L148" s="119"/>
    </row>
    <row r="149" spans="1:19" ht="15" customHeight="1">
      <c r="A149" s="1" t="s">
        <v>78</v>
      </c>
      <c r="B149" s="32">
        <f>+GETPIVOTDATA(" Undergrad Contact Hour FTE - Old",'FTE Pivot for regular counts'!$A$2,"State","VA","Category","7","Category2","Two-Year")</f>
        <v>0</v>
      </c>
      <c r="C149" s="32">
        <f>+GETPIVOTDATA(" Undergrad Contact Hour FTE - Old",'FTE Pivot for regular counts'!$A$2,"State","VA","Category","8","Category2","Two-Year")</f>
        <v>0</v>
      </c>
      <c r="D149" s="32">
        <f>+GETPIVOTDATA(" Undergrad Contact Hour FTE - Old",'FTE Pivot for regular counts'!$A$2,"State","VA","Category","9","Category2","Two-Year")</f>
        <v>0</v>
      </c>
      <c r="E149" s="32">
        <f>+GETPIVOTDATA(" Undergrad Contact Hour FTE - Old",'FTE Pivot for regular counts'!$A$2,"State","VA","Category","10","Category2","Two-Year")</f>
        <v>0</v>
      </c>
      <c r="F149" s="8">
        <f>+GETPIVOTDATA(" Undergrad Contact Hour FTE - Old",'FTE Pivot for regular counts'!$A$2,"State","VA","Category2","Two-Year")</f>
        <v>0</v>
      </c>
      <c r="G149" s="32">
        <f>+GETPIVOTDATA(" Undergrad Contact Hour FTE - Old",'FTE Pivot for regular counts'!$A$2,"State","VA","Category","12","Category2","Technical")</f>
        <v>0</v>
      </c>
      <c r="H149" s="119">
        <f>+GETPIVOTDATA(" Undergrad Contact Hour FTE - Old",'FTE Pivot for regular counts'!$A$2,"State","VA","Category","13","Category2","Technical")</f>
        <v>0</v>
      </c>
      <c r="I149" s="119">
        <f>+GETPIVOTDATA(" Undergrad Contact Hour FTE - Old",'FTE Pivot for regular counts'!$A$2,"State","VA","Category2","Technical")</f>
        <v>0</v>
      </c>
      <c r="J149" s="119"/>
      <c r="K149" s="119"/>
      <c r="L149" s="119"/>
    </row>
    <row r="150" spans="1:19" ht="15" customHeight="1">
      <c r="A150" s="3" t="s">
        <v>79</v>
      </c>
      <c r="B150" s="9">
        <f>+GETPIVOTDATA(" Undergrad Contact Hour FTE - Old",'FTE Pivot for regular counts'!$A$2,"State","WV","Category","7","Category2","Two-Year")</f>
        <v>0</v>
      </c>
      <c r="C150" s="9">
        <f>+GETPIVOTDATA(" Undergrad Contact Hour FTE - Old",'FTE Pivot for regular counts'!$A$2,"State","WV","Category","8","Category2","Two-Year")</f>
        <v>0</v>
      </c>
      <c r="D150" s="9">
        <f>+GETPIVOTDATA(" Undergrad Contact Hour FTE - Old",'FTE Pivot for regular counts'!$A$2,"State","WV","Category","9","Category2","Two-Year")</f>
        <v>0</v>
      </c>
      <c r="E150" s="9">
        <f>+GETPIVOTDATA(" Undergrad Contact Hour FTE - Old",'FTE Pivot for regular counts'!$A$2,"State","WV","Category","10","Category2","Two-Year")</f>
        <v>0</v>
      </c>
      <c r="F150" s="10">
        <f>+GETPIVOTDATA(" Undergrad Contact Hour FTE - Old",'FTE Pivot for regular counts'!$A$2,"State","WV","Category2","Two-Year")</f>
        <v>0</v>
      </c>
      <c r="G150" s="9">
        <f>+GETPIVOTDATA(" Undergrad Contact Hour FTE - Old",'FTE Pivot for regular counts'!$A$2,"State","WV","Category","12","Category2","Technical")</f>
        <v>0</v>
      </c>
      <c r="H150" s="120">
        <f>+GETPIVOTDATA(" Undergrad Contact Hour FTE - Old",'FTE Pivot for regular counts'!$A$2,"State","WV","Category","13","Category2","Technical")</f>
        <v>0</v>
      </c>
      <c r="I150" s="120">
        <f>+GETPIVOTDATA(" Undergrad Contact Hour FTE - Old",'FTE Pivot for regular counts'!$A$2,"State","WV","Category2","Technical")</f>
        <v>0</v>
      </c>
      <c r="J150" s="119"/>
      <c r="K150" s="119"/>
      <c r="L150" s="119"/>
    </row>
    <row r="151" spans="1:19" ht="34.5" customHeight="1">
      <c r="A151" s="837" t="s">
        <v>992</v>
      </c>
      <c r="B151" s="837"/>
      <c r="C151" s="837"/>
      <c r="D151" s="837"/>
      <c r="E151" s="837"/>
      <c r="F151" s="837"/>
      <c r="G151" s="837"/>
      <c r="H151" s="837"/>
      <c r="I151" s="837"/>
      <c r="J151" s="442"/>
      <c r="K151" s="267"/>
      <c r="L151" s="267"/>
      <c r="M151" s="1"/>
    </row>
    <row r="152" spans="1:19">
      <c r="J152" s="169" t="s">
        <v>987</v>
      </c>
      <c r="K152" s="169"/>
      <c r="L152" s="169"/>
      <c r="M152" s="1"/>
    </row>
    <row r="153" spans="1:19" s="4" customFormat="1" ht="18">
      <c r="A153" s="115" t="s">
        <v>168</v>
      </c>
      <c r="B153" s="115"/>
      <c r="C153" s="115"/>
      <c r="D153" s="115"/>
      <c r="E153" s="115"/>
      <c r="F153" s="115"/>
      <c r="G153" s="115"/>
      <c r="H153" s="115"/>
      <c r="I153" s="115"/>
      <c r="J153" s="115"/>
      <c r="K153" s="115"/>
      <c r="L153" s="177"/>
      <c r="P153" s="1"/>
      <c r="Q153" s="1"/>
      <c r="R153" s="1"/>
      <c r="S153" s="1"/>
    </row>
    <row r="154" spans="1:19" ht="12" customHeight="1">
      <c r="A154" s="21"/>
      <c r="B154" s="21"/>
      <c r="C154" s="21"/>
      <c r="D154" s="21"/>
      <c r="E154" s="21"/>
      <c r="F154" s="21"/>
      <c r="G154" s="21"/>
      <c r="H154" s="105"/>
      <c r="I154" s="21"/>
      <c r="J154" s="105"/>
      <c r="K154" s="105"/>
      <c r="L154" s="105"/>
      <c r="M154" s="1"/>
    </row>
    <row r="155" spans="1:19" ht="15.75">
      <c r="A155" s="43" t="s">
        <v>36</v>
      </c>
      <c r="B155" s="43"/>
      <c r="C155" s="43"/>
      <c r="D155" s="43"/>
      <c r="E155" s="43"/>
      <c r="F155" s="43"/>
      <c r="G155" s="43"/>
      <c r="H155" s="43"/>
      <c r="I155" s="43"/>
      <c r="J155" s="43"/>
      <c r="K155" s="43"/>
      <c r="L155" s="269"/>
      <c r="M155" s="1"/>
    </row>
    <row r="156" spans="1:19" ht="15.75">
      <c r="A156" s="43" t="s">
        <v>235</v>
      </c>
      <c r="B156" s="43"/>
      <c r="C156" s="43"/>
      <c r="D156" s="43"/>
      <c r="E156" s="43"/>
      <c r="F156" s="43"/>
      <c r="G156" s="43"/>
      <c r="H156" s="43"/>
      <c r="I156" s="43"/>
      <c r="J156" s="43"/>
      <c r="K156" s="43"/>
      <c r="L156" s="269"/>
      <c r="M156" s="199"/>
    </row>
    <row r="157" spans="1:19">
      <c r="B157" s="2"/>
      <c r="C157" s="2"/>
      <c r="D157" s="2"/>
      <c r="E157" s="171"/>
      <c r="F157" s="2"/>
      <c r="G157" s="171"/>
      <c r="H157" s="202"/>
      <c r="I157" s="171"/>
      <c r="J157" s="202"/>
      <c r="K157" s="202"/>
      <c r="L157" s="191"/>
      <c r="M157" s="191"/>
      <c r="N157" s="25"/>
      <c r="O157" s="25"/>
    </row>
    <row r="158" spans="1:19" ht="15" customHeight="1">
      <c r="A158" s="45"/>
      <c r="B158" s="229" t="s">
        <v>140</v>
      </c>
      <c r="C158" s="65"/>
      <c r="D158" s="172">
        <v>1</v>
      </c>
      <c r="F158" s="206">
        <v>2</v>
      </c>
      <c r="H158" s="206">
        <v>3</v>
      </c>
      <c r="J158" s="206" t="s">
        <v>30</v>
      </c>
      <c r="K158" s="204"/>
      <c r="L158" s="73"/>
      <c r="N158" s="25"/>
      <c r="O158" s="25"/>
    </row>
    <row r="159" spans="1:19" ht="75.75" customHeight="1">
      <c r="A159" s="203"/>
      <c r="B159" s="204" t="s">
        <v>143</v>
      </c>
      <c r="C159" s="166" t="s">
        <v>22</v>
      </c>
      <c r="D159" s="205" t="s">
        <v>143</v>
      </c>
      <c r="E159" s="166" t="s">
        <v>22</v>
      </c>
      <c r="F159" s="205" t="s">
        <v>143</v>
      </c>
      <c r="G159" s="166" t="s">
        <v>22</v>
      </c>
      <c r="H159" s="205" t="s">
        <v>143</v>
      </c>
      <c r="I159" s="166" t="s">
        <v>22</v>
      </c>
      <c r="J159" s="205" t="s">
        <v>143</v>
      </c>
      <c r="K159" s="166" t="s">
        <v>22</v>
      </c>
    </row>
    <row r="160" spans="1:19">
      <c r="A160" s="1" t="s">
        <v>64</v>
      </c>
      <c r="B160" s="118">
        <f>+'OLD Tables'!B100+'OLD Tables'!B130</f>
        <v>212771.46555555557</v>
      </c>
      <c r="D160" s="173">
        <f>+'OLD Tables'!C100+'OLD Tables'!C130</f>
        <v>1099991.1382222224</v>
      </c>
      <c r="F160" s="173">
        <f>+'OLD Tables'!D100+'OLD Tables'!D130</f>
        <v>474133.19655555557</v>
      </c>
      <c r="H160" s="175">
        <f>+'OLD Tables'!E100+'OLD Tables'!E130</f>
        <v>140541.35766666665</v>
      </c>
      <c r="J160" s="175">
        <f>+'OLD Tables'!F100+'OLD Tables'!F130</f>
        <v>1927437.1580000001</v>
      </c>
      <c r="K160" s="1"/>
      <c r="L160" s="4" t="s">
        <v>28</v>
      </c>
      <c r="P160" s="75"/>
      <c r="Q160" s="75"/>
      <c r="R160" s="75"/>
      <c r="S160" s="75"/>
    </row>
    <row r="161" spans="1:19" s="75" customFormat="1" ht="10.5" customHeight="1">
      <c r="A161" s="262"/>
      <c r="B161" s="263"/>
      <c r="C161" s="258" t="s">
        <v>178</v>
      </c>
      <c r="D161" s="259" t="s">
        <v>28</v>
      </c>
      <c r="E161" s="258" t="s">
        <v>179</v>
      </c>
      <c r="F161" s="259" t="s">
        <v>28</v>
      </c>
      <c r="G161" s="260" t="s">
        <v>180</v>
      </c>
      <c r="H161" s="261" t="s">
        <v>28</v>
      </c>
      <c r="I161" s="260" t="s">
        <v>181</v>
      </c>
      <c r="J161" s="261" t="s">
        <v>28</v>
      </c>
      <c r="K161" s="258" t="s">
        <v>182</v>
      </c>
      <c r="L161" s="75" t="s">
        <v>28</v>
      </c>
      <c r="P161" s="1"/>
      <c r="Q161" s="1"/>
      <c r="R161" s="1"/>
      <c r="S161" s="1"/>
    </row>
    <row r="162" spans="1:19" ht="15" customHeight="1">
      <c r="A162" s="1" t="s">
        <v>65</v>
      </c>
      <c r="B162" s="7">
        <f>+'OLD Tables'!B102+'OLD Tables'!B132</f>
        <v>0</v>
      </c>
      <c r="C162" s="96">
        <f>+GETPIVOTDATA("Sum of Old-HS % of Total",'Pivot-HS Student % of Undergrad'!$A$3,"State","AL","Category",7,"Category2","Two-Year")</f>
        <v>0</v>
      </c>
      <c r="D162" s="173">
        <f>+'OLD Tables'!C102+'OLD Tables'!C132</f>
        <v>26710.799999999999</v>
      </c>
      <c r="E162" s="96">
        <f>+GETPIVOTDATA("Sum of Old-HS % of Total",'Pivot-HS Student % of Undergrad'!$A$3,"State","AL","Category",8,"Category2","Two-Year")</f>
        <v>2.8456654237237373E-2</v>
      </c>
      <c r="F162" s="173">
        <f>+'OLD Tables'!D102+'OLD Tables'!D132</f>
        <v>38344.900000000009</v>
      </c>
      <c r="G162" s="96">
        <f>+GETPIVOTDATA("Sum of Old-HS % of Total",'Pivot-HS Student % of Undergrad'!$A$3,"State","AL","Category",9,"Category2","Two-Year")</f>
        <v>2.0578138596440899E-2</v>
      </c>
      <c r="H162" s="173">
        <f>+'OLD Tables'!E102+'OLD Tables'!E132</f>
        <v>9439</v>
      </c>
      <c r="I162" s="96">
        <f>+GETPIVOTDATA("Sum of Old-HS % of Total",'Pivot-HS Student % of Undergrad'!$A$3,"State","AL","Category",10,"Category2","Two-Year")</f>
        <v>3.1970194582759473E-2</v>
      </c>
      <c r="J162" s="173">
        <f>+'OLD Tables'!F102+'OLD Tables'!F132</f>
        <v>74494.700000000012</v>
      </c>
      <c r="K162" s="96">
        <f>+GETPIVOTDATA("Sum of Old-HS % of Total",'Pivot-HS Student % of Undergrad'!$A$3,"State","AL","Category2","Group2")</f>
        <v>2.4846510333397319E-2</v>
      </c>
    </row>
    <row r="163" spans="1:19" ht="15" customHeight="1">
      <c r="A163" s="1" t="s">
        <v>66</v>
      </c>
      <c r="B163" s="32">
        <f>+'OLD Tables'!B103+'OLD Tables'!B133</f>
        <v>0</v>
      </c>
      <c r="C163" s="96">
        <f>+GETPIVOTDATA("Sum of Old-HS % of Total",'Pivot-HS Student % of Undergrad'!$A$3,"State","AR","Category",7,"Category2","Two-Year")</f>
        <v>0</v>
      </c>
      <c r="D163" s="173">
        <f>+'OLD Tables'!C103+'OLD Tables'!C133</f>
        <v>14508.2</v>
      </c>
      <c r="E163" s="96">
        <f>+GETPIVOTDATA("Sum of Old-HS % of Total",'Pivot-HS Student % of Undergrad'!$A$3,"State","AR","Category",8,"Category2","Two-Year")</f>
        <v>2.0082895649816426E-2</v>
      </c>
      <c r="F163" s="173">
        <f>+'OLD Tables'!D103+'OLD Tables'!D133</f>
        <v>6390.6666666666661</v>
      </c>
      <c r="G163" s="96">
        <f>+GETPIVOTDATA("Sum of Old-HS % of Total",'Pivot-HS Student % of Undergrad'!$A$3,"State","AR","Category",9,"Category2","Two-Year")</f>
        <v>5.9899853953682455E-2</v>
      </c>
      <c r="H163" s="173">
        <f>+'OLD Tables'!E103+'OLD Tables'!E133</f>
        <v>23666.500000000007</v>
      </c>
      <c r="I163" s="96">
        <f>+GETPIVOTDATA("Sum of Old-HS % of Total",'Pivot-HS Student % of Undergrad'!$A$3,"State","AR","Category",10,"Category2","Two-Year")</f>
        <v>5.2994739399573235E-2</v>
      </c>
      <c r="J163" s="173">
        <f>+'OLD Tables'!F103+'OLD Tables'!F133</f>
        <v>44565.366666666676</v>
      </c>
      <c r="K163" s="96">
        <f>+GETPIVOTDATA("Sum of Old-HS % of Total",'Pivot-HS Student % of Undergrad'!$A$3,"State","AR","Category2","Group2")</f>
        <v>4.3270521728008521E-2</v>
      </c>
    </row>
    <row r="164" spans="1:19" ht="15" customHeight="1">
      <c r="A164" s="1" t="s">
        <v>102</v>
      </c>
      <c r="B164" s="32">
        <f>+'OLD Tables'!B104+'OLD Tables'!B134</f>
        <v>0</v>
      </c>
      <c r="C164" s="96">
        <f>+GETPIVOTDATA("Sum of Old-HS % of Total",'Pivot-HS Student % of Undergrad'!$A$3,"State","DE","Category",7,"Category2","Two-Year")</f>
        <v>0</v>
      </c>
      <c r="D164" s="173">
        <f>+'OLD Tables'!C104+'OLD Tables'!C134</f>
        <v>5258.4</v>
      </c>
      <c r="E164" s="96">
        <f>+GETPIVOTDATA("Sum of Old-HS % of Total",'Pivot-HS Student % of Undergrad'!$A$3,"State","DE","Category",8,"Category2","Two-Year")</f>
        <v>0</v>
      </c>
      <c r="F164" s="173">
        <f>+'OLD Tables'!D104+'OLD Tables'!D134</f>
        <v>5958.9333333333334</v>
      </c>
      <c r="G164" s="96">
        <f>+GETPIVOTDATA("Sum of Old-HS % of Total",'Pivot-HS Student % of Undergrad'!$A$3,"State","DE","Category",9,"Category2","Two-Year")</f>
        <v>0</v>
      </c>
      <c r="H164" s="173">
        <f>+'OLD Tables'!E104+'OLD Tables'!E134</f>
        <v>0</v>
      </c>
      <c r="I164" s="96">
        <f>+GETPIVOTDATA("Sum of Old-HS % of Total",'Pivot-HS Student % of Undergrad'!$A$3,"State","DE","Category",10,"Category2","Two-Year")</f>
        <v>0</v>
      </c>
      <c r="J164" s="173">
        <f>+'OLD Tables'!F104+'OLD Tables'!F134</f>
        <v>11217.333333333332</v>
      </c>
      <c r="K164" s="96">
        <f>+GETPIVOTDATA("Sum of Old-HS % of Total",'Pivot-HS Student % of Undergrad'!$A$3,"State","DE","Category2","Group2")</f>
        <v>0</v>
      </c>
    </row>
    <row r="165" spans="1:19" ht="15" customHeight="1">
      <c r="A165" s="1" t="s">
        <v>67</v>
      </c>
      <c r="B165" s="32">
        <f>+'OLD Tables'!B105+'OLD Tables'!B135</f>
        <v>157768.67111111112</v>
      </c>
      <c r="C165" s="96">
        <f>+GETPIVOTDATA("Sum of Old-HS % of Total",'Pivot-HS Student % of Undergrad'!$A$3,"State","FL","Category",7,"Category2","Two-Year")</f>
        <v>1.5913719688069022E-2</v>
      </c>
      <c r="D165" s="173">
        <f>+'OLD Tables'!C105+'OLD Tables'!C135</f>
        <v>200103.78111111111</v>
      </c>
      <c r="E165" s="96">
        <f>+GETPIVOTDATA("Sum of Old-HS % of Total",'Pivot-HS Student % of Undergrad'!$A$3,"State","FL","Category",8,"Category2","Two-Year")</f>
        <v>2.8559090395662227E-2</v>
      </c>
      <c r="F165" s="173">
        <f>+'OLD Tables'!D105+'OLD Tables'!D135</f>
        <v>18118.97111111111</v>
      </c>
      <c r="G165" s="96">
        <f>+GETPIVOTDATA("Sum of Old-HS % of Total",'Pivot-HS Student % of Undergrad'!$A$3,"State","FL","Category",9,"Category2","Two-Year")</f>
        <v>6.9514107359496063E-2</v>
      </c>
      <c r="H165" s="173">
        <f>+'OLD Tables'!E105+'OLD Tables'!E135</f>
        <v>1948.8255555555554</v>
      </c>
      <c r="I165" s="96">
        <f>+GETPIVOTDATA("Sum of Old-HS % of Total",'Pivot-HS Student % of Undergrad'!$A$3,"State","FL","Category",10,"Category2","Two-Year")</f>
        <v>3.2345181785541452E-2</v>
      </c>
      <c r="J165" s="173">
        <f>+'OLD Tables'!F105+'OLD Tables'!F135</f>
        <v>377940.24888888886</v>
      </c>
      <c r="K165" s="96">
        <f>+GETPIVOTDATA("Sum of Old-HS % of Total",'Pivot-HS Student % of Undergrad'!$A$3,"State","FL","Category2","Group2")</f>
        <v>2.4941878629263226E-2</v>
      </c>
    </row>
    <row r="166" spans="1:19" ht="15" customHeight="1">
      <c r="B166" s="32"/>
      <c r="C166" s="96"/>
      <c r="D166" s="173"/>
      <c r="E166" s="96"/>
      <c r="F166" s="173"/>
      <c r="G166" s="96"/>
      <c r="H166" s="173"/>
      <c r="I166" s="96"/>
      <c r="J166" s="173"/>
      <c r="K166" s="96"/>
    </row>
    <row r="167" spans="1:19" ht="15" customHeight="1">
      <c r="A167" s="1" t="s">
        <v>68</v>
      </c>
      <c r="B167" s="32">
        <f>+'OLD Tables'!B107+'OLD Tables'!B137</f>
        <v>15149.266666666666</v>
      </c>
      <c r="C167" s="96">
        <f>+GETPIVOTDATA("Sum of Old-HS % of Total",'Pivot-HS Student % of Undergrad'!$A$3,"State","GA","Category",7,"Category2","Two-Year")</f>
        <v>2.8522832788385796E-2</v>
      </c>
      <c r="D167" s="173">
        <f>+'OLD Tables'!C107+'OLD Tables'!C137</f>
        <v>20341.233333333334</v>
      </c>
      <c r="E167" s="96">
        <f>+GETPIVOTDATA("Sum of Old-HS % of Total",'Pivot-HS Student % of Undergrad'!$A$3,"State","GA","Category",8,"Category2","Two-Year")</f>
        <v>1.265082254927184E-3</v>
      </c>
      <c r="F167" s="173">
        <f>+'OLD Tables'!D107+'OLD Tables'!D137</f>
        <v>26135.266666666663</v>
      </c>
      <c r="G167" s="96">
        <f>+GETPIVOTDATA("Sum of Old-HS % of Total",'Pivot-HS Student % of Undergrad'!$A$3,"State","GA","Category",9,"Category2","Two-Year")</f>
        <v>1.2675720418642499E-2</v>
      </c>
      <c r="H167" s="173">
        <f>+'OLD Tables'!E107+'OLD Tables'!E137</f>
        <v>2721.1666666666665</v>
      </c>
      <c r="I167" s="96">
        <f>+GETPIVOTDATA("Sum of Old-HS % of Total",'Pivot-HS Student % of Undergrad'!$A$3,"State","GA","Category",10,"Category2","Two-Year")</f>
        <v>1.914619954676303E-2</v>
      </c>
      <c r="J167" s="173">
        <f>+'OLD Tables'!F107+'OLD Tables'!F137</f>
        <v>64346.933333333327</v>
      </c>
      <c r="K167" s="96">
        <f>+GETPIVOTDATA("Sum of Old-HS % of Total",'Pivot-HS Student % of Undergrad'!$A$3,"State","GA","Category2","Group2")</f>
        <v>1.3073143086850033E-2</v>
      </c>
    </row>
    <row r="168" spans="1:19" ht="15" customHeight="1">
      <c r="A168" s="1" t="s">
        <v>69</v>
      </c>
      <c r="B168" s="32">
        <f>+'OLD Tables'!B108+'OLD Tables'!B138</f>
        <v>0</v>
      </c>
      <c r="C168" s="96">
        <f>+GETPIVOTDATA("Sum of Old-HS % of Total",'Pivot-HS Student % of Undergrad'!$A$3,"State","KY","Category",7,"Category2","Two-Year")</f>
        <v>0</v>
      </c>
      <c r="D168" s="173">
        <f>+'OLD Tables'!C108+'OLD Tables'!C138</f>
        <v>18423.433333333334</v>
      </c>
      <c r="E168" s="96">
        <f>+GETPIVOTDATA("Sum of Old-HS % of Total",'Pivot-HS Student % of Undergrad'!$A$3,"State","KY","Category",8,"Category2","Two-Year")</f>
        <v>3.6234650436129348E-2</v>
      </c>
      <c r="F168" s="173">
        <f>+'OLD Tables'!D108+'OLD Tables'!D138</f>
        <v>36209.100000000006</v>
      </c>
      <c r="G168" s="96">
        <f>+GETPIVOTDATA("Sum of Old-HS % of Total",'Pivot-HS Student % of Undergrad'!$A$3,"State","KY","Category",9,"Category2","Two-Year")</f>
        <v>6.9504627289824927E-2</v>
      </c>
      <c r="H168" s="173">
        <f>+'OLD Tables'!E108+'OLD Tables'!E138</f>
        <v>1441.1666666666667</v>
      </c>
      <c r="I168" s="96">
        <f>+GETPIVOTDATA("Sum of Old-HS % of Total",'Pivot-HS Student % of Undergrad'!$A$3,"State","KY","Category",10,"Category2","Two-Year")</f>
        <v>3.7446513241586675E-2</v>
      </c>
      <c r="J168" s="173">
        <f>+'OLD Tables'!F108+'OLD Tables'!F138</f>
        <v>56073.700000000004</v>
      </c>
      <c r="K168" s="96">
        <f>+GETPIVOTDATA("Sum of Old-HS % of Total",'Pivot-HS Student % of Undergrad'!$A$3,"State","KY","Category2","Group2")</f>
        <v>5.7749592649197989E-2</v>
      </c>
    </row>
    <row r="169" spans="1:19" ht="15" customHeight="1">
      <c r="A169" s="1" t="s">
        <v>70</v>
      </c>
      <c r="B169" s="32">
        <f>+'OLD Tables'!B109+'OLD Tables'!B139</f>
        <v>0</v>
      </c>
      <c r="C169" s="96">
        <f>+GETPIVOTDATA("Sum of Old-HS % of Total",'Pivot-HS Student % of Undergrad'!$A$3,"State","LA","Category",7,"Category2","Two-Year")</f>
        <v>0</v>
      </c>
      <c r="D169" s="173">
        <f>+'OLD Tables'!C109+'OLD Tables'!C139</f>
        <v>25316.166666666668</v>
      </c>
      <c r="E169" s="96">
        <f>+GETPIVOTDATA("Sum of Old-HS % of Total",'Pivot-HS Student % of Undergrad'!$A$3,"State","LA","Category",8,"Category2","Two-Year")</f>
        <v>8.7717334772905321E-3</v>
      </c>
      <c r="F169" s="173">
        <f>+'OLD Tables'!D109+'OLD Tables'!D139</f>
        <v>4755.8333333333339</v>
      </c>
      <c r="G169" s="96">
        <f>+GETPIVOTDATA("Sum of Old-HS % of Total",'Pivot-HS Student % of Undergrad'!$A$3,"State","LA","Category",9,"Category2","Two-Year")</f>
        <v>6.2673909234273698E-2</v>
      </c>
      <c r="H169" s="173">
        <f>+'OLD Tables'!E109+'OLD Tables'!E139</f>
        <v>7497.0333333333328</v>
      </c>
      <c r="I169" s="96">
        <f>+GETPIVOTDATA("Sum of Old-HS % of Total",'Pivot-HS Student % of Undergrad'!$A$3,"State","LA","Category",10,"Category2","Two-Year")</f>
        <v>7.3002209762972906E-2</v>
      </c>
      <c r="J169" s="173">
        <f>+'OLD Tables'!F109+'OLD Tables'!F139</f>
        <v>37569.033333333333</v>
      </c>
      <c r="K169" s="96">
        <f>+GETPIVOTDATA("Sum of Old-HS % of Total",'Pivot-HS Student % of Undergrad'!$A$3,"State","LA","Category2","Group2")</f>
        <v>2.8412584477819056E-2</v>
      </c>
    </row>
    <row r="170" spans="1:19" ht="15" customHeight="1">
      <c r="A170" s="1" t="s">
        <v>71</v>
      </c>
      <c r="B170" s="32">
        <f>+'OLD Tables'!B110+'OLD Tables'!B140</f>
        <v>0</v>
      </c>
      <c r="C170" s="96">
        <f>+GETPIVOTDATA("Sum of Old-HS % of Total",'Pivot-HS Student % of Undergrad'!$A$3,"State","MD","Category",7,"Category2","Two-Year")</f>
        <v>0</v>
      </c>
      <c r="D170" s="173">
        <f>+'OLD Tables'!C110+'OLD Tables'!C140</f>
        <v>70204.950000000012</v>
      </c>
      <c r="E170" s="96">
        <f>+GETPIVOTDATA("Sum of Old-HS % of Total",'Pivot-HS Student % of Undergrad'!$A$3,"State","MD","Category",8,"Category2","Two-Year")</f>
        <v>0</v>
      </c>
      <c r="F170" s="173">
        <f>+'OLD Tables'!D110+'OLD Tables'!D140</f>
        <v>24798.749999999996</v>
      </c>
      <c r="G170" s="96">
        <f>+GETPIVOTDATA("Sum of Old-HS % of Total",'Pivot-HS Student % of Undergrad'!$A$3,"State","MD","Category",9,"Category2","Two-Year")</f>
        <v>0</v>
      </c>
      <c r="H170" s="173">
        <f>+'OLD Tables'!E110+'OLD Tables'!E140</f>
        <v>4195.625</v>
      </c>
      <c r="I170" s="96">
        <f>+GETPIVOTDATA("Sum of Old-HS % of Total",'Pivot-HS Student % of Undergrad'!$A$3,"State","MD","Category",10,"Category2","Two-Year")</f>
        <v>0</v>
      </c>
      <c r="J170" s="173">
        <f>+'OLD Tables'!F110+'OLD Tables'!F140</f>
        <v>99199.325000000012</v>
      </c>
      <c r="K170" s="96">
        <f>+GETPIVOTDATA("Sum of Old-HS % of Total",'Pivot-HS Student % of Undergrad'!$A$3,"State","MD","Category2","Group2")</f>
        <v>0</v>
      </c>
    </row>
    <row r="171" spans="1:19" ht="15" customHeight="1">
      <c r="B171" s="32"/>
      <c r="C171" s="96"/>
      <c r="D171" s="173"/>
      <c r="E171" s="96"/>
      <c r="F171" s="173"/>
      <c r="G171" s="96"/>
      <c r="H171" s="173"/>
      <c r="I171" s="96"/>
      <c r="J171" s="173"/>
      <c r="K171" s="96"/>
    </row>
    <row r="172" spans="1:19" ht="15" customHeight="1">
      <c r="A172" s="1" t="s">
        <v>72</v>
      </c>
      <c r="B172" s="32">
        <f>+'OLD Tables'!B112+'OLD Tables'!B142</f>
        <v>0</v>
      </c>
      <c r="C172" s="96">
        <f>+GETPIVOTDATA("Sum of Old-HS % of Total",'Pivot-HS Student % of Undergrad'!$A$3,"State","MS","Category",7,"Category2","Two-Year")</f>
        <v>0</v>
      </c>
      <c r="D172" s="173">
        <f>+'OLD Tables'!C112+'OLD Tables'!C142</f>
        <v>33757.566666666666</v>
      </c>
      <c r="E172" s="96">
        <f>+GETPIVOTDATA("Sum of Old-HS % of Total",'Pivot-HS Student % of Undergrad'!$A$3,"State","MS","Category",8,"Category2","Two-Year")</f>
        <v>7.6634670547936412E-3</v>
      </c>
      <c r="F172" s="173">
        <f>+'OLD Tables'!D112+'OLD Tables'!D142</f>
        <v>34043.916666666672</v>
      </c>
      <c r="G172" s="96">
        <f>+GETPIVOTDATA("Sum of Old-HS % of Total",'Pivot-HS Student % of Undergrad'!$A$3,"State","MS","Category",9,"Category2","Two-Year")</f>
        <v>8.3607693004379147E-3</v>
      </c>
      <c r="H172" s="173">
        <f>+'OLD Tables'!E112+'OLD Tables'!E142</f>
        <v>4316.0666666666666</v>
      </c>
      <c r="I172" s="96">
        <f>+GETPIVOTDATA("Sum of Old-HS % of Total",'Pivot-HS Student % of Undergrad'!$A$3,"State","MS","Category",10,"Category2","Two-Year")</f>
        <v>1.0866375249069369E-2</v>
      </c>
      <c r="J172" s="173">
        <f>+'OLD Tables'!F112+'OLD Tables'!F142</f>
        <v>72117.55</v>
      </c>
      <c r="K172" s="96">
        <f>+GETPIVOTDATA("Sum of Old-HS % of Total",'Pivot-HS Student % of Undergrad'!$A$3,"State","MS","Category2","Group2")</f>
        <v>8.1843231409460433E-3</v>
      </c>
    </row>
    <row r="173" spans="1:19" ht="15" customHeight="1">
      <c r="A173" s="1" t="s">
        <v>73</v>
      </c>
      <c r="B173" s="32">
        <f>+'OLD Tables'!B113+'OLD Tables'!B143</f>
        <v>0</v>
      </c>
      <c r="C173" s="96">
        <f>+GETPIVOTDATA("Sum of Old-HS % of Total",'Pivot-HS Student % of Undergrad'!$A$3,"State","NC","Category",7,"Category2","Two-Year")</f>
        <v>0</v>
      </c>
      <c r="D173" s="173">
        <f>+'OLD Tables'!C113+'OLD Tables'!C143</f>
        <v>96489.743333333332</v>
      </c>
      <c r="E173" s="96">
        <f>+GETPIVOTDATA("Sum of Old-HS % of Total",'Pivot-HS Student % of Undergrad'!$A$3,"State","NC","Category",8,"Category2","Two-Year")</f>
        <v>2.5961346097580672E-2</v>
      </c>
      <c r="F173" s="173">
        <f>+'OLD Tables'!D113+'OLD Tables'!D143</f>
        <v>82815.906666666677</v>
      </c>
      <c r="G173" s="96">
        <f>+GETPIVOTDATA("Sum of Old-HS % of Total",'Pivot-HS Student % of Undergrad'!$A$3,"State","NC","Category",9,"Category2","Two-Year")</f>
        <v>7.4174346578032929E-2</v>
      </c>
      <c r="H173" s="173">
        <f>+'OLD Tables'!E113+'OLD Tables'!E143</f>
        <v>36177.02888888889</v>
      </c>
      <c r="I173" s="96">
        <f>+GETPIVOTDATA("Sum of Old-HS % of Total",'Pivot-HS Student % of Undergrad'!$A$3,"State","NC","Category",10,"Category2","Two-Year")</f>
        <v>9.0130068111106632E-2</v>
      </c>
      <c r="J173" s="173">
        <f>+'OLD Tables'!F113+'OLD Tables'!F143</f>
        <v>215482.67888888891</v>
      </c>
      <c r="K173" s="96">
        <f>+GETPIVOTDATA("Sum of Old-HS % of Total",'Pivot-HS Student % of Undergrad'!$A$3,"State","NC","Category2","Group2")</f>
        <v>5.4094112375933111E-2</v>
      </c>
    </row>
    <row r="174" spans="1:19" ht="15" customHeight="1">
      <c r="A174" s="1" t="s">
        <v>74</v>
      </c>
      <c r="B174" s="119">
        <f>+'OLD Tables'!B114+'OLD Tables'!B144</f>
        <v>8835.7333333333336</v>
      </c>
      <c r="C174" s="96">
        <f>+GETPIVOTDATA("Sum of Old-HS % of Total",'Pivot-HS Student % of Undergrad'!$A$3,"State","OK","Category",7,"Category2","Two-Year")</f>
        <v>2.9927717752157905E-2</v>
      </c>
      <c r="D174" s="173">
        <f>+'OLD Tables'!C114+'OLD Tables'!C144</f>
        <v>28434.266666666663</v>
      </c>
      <c r="E174" s="96">
        <f>+GETPIVOTDATA("Sum of Old-HS % of Total",'Pivot-HS Student % of Undergrad'!$A$3,"State","OK","Category",8,"Category2","Two-Year")</f>
        <v>4.3403030146724378E-2</v>
      </c>
      <c r="F174" s="173">
        <f>+'OLD Tables'!D114+'OLD Tables'!D144</f>
        <v>6122.3666666666668</v>
      </c>
      <c r="G174" s="96">
        <f>+GETPIVOTDATA("Sum of Old-HS % of Total",'Pivot-HS Student % of Undergrad'!$A$3,"State","OK","Category",9,"Category2","Two-Year")</f>
        <v>4.9245662080567972E-2</v>
      </c>
      <c r="H174" s="173">
        <f>+'OLD Tables'!E114+'OLD Tables'!E144</f>
        <v>12909.900000000001</v>
      </c>
      <c r="I174" s="96">
        <f>+GETPIVOTDATA("Sum of Old-HS % of Total",'Pivot-HS Student % of Undergrad'!$A$3,"State","OK","Category",10,"Category2","Two-Year")</f>
        <v>6.6251481421234867E-2</v>
      </c>
      <c r="J174" s="175">
        <f>+'OLD Tables'!F114+'OLD Tables'!F144</f>
        <v>56302.26666666667</v>
      </c>
      <c r="K174" s="96">
        <f>+GETPIVOTDATA("Sum of Old-HS % of Total",'Pivot-HS Student % of Undergrad'!$A$3,"State","OK","Category2","Group2")</f>
        <v>4.7162695640436028E-2</v>
      </c>
    </row>
    <row r="175" spans="1:19" ht="15" customHeight="1">
      <c r="A175" s="1" t="s">
        <v>75</v>
      </c>
      <c r="B175" s="32">
        <f>+'OLD Tables'!B115+'OLD Tables'!B145</f>
        <v>0</v>
      </c>
      <c r="C175" s="96">
        <f>+GETPIVOTDATA("Sum of Old-HS % of Total",'Pivot-HS Student % of Undergrad'!$A$3,"State","SC","Category",7,"Category2","Two-Year")</f>
        <v>0</v>
      </c>
      <c r="D175" s="173">
        <f>+'OLD Tables'!C115+'OLD Tables'!C145</f>
        <v>57517.322666666667</v>
      </c>
      <c r="E175" s="96">
        <f>+GETPIVOTDATA("Sum of Old-HS % of Total",'Pivot-HS Student % of Undergrad'!$A$3,"State","SC","Category",8,"Category2","Two-Year")</f>
        <v>2.3782979977371221E-2</v>
      </c>
      <c r="F175" s="173">
        <f>+'OLD Tables'!D115+'OLD Tables'!D145</f>
        <v>17807.101000000002</v>
      </c>
      <c r="G175" s="96">
        <f>+GETPIVOTDATA("Sum of Old-HS % of Total",'Pivot-HS Student % of Undergrad'!$A$3,"State","SC","Category",9,"Category2","Two-Year")</f>
        <v>3.5802196737881889E-2</v>
      </c>
      <c r="H175" s="173">
        <f>+'OLD Tables'!E115+'OLD Tables'!E145</f>
        <v>8309.9860000000008</v>
      </c>
      <c r="I175" s="96">
        <f>+GETPIVOTDATA("Sum of Old-HS % of Total",'Pivot-HS Student % of Undergrad'!$A$3,"State","SC","Category",10,"Category2","Two-Year")</f>
        <v>7.510556019447949E-2</v>
      </c>
      <c r="J175" s="173">
        <f>+'OLD Tables'!F115+'OLD Tables'!F145</f>
        <v>83634.409666666674</v>
      </c>
      <c r="K175" s="96">
        <f>+GETPIVOTDATA("Sum of Old-HS % of Total",'Pivot-HS Student % of Undergrad'!$A$3,"State","SC","Category2","Group2")</f>
        <v>3.076603704723492E-2</v>
      </c>
    </row>
    <row r="176" spans="1:19" ht="15" customHeight="1">
      <c r="B176" s="32"/>
      <c r="C176" s="96"/>
      <c r="D176" s="173"/>
      <c r="E176" s="96"/>
      <c r="F176" s="173"/>
      <c r="G176" s="96"/>
      <c r="H176" s="173"/>
      <c r="I176" s="96"/>
      <c r="J176" s="173"/>
      <c r="K176" s="96"/>
    </row>
    <row r="177" spans="1:19" ht="15" customHeight="1">
      <c r="A177" s="1" t="s">
        <v>76</v>
      </c>
      <c r="B177" s="32">
        <f>+'OLD Tables'!B117+'OLD Tables'!B147</f>
        <v>0</v>
      </c>
      <c r="C177" s="96">
        <f>+GETPIVOTDATA("Sum of Old-HS % of Total",'Pivot-HS Student % of Undergrad'!$A$3,"State","TN","Category",7,"Category2","Two-Year")</f>
        <v>0</v>
      </c>
      <c r="D177" s="173">
        <f>+'OLD Tables'!C117+'OLD Tables'!C147</f>
        <v>37019.933333333334</v>
      </c>
      <c r="E177" s="96">
        <f>+GETPIVOTDATA("Sum of Old-HS % of Total",'Pivot-HS Student % of Undergrad'!$A$3,"State","TN","Category",8,"Category2","Two-Year")</f>
        <v>3.1815292301985057E-2</v>
      </c>
      <c r="F177" s="173">
        <f>+'OLD Tables'!D117+'OLD Tables'!D147</f>
        <v>29790.466666666667</v>
      </c>
      <c r="G177" s="96">
        <f>+GETPIVOTDATA("Sum of Old-HS % of Total",'Pivot-HS Student % of Undergrad'!$A$3,"State","TN","Category",9,"Category2","Two-Year")</f>
        <v>5.0700783472117476E-2</v>
      </c>
      <c r="H177" s="173">
        <f>+'OLD Tables'!E117+'OLD Tables'!E147</f>
        <v>0</v>
      </c>
      <c r="I177" s="96">
        <f>+GETPIVOTDATA("Sum of Old-HS % of Total",'Pivot-HS Student % of Undergrad'!$A$3,"State","TN","Category",10,"Category2","Two-Year")</f>
        <v>0</v>
      </c>
      <c r="J177" s="173">
        <f>+'OLD Tables'!F117+'OLD Tables'!F147</f>
        <v>66810.399999999994</v>
      </c>
      <c r="K177" s="96">
        <f>+GETPIVOTDATA("Sum of Old-HS % of Total",'Pivot-HS Student % of Undergrad'!$A$3,"State","TN","Category2","Group2")</f>
        <v>4.0236250643612373E-2</v>
      </c>
    </row>
    <row r="178" spans="1:19" ht="15" customHeight="1">
      <c r="A178" s="1" t="s">
        <v>77</v>
      </c>
      <c r="B178" s="32">
        <f>+'OLD Tables'!B118+'OLD Tables'!B148</f>
        <v>26065.594444444443</v>
      </c>
      <c r="C178" s="210">
        <f>+GETPIVOTDATA("Sum of Old-HS % of Total",'Pivot-HS Student % of Undergrad'!$A$3,"State","TX","Category",7,"Category2","Two-Year")</f>
        <v>0.16606432842216032</v>
      </c>
      <c r="D178" s="173">
        <f>+'OLD Tables'!C118+'OLD Tables'!C148</f>
        <v>392020.74111111113</v>
      </c>
      <c r="E178" s="210">
        <f>+GETPIVOTDATA("Sum of Old-HS % of Total",'Pivot-HS Student % of Undergrad'!$A$3,"State","TX","Category",8,"Category2","Two-Year")</f>
        <v>5.7896742167900535E-2</v>
      </c>
      <c r="F178" s="173">
        <f>+'OLD Tables'!D118+'OLD Tables'!D148</f>
        <v>87341.277777777766</v>
      </c>
      <c r="G178" s="210">
        <f>+GETPIVOTDATA("Sum of Old-HS % of Total",'Pivot-HS Student % of Undergrad'!$A$3,"State","TX","Category",9,"Category2","Two-Year")</f>
        <v>8.9449067203195232E-2</v>
      </c>
      <c r="H178" s="173">
        <f>+'OLD Tables'!E118+'OLD Tables'!E148</f>
        <v>12428.062222222225</v>
      </c>
      <c r="I178" s="210">
        <f>+GETPIVOTDATA("Sum of Old-HS % of Total",'Pivot-HS Student % of Undergrad'!$A$3,"State","TX","Category",10,"Category2","Two-Year")</f>
        <v>9.3328437733860639E-2</v>
      </c>
      <c r="J178" s="173">
        <f>+'OLD Tables'!F118+'OLD Tables'!F148</f>
        <v>517855.67555555562</v>
      </c>
      <c r="K178" s="210">
        <f>+GETPIVOTDATA("Sum of Old-HS % of Total",'Pivot-HS Student % of Undergrad'!$A$3,"State","TX","Category2","Group2")</f>
        <v>6.9504685673104735E-2</v>
      </c>
    </row>
    <row r="179" spans="1:19" ht="15" customHeight="1">
      <c r="A179" s="1" t="s">
        <v>78</v>
      </c>
      <c r="B179" s="32">
        <f>+'OLD Tables'!B119+'OLD Tables'!B149</f>
        <v>0</v>
      </c>
      <c r="C179" s="210">
        <f>+GETPIVOTDATA("Sum of Old-HS % of Total",'Pivot-HS Student % of Undergrad'!$A$3,"State","VA","Category",7,"Category2","Two-Year")</f>
        <v>0</v>
      </c>
      <c r="D179" s="173">
        <f>+'OLD Tables'!C119+'OLD Tables'!C149</f>
        <v>73884.600000000006</v>
      </c>
      <c r="E179" s="210">
        <f>+GETPIVOTDATA("Sum of Old-HS % of Total",'Pivot-HS Student % of Undergrad'!$A$3,"State","VA","Category",8,"Category2","Two-Year")</f>
        <v>3.6809204263585825E-2</v>
      </c>
      <c r="F179" s="173">
        <f>+'OLD Tables'!D119+'OLD Tables'!D149</f>
        <v>48716.466666666674</v>
      </c>
      <c r="G179" s="210">
        <f>+GETPIVOTDATA("Sum of Old-HS % of Total",'Pivot-HS Student % of Undergrad'!$A$3,"State","VA","Category",9,"Category2","Two-Year")</f>
        <v>0.26812152496007507</v>
      </c>
      <c r="H179" s="173">
        <f>+'OLD Tables'!E119+'OLD Tables'!E149</f>
        <v>7702.833333333333</v>
      </c>
      <c r="I179" s="210">
        <f>+GETPIVOTDATA("Sum of Old-HS % of Total",'Pivot-HS Student % of Undergrad'!$A$3,"State","VA","Category",10,"Category2","Two-Year")</f>
        <v>0.35475690763139106</v>
      </c>
      <c r="J179" s="173">
        <f>+'OLD Tables'!F119+'OLD Tables'!F149</f>
        <v>130303.90000000001</v>
      </c>
      <c r="K179" s="210">
        <f>+GETPIVOTDATA("Sum of Old-HS % of Total",'Pivot-HS Student % of Undergrad'!$A$3,"State","VA","Category2","Group2")</f>
        <v>0.14208477259698291</v>
      </c>
    </row>
    <row r="180" spans="1:19" ht="15" customHeight="1">
      <c r="A180" s="3" t="s">
        <v>79</v>
      </c>
      <c r="B180" s="9">
        <f>+'OLD Tables'!B120+'OLD Tables'!B150</f>
        <v>4952.2</v>
      </c>
      <c r="C180" s="212">
        <f>+GETPIVOTDATA("Sum of Old-HS % of Total",'Pivot-HS Student % of Undergrad'!$A$3,"State","WV","Category",7,"Category2","Two-Year")</f>
        <v>3.8656220131120175E-2</v>
      </c>
      <c r="D180" s="174">
        <f>+'OLD Tables'!C120+'OLD Tables'!C150</f>
        <v>0</v>
      </c>
      <c r="E180" s="212">
        <f>+GETPIVOTDATA("Sum of Old-HS % of Total",'Pivot-HS Student % of Undergrad'!$A$3,"State","WV","Category",8,"Category2","Two-Year")</f>
        <v>0</v>
      </c>
      <c r="F180" s="174">
        <f>+'OLD Tables'!D120+'OLD Tables'!D150</f>
        <v>6783.2733333333326</v>
      </c>
      <c r="G180" s="212">
        <f>+GETPIVOTDATA("Sum of Old-HS % of Total",'Pivot-HS Student % of Undergrad'!$A$3,"State","WV","Category",9,"Category2","Two-Year")</f>
        <v>4.4376313893685543E-2</v>
      </c>
      <c r="H180" s="174">
        <f>+'OLD Tables'!E120+'OLD Tables'!E150</f>
        <v>7788.1633333333339</v>
      </c>
      <c r="I180" s="212">
        <f>+GETPIVOTDATA("Sum of Old-HS % of Total",'Pivot-HS Student % of Undergrad'!$A$3,"State","WV","Category",10,"Category2","Two-Year")</f>
        <v>3.3594998221660309E-2</v>
      </c>
      <c r="J180" s="174">
        <f>+'OLD Tables'!F120+'OLD Tables'!F150</f>
        <v>19523.636666666665</v>
      </c>
      <c r="K180" s="212">
        <f>+GETPIVOTDATA("Sum of Old-HS % of Total",'Pivot-HS Student % of Undergrad'!$A$3,"State","WV","Category2","Group2")</f>
        <v>3.8624634652253138E-2</v>
      </c>
      <c r="P180" s="25"/>
      <c r="Q180" s="25"/>
      <c r="R180" s="25"/>
      <c r="S180" s="25"/>
    </row>
    <row r="181" spans="1:19" s="25" customFormat="1" ht="46.5" customHeight="1">
      <c r="A181" s="843" t="s">
        <v>250</v>
      </c>
      <c r="B181" s="844"/>
      <c r="C181" s="844"/>
      <c r="D181" s="844"/>
      <c r="E181" s="844"/>
      <c r="F181" s="844"/>
      <c r="G181" s="844"/>
      <c r="H181" s="844"/>
      <c r="I181" s="844"/>
      <c r="J181" s="844"/>
      <c r="K181" s="845"/>
      <c r="L181" s="103"/>
      <c r="M181" s="103"/>
    </row>
    <row r="182" spans="1:19">
      <c r="J182" s="1"/>
      <c r="K182" s="169" t="s">
        <v>987</v>
      </c>
      <c r="L182" s="1"/>
      <c r="M182" s="201"/>
    </row>
    <row r="183" spans="1:19" ht="18">
      <c r="A183" s="115" t="s">
        <v>169</v>
      </c>
      <c r="B183" s="22"/>
      <c r="C183" s="22"/>
      <c r="D183" s="22"/>
      <c r="E183" s="22"/>
      <c r="F183" s="22"/>
      <c r="G183" s="22"/>
      <c r="H183" s="106"/>
      <c r="I183" s="22"/>
      <c r="J183" s="1"/>
      <c r="K183" s="1"/>
      <c r="L183" s="1"/>
      <c r="M183" s="201"/>
    </row>
    <row r="184" spans="1:19" ht="15.75">
      <c r="A184" s="21"/>
      <c r="B184" s="22"/>
      <c r="C184" s="22"/>
      <c r="D184" s="22"/>
      <c r="E184" s="22"/>
      <c r="F184" s="22"/>
      <c r="G184" s="22"/>
      <c r="H184" s="106"/>
      <c r="I184" s="22"/>
      <c r="J184" s="1"/>
      <c r="K184" s="1"/>
      <c r="L184" s="1"/>
      <c r="M184" s="201"/>
    </row>
    <row r="185" spans="1:19" ht="15.75">
      <c r="A185" s="43" t="s">
        <v>36</v>
      </c>
      <c r="B185" s="22"/>
      <c r="C185" s="22"/>
      <c r="D185" s="22"/>
      <c r="E185" s="22"/>
      <c r="F185" s="22"/>
      <c r="G185" s="22"/>
      <c r="H185" s="106"/>
      <c r="I185" s="22"/>
      <c r="J185" s="1"/>
      <c r="K185" s="1"/>
      <c r="L185" s="1"/>
      <c r="M185" s="201"/>
    </row>
    <row r="186" spans="1:19" ht="15.75">
      <c r="A186" s="43" t="s">
        <v>248</v>
      </c>
      <c r="B186" s="22"/>
      <c r="C186" s="22"/>
      <c r="D186" s="22"/>
      <c r="E186" s="22"/>
      <c r="F186" s="22"/>
      <c r="G186" s="22"/>
      <c r="H186" s="106"/>
      <c r="I186" s="22"/>
      <c r="J186" s="1"/>
      <c r="K186" s="1"/>
      <c r="L186" s="1"/>
      <c r="M186" s="201"/>
    </row>
    <row r="187" spans="1:19">
      <c r="C187" s="3"/>
      <c r="D187" s="3"/>
      <c r="E187" s="3"/>
      <c r="F187" s="3"/>
      <c r="G187" s="3"/>
      <c r="H187" s="73"/>
      <c r="I187" s="25"/>
      <c r="J187" s="1"/>
      <c r="K187" s="1"/>
      <c r="L187" s="1"/>
      <c r="M187" s="201"/>
    </row>
    <row r="188" spans="1:19" ht="28.5" customHeight="1">
      <c r="A188" s="45"/>
      <c r="B188" s="265">
        <v>1</v>
      </c>
      <c r="D188" s="223">
        <v>2</v>
      </c>
      <c r="F188" s="224" t="s">
        <v>30</v>
      </c>
      <c r="H188" s="25"/>
      <c r="I188" s="25"/>
      <c r="J188" s="1"/>
      <c r="K188" s="201"/>
      <c r="L188" s="1"/>
      <c r="M188" s="1"/>
    </row>
    <row r="189" spans="1:19" ht="78" customHeight="1">
      <c r="A189" s="203"/>
      <c r="B189" s="204" t="s">
        <v>143</v>
      </c>
      <c r="C189" s="166" t="s">
        <v>22</v>
      </c>
      <c r="D189" s="205" t="s">
        <v>143</v>
      </c>
      <c r="E189" s="166" t="s">
        <v>22</v>
      </c>
      <c r="F189" s="205" t="s">
        <v>143</v>
      </c>
      <c r="G189" s="166" t="s">
        <v>22</v>
      </c>
      <c r="H189" s="1"/>
      <c r="J189" s="1"/>
      <c r="K189" s="201"/>
      <c r="L189" s="1"/>
      <c r="M189" s="1"/>
    </row>
    <row r="190" spans="1:19">
      <c r="A190" s="1" t="s">
        <v>64</v>
      </c>
      <c r="B190" s="32">
        <f>+'OLD Tables'!G100+'OLD Tables'!G130</f>
        <v>127177.97845555554</v>
      </c>
      <c r="D190" s="175">
        <f>+'OLD Tables'!H100+'OLD Tables'!H130</f>
        <v>29349.128744444439</v>
      </c>
      <c r="F190" s="175">
        <f>+'OLD Tables'!I100+'OLD Tables'!I130</f>
        <v>156527.10719999997</v>
      </c>
      <c r="H190" s="1"/>
      <c r="J190" s="1"/>
      <c r="K190" s="201"/>
      <c r="L190" s="1"/>
      <c r="M190" s="1"/>
    </row>
    <row r="191" spans="1:19">
      <c r="A191" s="262"/>
      <c r="B191" s="266"/>
      <c r="C191" s="258" t="s">
        <v>186</v>
      </c>
      <c r="D191" s="264" t="s">
        <v>28</v>
      </c>
      <c r="E191" s="258" t="s">
        <v>187</v>
      </c>
      <c r="F191" s="264" t="s">
        <v>28</v>
      </c>
      <c r="G191" s="258" t="s">
        <v>188</v>
      </c>
      <c r="H191" s="1" t="s">
        <v>28</v>
      </c>
      <c r="J191" s="1"/>
      <c r="K191" s="201"/>
      <c r="L191" s="1"/>
      <c r="M191" s="1"/>
    </row>
    <row r="192" spans="1:19">
      <c r="A192" s="1" t="s">
        <v>65</v>
      </c>
      <c r="B192" s="32">
        <f>+'OLD Tables'!G102+'OLD Tables'!G132</f>
        <v>1650.0666666666666</v>
      </c>
      <c r="C192" s="96">
        <f>+GETPIVOTDATA("Sum of Old-HS % of Total",'Pivot-HS Student % of Undergrad'!$A$3,"State","AL","Category",12,"Category2","Technical")</f>
        <v>1.8787119712334855E-3</v>
      </c>
      <c r="D192" s="175">
        <f>+'OLD Tables'!H102+'OLD Tables'!H132</f>
        <v>2468.5</v>
      </c>
      <c r="E192" s="96">
        <f>+GETPIVOTDATA("Sum of Old-HS % of Total",'Pivot-HS Student % of Undergrad'!$A$3,"State","AL","Category",13,"Category2","Technical")</f>
        <v>2.1146445209641481E-2</v>
      </c>
      <c r="F192" s="175">
        <f>+'OLD Tables'!I102+'OLD Tables'!I132</f>
        <v>4118.5666666666666</v>
      </c>
      <c r="G192" s="96">
        <f>+GETPIVOTDATA("Sum of Old-HS % of Total",'Pivot-HS Student % of Undergrad'!$A$3,"State","AL","Category2","Group3")</f>
        <v>1.3427001303042321E-2</v>
      </c>
      <c r="H192" s="1"/>
      <c r="J192" s="1"/>
      <c r="K192" s="201"/>
      <c r="L192" s="1"/>
      <c r="M192" s="1"/>
    </row>
    <row r="193" spans="1:13">
      <c r="A193" s="1" t="s">
        <v>66</v>
      </c>
      <c r="B193" s="32">
        <f>+'OLD Tables'!G103+'OLD Tables'!G133</f>
        <v>0</v>
      </c>
      <c r="C193" s="96">
        <f>+GETPIVOTDATA("Sum of Old-HS % of Total",'Pivot-HS Student % of Undergrad'!$A$3,"State","AR","Category",12,"Category2","Technical")</f>
        <v>0</v>
      </c>
      <c r="D193" s="175">
        <f>+'OLD Tables'!H103+'OLD Tables'!H133</f>
        <v>0</v>
      </c>
      <c r="E193" s="96">
        <f>+GETPIVOTDATA("Sum of Old-HS % of Total",'Pivot-HS Student % of Undergrad'!$A$3,"State","AR","Category",13,"Category2","Technical")</f>
        <v>0</v>
      </c>
      <c r="F193" s="175">
        <f>+'OLD Tables'!I103+'OLD Tables'!I133</f>
        <v>0</v>
      </c>
      <c r="G193" s="96">
        <f>+GETPIVOTDATA("Sum of Old-HS % of Total",'Pivot-HS Student % of Undergrad'!$A$3,"State","AR","Category2","Group3")</f>
        <v>0</v>
      </c>
      <c r="H193" s="1"/>
      <c r="J193" s="1"/>
      <c r="K193" s="201"/>
      <c r="L193" s="1"/>
      <c r="M193" s="1"/>
    </row>
    <row r="194" spans="1:13">
      <c r="A194" s="1" t="s">
        <v>102</v>
      </c>
      <c r="B194" s="32">
        <f>+'OLD Tables'!G104+'OLD Tables'!G134</f>
        <v>0</v>
      </c>
      <c r="C194" s="96">
        <f>+GETPIVOTDATA("Sum of Old-HS % of Total",'Pivot-HS Student % of Undergrad'!$A$3,"State","DE","Category",12,"Category2","Technical")</f>
        <v>0</v>
      </c>
      <c r="D194" s="175">
        <f>+'OLD Tables'!H104+'OLD Tables'!H134</f>
        <v>0</v>
      </c>
      <c r="E194" s="96">
        <f>+GETPIVOTDATA("Sum of Old-HS % of Total",'Pivot-HS Student % of Undergrad'!$A$3,"State","DE","Category",13,"Category2","Technical")</f>
        <v>0</v>
      </c>
      <c r="F194" s="175">
        <f>+'OLD Tables'!I104+'OLD Tables'!I134</f>
        <v>0</v>
      </c>
      <c r="G194" s="96">
        <f>+GETPIVOTDATA("Sum of Old-HS % of Total",'Pivot-HS Student % of Undergrad'!$A$3,"State","DE","Category2","Group3")</f>
        <v>0</v>
      </c>
      <c r="H194" s="1"/>
      <c r="J194" s="1"/>
      <c r="K194" s="201"/>
      <c r="L194" s="1"/>
      <c r="M194" s="1"/>
    </row>
    <row r="195" spans="1:13">
      <c r="A195" s="1" t="s">
        <v>67</v>
      </c>
      <c r="B195" s="32">
        <f>+'OLD Tables'!G105+'OLD Tables'!G135</f>
        <v>0</v>
      </c>
      <c r="C195" s="96">
        <f>+GETPIVOTDATA("Sum of Old-HS % of Total",'Pivot-HS Student % of Undergrad'!$A$3,"State","FL","Category",12,"Category2","Technical")</f>
        <v>0</v>
      </c>
      <c r="D195" s="175">
        <f>+'OLD Tables'!H105+'OLD Tables'!H135</f>
        <v>0</v>
      </c>
      <c r="E195" s="96">
        <f>+GETPIVOTDATA("Sum of Old-HS % of Total",'Pivot-HS Student % of Undergrad'!$A$3,"State","FL","Category",13,"Category2","Technical")</f>
        <v>0</v>
      </c>
      <c r="F195" s="175">
        <f>+'OLD Tables'!I105+'OLD Tables'!I135</f>
        <v>0</v>
      </c>
      <c r="G195" s="96">
        <f>+GETPIVOTDATA("Sum of Old-HS % of Total",'Pivot-HS Student % of Undergrad'!$A$3,"State","FL","Category2","Group3")</f>
        <v>0</v>
      </c>
      <c r="H195" s="1"/>
      <c r="J195" s="1"/>
      <c r="K195" s="201"/>
      <c r="L195" s="1"/>
      <c r="M195" s="1"/>
    </row>
    <row r="196" spans="1:13">
      <c r="B196" s="32"/>
      <c r="C196" s="96"/>
      <c r="D196" s="175"/>
      <c r="E196" s="96"/>
      <c r="F196" s="175"/>
      <c r="G196" s="96"/>
      <c r="H196" s="1"/>
      <c r="J196" s="1"/>
      <c r="K196" s="201"/>
      <c r="L196" s="1"/>
      <c r="M196" s="1"/>
    </row>
    <row r="197" spans="1:13">
      <c r="A197" s="1" t="s">
        <v>68</v>
      </c>
      <c r="B197" s="32">
        <f>+'OLD Tables'!G107+'OLD Tables'!G137</f>
        <v>96674.833333333328</v>
      </c>
      <c r="C197" s="96">
        <f>+GETPIVOTDATA("Sum of Old-HS % of Total",'Pivot-HS Student % of Undergrad'!$A$3,"State","GA","Category",12,"Category2","Technical")</f>
        <v>1.8376206148101277E-2</v>
      </c>
      <c r="D197" s="175">
        <f>+'OLD Tables'!H107+'OLD Tables'!H137</f>
        <v>0</v>
      </c>
      <c r="E197" s="96">
        <f>+GETPIVOTDATA("Sum of Old-HS % of Total",'Pivot-HS Student % of Undergrad'!$A$3,"State","GA","Category",13,"Category2","Technical")</f>
        <v>0</v>
      </c>
      <c r="F197" s="175">
        <f>+'OLD Tables'!I107+'OLD Tables'!I137</f>
        <v>96674.833333333328</v>
      </c>
      <c r="G197" s="96">
        <f>+GETPIVOTDATA("Sum of Old-HS % of Total",'Pivot-HS Student % of Undergrad'!$A$3,"State","GA","Category2","Group3")</f>
        <v>1.8376206148101277E-2</v>
      </c>
      <c r="H197" s="1"/>
      <c r="J197" s="1"/>
      <c r="K197" s="201"/>
      <c r="L197" s="1"/>
      <c r="M197" s="1"/>
    </row>
    <row r="198" spans="1:13">
      <c r="A198" s="1" t="s">
        <v>69</v>
      </c>
      <c r="B198" s="32">
        <f>+'OLD Tables'!G108+'OLD Tables'!G138</f>
        <v>4817.2</v>
      </c>
      <c r="C198" s="96">
        <f>+GETPIVOTDATA("Sum of Old-HS % of Total",'Pivot-HS Student % of Undergrad'!$A$3,"State","KY","Category",12,"Category2","Technical")</f>
        <v>6.3210993938387444E-2</v>
      </c>
      <c r="D198" s="175">
        <f>+'OLD Tables'!H108+'OLD Tables'!H138</f>
        <v>0</v>
      </c>
      <c r="E198" s="96">
        <f>+GETPIVOTDATA("Sum of Old-HS % of Total",'Pivot-HS Student % of Undergrad'!$A$3,"State","KY","Category",13,"Category2","Technical")</f>
        <v>0</v>
      </c>
      <c r="F198" s="175">
        <f>+'OLD Tables'!I108+'OLD Tables'!I138</f>
        <v>4817.2</v>
      </c>
      <c r="G198" s="96">
        <f>+GETPIVOTDATA("Sum of Old-HS % of Total",'Pivot-HS Student % of Undergrad'!$A$3,"State","KY","Category2","Group3")</f>
        <v>6.3210993938387444E-2</v>
      </c>
      <c r="H198" s="1"/>
      <c r="J198" s="1"/>
      <c r="K198" s="201"/>
      <c r="L198" s="1"/>
      <c r="M198" s="1"/>
    </row>
    <row r="199" spans="1:13">
      <c r="A199" s="1" t="s">
        <v>70</v>
      </c>
      <c r="B199" s="32">
        <f>+'OLD Tables'!G109+'OLD Tables'!G139</f>
        <v>18658.816666666669</v>
      </c>
      <c r="C199" s="96">
        <f>+GETPIVOTDATA("Sum of Old-HS % of Total",'Pivot-HS Student % of Undergrad'!$A$3,"State","LA","Category",12,"Category2","Technical")</f>
        <v>0.12798953845769068</v>
      </c>
      <c r="D199" s="175">
        <f>+'OLD Tables'!H109+'OLD Tables'!H139</f>
        <v>0</v>
      </c>
      <c r="E199" s="96">
        <f>+GETPIVOTDATA("Sum of Old-HS % of Total",'Pivot-HS Student % of Undergrad'!$A$3,"State","LA","Category",13,"Category2","Technical")</f>
        <v>0</v>
      </c>
      <c r="F199" s="175">
        <f>+'OLD Tables'!I109+'OLD Tables'!I139</f>
        <v>18658.816666666669</v>
      </c>
      <c r="G199" s="96">
        <f>+GETPIVOTDATA("Sum of Old-HS % of Total",'Pivot-HS Student % of Undergrad'!$A$3,"State","LA","Category2","Group3")</f>
        <v>0.12798953845769068</v>
      </c>
      <c r="H199" s="1"/>
      <c r="J199" s="1"/>
      <c r="K199" s="201"/>
      <c r="L199" s="1"/>
      <c r="M199" s="1"/>
    </row>
    <row r="200" spans="1:13">
      <c r="A200" s="1" t="s">
        <v>71</v>
      </c>
      <c r="B200" s="32">
        <f>+'OLD Tables'!G110+'OLD Tables'!G140</f>
        <v>0</v>
      </c>
      <c r="C200" s="96">
        <f>+GETPIVOTDATA("Sum of Old-HS % of Total",'Pivot-HS Student % of Undergrad'!$A$3,"State","MD","Category",12,"Category2","Technical")</f>
        <v>0</v>
      </c>
      <c r="D200" s="175">
        <f>+'OLD Tables'!H110+'OLD Tables'!H140</f>
        <v>0</v>
      </c>
      <c r="E200" s="96">
        <f>+GETPIVOTDATA("Sum of Old-HS % of Total",'Pivot-HS Student % of Undergrad'!$A$3,"State","MD","Category",13,"Category2","Technical")</f>
        <v>0</v>
      </c>
      <c r="F200" s="175">
        <f>+'OLD Tables'!I110+'OLD Tables'!I140</f>
        <v>0</v>
      </c>
      <c r="G200" s="96">
        <f>+GETPIVOTDATA("Sum of Old-HS % of Total",'Pivot-HS Student % of Undergrad'!$A$3,"State","MD","Category2","Group3")</f>
        <v>0</v>
      </c>
      <c r="H200" s="1"/>
      <c r="J200" s="1"/>
      <c r="K200" s="201"/>
      <c r="L200" s="1"/>
      <c r="M200" s="1"/>
    </row>
    <row r="201" spans="1:13">
      <c r="B201" s="32"/>
      <c r="C201" s="96"/>
      <c r="D201" s="175"/>
      <c r="E201" s="96"/>
      <c r="F201" s="175"/>
      <c r="G201" s="96"/>
      <c r="H201" s="1"/>
      <c r="J201" s="1"/>
      <c r="K201" s="201"/>
      <c r="L201" s="1"/>
      <c r="M201" s="1"/>
    </row>
    <row r="202" spans="1:13">
      <c r="A202" s="1" t="s">
        <v>72</v>
      </c>
      <c r="B202" s="32">
        <f>+'OLD Tables'!G112+'OLD Tables'!G142</f>
        <v>0</v>
      </c>
      <c r="C202" s="96">
        <f>+GETPIVOTDATA("Sum of Old-HS % of Total",'Pivot-HS Student % of Undergrad'!$A$3,"State","MS","Category",12,"Category2","Technical")</f>
        <v>0</v>
      </c>
      <c r="D202" s="175">
        <f>+'OLD Tables'!H112+'OLD Tables'!H142</f>
        <v>0</v>
      </c>
      <c r="E202" s="96">
        <f>+GETPIVOTDATA("Sum of Old-HS % of Total",'Pivot-HS Student % of Undergrad'!$A$3,"State","MS","Category",13,"Category2","Technical")</f>
        <v>0</v>
      </c>
      <c r="F202" s="175">
        <f>+'OLD Tables'!I112+'OLD Tables'!I142</f>
        <v>0</v>
      </c>
      <c r="G202" s="96">
        <f>+GETPIVOTDATA("Sum of Old-HS % of Total",'Pivot-HS Student % of Undergrad'!$A$3,"State","MS","Category2","Group3")</f>
        <v>0</v>
      </c>
      <c r="H202" s="1"/>
      <c r="J202" s="1"/>
      <c r="K202" s="201"/>
      <c r="L202" s="1"/>
      <c r="M202" s="1"/>
    </row>
    <row r="203" spans="1:13">
      <c r="A203" s="1" t="s">
        <v>73</v>
      </c>
      <c r="B203" s="32">
        <f>+'OLD Tables'!G113+'OLD Tables'!G143</f>
        <v>0</v>
      </c>
      <c r="C203" s="96">
        <f>+GETPIVOTDATA("Sum of Old-HS % of Total",'Pivot-HS Student % of Undergrad'!$A$3,"State","NC","Category",12,"Category2","Technical")</f>
        <v>0</v>
      </c>
      <c r="D203" s="175">
        <f>+'OLD Tables'!H113+'OLD Tables'!H143</f>
        <v>0</v>
      </c>
      <c r="E203" s="96">
        <f>+GETPIVOTDATA("Sum of Old-HS % of Total",'Pivot-HS Student % of Undergrad'!$A$3,"State","NC","Category",13,"Category2","Technical")</f>
        <v>0</v>
      </c>
      <c r="F203" s="175">
        <f>+'OLD Tables'!I113+'OLD Tables'!I143</f>
        <v>0</v>
      </c>
      <c r="G203" s="96">
        <f>+GETPIVOTDATA("Sum of Old-HS % of Total",'Pivot-HS Student % of Undergrad'!$A$3,"State","NC","Category2","Group3")</f>
        <v>0</v>
      </c>
      <c r="H203" s="1"/>
      <c r="J203" s="1"/>
      <c r="K203" s="201"/>
      <c r="L203" s="1"/>
      <c r="M203" s="1"/>
    </row>
    <row r="204" spans="1:13">
      <c r="A204" s="1" t="s">
        <v>74</v>
      </c>
      <c r="B204" s="32">
        <f>+'OLD Tables'!G114+'OLD Tables'!G144</f>
        <v>4304.7606777777773</v>
      </c>
      <c r="C204" s="96">
        <f>+GETPIVOTDATA("Sum of Old-HS % of Total",'Pivot-HS Student % of Undergrad'!$A$3,"State","OK","Category",12,"Category2","Technical")</f>
        <v>0</v>
      </c>
      <c r="D204" s="175">
        <f>+'OLD Tables'!H114+'OLD Tables'!H144</f>
        <v>16254.157633333331</v>
      </c>
      <c r="E204" s="96">
        <f>+GETPIVOTDATA("Sum of Old-HS % of Total",'Pivot-HS Student % of Undergrad'!$A$3,"State","OK","Category",13,"Category2","Technical")</f>
        <v>0</v>
      </c>
      <c r="F204" s="175">
        <f>+'OLD Tables'!I114+'OLD Tables'!I144</f>
        <v>20558.918311111109</v>
      </c>
      <c r="G204" s="96">
        <f>+GETPIVOTDATA("Sum of Old-HS % of Total",'Pivot-HS Student % of Undergrad'!$A$3,"State","OK","Category2","Group3")</f>
        <v>0</v>
      </c>
      <c r="H204" s="1"/>
      <c r="J204" s="1"/>
      <c r="K204" s="201"/>
      <c r="L204" s="1"/>
      <c r="M204" s="1"/>
    </row>
    <row r="205" spans="1:13">
      <c r="A205" s="1" t="s">
        <v>75</v>
      </c>
      <c r="B205" s="32">
        <f>+'OLD Tables'!G115+'OLD Tables'!G145</f>
        <v>0</v>
      </c>
      <c r="C205" s="96">
        <f>+GETPIVOTDATA("Sum of Old-HS % of Total",'Pivot-HS Student % of Undergrad'!$A$3,"State","SC","Category",12,"Category2","Technical")</f>
        <v>0</v>
      </c>
      <c r="D205" s="175">
        <f>+'OLD Tables'!H115+'OLD Tables'!H145</f>
        <v>0</v>
      </c>
      <c r="E205" s="96">
        <f>+GETPIVOTDATA("Sum of Old-HS % of Total",'Pivot-HS Student % of Undergrad'!$A$3,"State","SC","Category",13,"Category2","Technical")</f>
        <v>0</v>
      </c>
      <c r="F205" s="175">
        <f>+'OLD Tables'!I115+'OLD Tables'!I145</f>
        <v>0</v>
      </c>
      <c r="G205" s="96">
        <f>+GETPIVOTDATA("Sum of Old-HS % of Total",'Pivot-HS Student % of Undergrad'!$A$3,"State","SC","Category2","Group3")</f>
        <v>0</v>
      </c>
      <c r="H205" s="1"/>
      <c r="J205" s="1"/>
      <c r="K205" s="201"/>
      <c r="L205" s="1"/>
      <c r="M205" s="1"/>
    </row>
    <row r="206" spans="1:13">
      <c r="B206" s="32"/>
      <c r="C206" s="96"/>
      <c r="D206" s="175"/>
      <c r="E206" s="96"/>
      <c r="F206" s="175"/>
      <c r="G206" s="96"/>
      <c r="H206" s="1"/>
      <c r="J206" s="1"/>
      <c r="K206" s="201"/>
      <c r="L206" s="1"/>
      <c r="M206" s="1"/>
    </row>
    <row r="207" spans="1:13">
      <c r="A207" s="1" t="s">
        <v>76</v>
      </c>
      <c r="B207" s="32">
        <f>+'OLD Tables'!G117+'OLD Tables'!G147</f>
        <v>1072.3011111111111</v>
      </c>
      <c r="C207" s="96">
        <f>+GETPIVOTDATA("Sum of Old-HS % of Total",'Pivot-HS Student % of Undergrad'!$A$3,"State","TN","Category",12,"Category2","Technical")</f>
        <v>0</v>
      </c>
      <c r="D207" s="175">
        <f>+'OLD Tables'!H117+'OLD Tables'!H147</f>
        <v>10626.471111111108</v>
      </c>
      <c r="E207" s="96">
        <f>+GETPIVOTDATA("Sum of Old-HS % of Total",'Pivot-HS Student % of Undergrad'!$A$3,"State","TN","Category",13,"Category2","Technical")</f>
        <v>0</v>
      </c>
      <c r="F207" s="175">
        <f>+'OLD Tables'!I117+'OLD Tables'!I147</f>
        <v>11698.77222222222</v>
      </c>
      <c r="G207" s="96">
        <f>+GETPIVOTDATA("Sum of Old-HS % of Total",'Pivot-HS Student % of Undergrad'!$A$3,"State","TN","Category2","Group3")</f>
        <v>0</v>
      </c>
      <c r="H207" s="1"/>
      <c r="J207" s="1"/>
      <c r="K207" s="201"/>
      <c r="L207" s="1"/>
      <c r="M207" s="1"/>
    </row>
    <row r="208" spans="1:13">
      <c r="A208" s="1" t="s">
        <v>77</v>
      </c>
      <c r="B208" s="32">
        <f>+'OLD Tables'!G118+'OLD Tables'!G148</f>
        <v>0</v>
      </c>
      <c r="C208" s="210">
        <f>+GETPIVOTDATA("Sum of Old-HS % of Total",'Pivot-HS Student % of Undergrad'!$A$3,"State","TX","Category",12,"Category2","Technical")</f>
        <v>0</v>
      </c>
      <c r="D208" s="175">
        <f>+'OLD Tables'!H118+'OLD Tables'!H148</f>
        <v>0</v>
      </c>
      <c r="E208" s="210">
        <f>+GETPIVOTDATA("Sum of Old-HS % of Total",'Pivot-HS Student % of Undergrad'!$A$3,"State","TX","Category",13,"Category2","Technical")</f>
        <v>0</v>
      </c>
      <c r="F208" s="175">
        <f>+'OLD Tables'!I118+'OLD Tables'!I148</f>
        <v>0</v>
      </c>
      <c r="G208" s="96">
        <f>+GETPIVOTDATA("Sum of Old-HS % of Total",'Pivot-HS Student % of Undergrad'!$A$3,"State","TX","Category2","Group3")</f>
        <v>0</v>
      </c>
      <c r="H208" s="1"/>
      <c r="J208" s="1"/>
      <c r="K208" s="201"/>
      <c r="L208" s="1"/>
      <c r="M208" s="1"/>
    </row>
    <row r="209" spans="1:13">
      <c r="A209" s="1" t="s">
        <v>78</v>
      </c>
      <c r="B209" s="32">
        <f>+'OLD Tables'!G119+'OLD Tables'!G149</f>
        <v>0</v>
      </c>
      <c r="C209" s="210">
        <f>+GETPIVOTDATA("Sum of Old-HS % of Total",'Pivot-HS Student % of Undergrad'!$A$3,"State","VA","Category",12,"Category2","Technical")</f>
        <v>0</v>
      </c>
      <c r="D209" s="175">
        <f>+'OLD Tables'!H119+'OLD Tables'!H149</f>
        <v>0</v>
      </c>
      <c r="E209" s="210">
        <f>+GETPIVOTDATA("Sum of Old-HS % of Total",'Pivot-HS Student % of Undergrad'!$A$3,"State","VA","Category",13,"Category2","Technical")</f>
        <v>0</v>
      </c>
      <c r="F209" s="175">
        <f>+'OLD Tables'!I119+'OLD Tables'!I149</f>
        <v>0</v>
      </c>
      <c r="G209" s="96">
        <f>+GETPIVOTDATA("Sum of Old-HS % of Total",'Pivot-HS Student % of Undergrad'!$A$3,"State","VA","Category2","Group3")</f>
        <v>0</v>
      </c>
      <c r="H209" s="1"/>
      <c r="J209" s="1"/>
      <c r="K209" s="201"/>
      <c r="L209" s="1"/>
      <c r="M209" s="1"/>
    </row>
    <row r="210" spans="1:13">
      <c r="A210" s="3" t="s">
        <v>79</v>
      </c>
      <c r="B210" s="9">
        <f>+'OLD Tables'!G120+'OLD Tables'!G150</f>
        <v>0</v>
      </c>
      <c r="C210" s="212">
        <f>+GETPIVOTDATA("Sum of Old-HS % of Total",'Pivot-HS Student % of Undergrad'!$A$3,"State","WV","Category",12,"Category2","Technical")</f>
        <v>0</v>
      </c>
      <c r="D210" s="176">
        <f>+'OLD Tables'!H120+'OLD Tables'!H150</f>
        <v>0</v>
      </c>
      <c r="E210" s="212">
        <f>+GETPIVOTDATA("Sum of Old-HS % of Total",'Pivot-HS Student % of Undergrad'!$A$3,"State","WV","Category",13,"Category2","Technical")</f>
        <v>0</v>
      </c>
      <c r="F210" s="176">
        <f>+'OLD Tables'!I120+'OLD Tables'!I150</f>
        <v>0</v>
      </c>
      <c r="G210" s="212">
        <f>+GETPIVOTDATA("Sum of Old-HS % of Total",'Pivot-HS Student % of Undergrad'!$A$3,"State","WV","Category2","Group3")</f>
        <v>0</v>
      </c>
      <c r="H210" s="1"/>
      <c r="J210" s="1"/>
      <c r="K210" s="201"/>
      <c r="L210" s="1"/>
      <c r="M210" s="1"/>
    </row>
    <row r="211" spans="1:13" ht="58.5" customHeight="1">
      <c r="A211" s="840" t="s">
        <v>250</v>
      </c>
      <c r="B211" s="840"/>
      <c r="C211" s="840"/>
      <c r="D211" s="840"/>
      <c r="E211" s="840"/>
      <c r="F211" s="840"/>
      <c r="G211" s="840"/>
      <c r="H211" s="442"/>
      <c r="I211" s="442"/>
      <c r="J211" s="1"/>
      <c r="K211" s="1"/>
      <c r="L211" s="1"/>
      <c r="M211" s="201"/>
    </row>
    <row r="212" spans="1:13" ht="10.5" customHeight="1">
      <c r="A212" s="267"/>
      <c r="B212" s="267"/>
      <c r="C212" s="267"/>
      <c r="D212" s="267"/>
      <c r="E212" s="267"/>
      <c r="F212" s="267"/>
      <c r="G212" s="267"/>
      <c r="H212" s="267"/>
      <c r="I212" s="169" t="s">
        <v>987</v>
      </c>
      <c r="J212" s="1"/>
      <c r="K212" s="1"/>
      <c r="L212" s="1"/>
      <c r="M212" s="201"/>
    </row>
    <row r="213" spans="1:13" ht="18">
      <c r="A213" s="222" t="s">
        <v>194</v>
      </c>
      <c r="B213" s="20"/>
      <c r="C213" s="20"/>
      <c r="D213" s="34"/>
      <c r="E213" s="17"/>
      <c r="F213" s="22"/>
      <c r="G213" s="22"/>
      <c r="H213" s="106"/>
    </row>
    <row r="214" spans="1:13" ht="9.75" customHeight="1">
      <c r="A214" s="21"/>
      <c r="B214" s="21"/>
      <c r="C214" s="21"/>
      <c r="D214" s="35"/>
      <c r="E214" s="17"/>
      <c r="F214" s="22"/>
      <c r="G214" s="22"/>
      <c r="H214" s="106"/>
    </row>
    <row r="215" spans="1:13" ht="15.75">
      <c r="A215" s="43" t="s">
        <v>36</v>
      </c>
      <c r="B215" s="43"/>
      <c r="C215" s="43"/>
      <c r="D215" s="62"/>
      <c r="E215" s="17"/>
      <c r="F215" s="22"/>
      <c r="G215" s="22"/>
      <c r="H215" s="106"/>
    </row>
    <row r="216" spans="1:13" ht="15.75">
      <c r="A216" s="43" t="s">
        <v>29</v>
      </c>
      <c r="B216" s="43"/>
      <c r="C216" s="43"/>
      <c r="D216" s="62"/>
      <c r="E216" s="17"/>
      <c r="F216" s="22"/>
      <c r="G216" s="22"/>
      <c r="H216" s="106"/>
    </row>
    <row r="217" spans="1:13" ht="15.75">
      <c r="A217" s="43" t="s">
        <v>249</v>
      </c>
      <c r="B217" s="43"/>
      <c r="C217" s="43"/>
      <c r="D217" s="62"/>
      <c r="E217" s="17"/>
      <c r="F217" s="22"/>
      <c r="G217" s="22"/>
      <c r="H217" s="106"/>
      <c r="I217" s="25"/>
    </row>
    <row r="218" spans="1:13" ht="13.5" customHeight="1">
      <c r="B218" s="2"/>
      <c r="C218" s="2"/>
      <c r="D218" s="26"/>
      <c r="I218" s="25"/>
    </row>
    <row r="219" spans="1:13" ht="63" customHeight="1">
      <c r="A219" s="63"/>
      <c r="B219" s="64" t="s">
        <v>62</v>
      </c>
      <c r="C219" s="36"/>
      <c r="D219" s="64" t="s">
        <v>63</v>
      </c>
      <c r="E219" s="65" t="s">
        <v>28</v>
      </c>
      <c r="F219" s="65" t="s">
        <v>45</v>
      </c>
      <c r="G219" s="66" t="s">
        <v>28</v>
      </c>
      <c r="H219" s="121" t="s">
        <v>59</v>
      </c>
      <c r="I219" s="74"/>
    </row>
    <row r="220" spans="1:13" ht="15" customHeight="1">
      <c r="A220" s="1" t="s">
        <v>64</v>
      </c>
      <c r="B220" s="67">
        <f>+GETPIVOTDATA("Grand Total FTE - Old",'FTE Pivot for regular counts'!$A$2,"Category2","Four-Year")</f>
        <v>2372085.9733333332</v>
      </c>
      <c r="D220" s="15">
        <f>+GETPIVOTDATA("Grand Total FTE - Old",'FTE Pivot for regular counts'!$A$2,"Category2","Two-Year")</f>
        <v>1927439.4079999998</v>
      </c>
      <c r="F220" s="39">
        <f>+GETPIVOTDATA("Grand Total FTE - Old",'FTE Pivot for regular counts'!$A$2,"Category2","Technical")</f>
        <v>156527.10719999997</v>
      </c>
      <c r="G220" s="37"/>
      <c r="H220" s="122">
        <f>+F220+D220+B220</f>
        <v>4456052.4885333329</v>
      </c>
      <c r="I220" s="25"/>
    </row>
    <row r="221" spans="1:13" ht="13.5" customHeight="1">
      <c r="B221" s="15"/>
      <c r="D221" s="15"/>
      <c r="F221" s="39"/>
      <c r="G221" s="37"/>
      <c r="H221" s="122"/>
      <c r="I221" s="25"/>
    </row>
    <row r="222" spans="1:13" ht="15" customHeight="1">
      <c r="A222" s="1" t="s">
        <v>65</v>
      </c>
      <c r="B222" s="15">
        <f>+GETPIVOTDATA("Grand Total FTE - Old",'FTE Pivot for regular counts'!$A$2,"State","AL","Category2","Four-Year")</f>
        <v>133098.68333333335</v>
      </c>
      <c r="D222" s="15">
        <f>+GETPIVOTDATA("Grand Total FTE - Old",'FTE Pivot for regular counts'!$A$2,"State","AL","Category2","Two-Year")</f>
        <v>74494.700000000012</v>
      </c>
      <c r="F222" s="39">
        <f>+GETPIVOTDATA("Grand Total FTE - Old",'FTE Pivot for regular counts'!$A$2,"State","AL","Category2","Technical")</f>
        <v>4118.5666666666666</v>
      </c>
      <c r="G222" s="37"/>
      <c r="H222" s="122">
        <f t="shared" ref="H222:H237" si="0">+F222+D222+B222</f>
        <v>211711.95</v>
      </c>
      <c r="I222" s="25"/>
    </row>
    <row r="223" spans="1:13" ht="15" customHeight="1">
      <c r="A223" s="4" t="s">
        <v>66</v>
      </c>
      <c r="B223" s="15">
        <f>+GETPIVOTDATA("Grand Total FTE - Old",'FTE Pivot for regular counts'!$A$2,"State","AR","Category2","Four-Year")</f>
        <v>79984.641666666663</v>
      </c>
      <c r="D223" s="15">
        <f>+GETPIVOTDATA("Grand Total FTE - Old",'FTE Pivot for regular counts'!$A$2,"State","AR","Category2","Two-Year")</f>
        <v>44565.366666666676</v>
      </c>
      <c r="F223" s="39">
        <f>+GETPIVOTDATA("Grand Total FTE - Old",'FTE Pivot for regular counts'!$A$2,"State","AR","Category2","Technical")</f>
        <v>0</v>
      </c>
      <c r="G223" s="37"/>
      <c r="H223" s="122">
        <f t="shared" si="0"/>
        <v>124550.00833333333</v>
      </c>
      <c r="I223" s="25"/>
    </row>
    <row r="224" spans="1:13" ht="15" customHeight="1">
      <c r="A224" s="1" t="s">
        <v>102</v>
      </c>
      <c r="B224" s="103">
        <f>+GETPIVOTDATA("Grand Total FTE - Old",'FTE Pivot for regular counts'!$A$2,"State","DE","Category2","Four-Year")</f>
        <v>23455.125</v>
      </c>
      <c r="D224" s="15">
        <f>+GETPIVOTDATA("Grand Total FTE - Old",'FTE Pivot for regular counts'!$A$2,"State","DE","Category2","Two-Year")</f>
        <v>11217.333333333332</v>
      </c>
      <c r="F224" s="39">
        <f>+GETPIVOTDATA("Grand Total FTE - Old",'FTE Pivot for regular counts'!$A$2,"State","DE","Category2","Technical")</f>
        <v>0</v>
      </c>
      <c r="G224" s="37"/>
      <c r="H224" s="122">
        <f t="shared" si="0"/>
        <v>34672.458333333328</v>
      </c>
      <c r="I224" s="25"/>
    </row>
    <row r="225" spans="1:13" ht="15" customHeight="1">
      <c r="A225" s="1" t="s">
        <v>67</v>
      </c>
      <c r="B225" s="15">
        <f>+GETPIVOTDATA("Grand Total FTE - Old",'FTE Pivot for regular counts'!$A$2,"State","FL","Category2","Four-Year")</f>
        <v>293118.36666666664</v>
      </c>
      <c r="D225" s="15">
        <f>+GETPIVOTDATA("Grand Total FTE - Old",'FTE Pivot for regular counts'!$A$2,"State","FL","Category2","Two-Year")</f>
        <v>377940.24888888892</v>
      </c>
      <c r="F225" s="39">
        <f>+GETPIVOTDATA("Grand Total FTE - Old",'FTE Pivot for regular counts'!$A$2,"State","FL","Category2","Technical")</f>
        <v>0</v>
      </c>
      <c r="G225" s="37"/>
      <c r="H225" s="122">
        <f t="shared" si="0"/>
        <v>671058.61555555556</v>
      </c>
      <c r="I225" s="25"/>
    </row>
    <row r="226" spans="1:13" ht="15" customHeight="1">
      <c r="A226" s="1" t="s">
        <v>68</v>
      </c>
      <c r="B226" s="15">
        <f>+GETPIVOTDATA("Grand Total FTE - Old",'FTE Pivot for regular counts'!$A$2,"State","GA","Category2","Four-Year")</f>
        <v>214846.54166666666</v>
      </c>
      <c r="D226" s="15">
        <f>+GETPIVOTDATA("Grand Total FTE - Old",'FTE Pivot for regular counts'!$A$2,"State","GA","Category2","Two-Year")</f>
        <v>64346.933333333327</v>
      </c>
      <c r="F226" s="39">
        <f>+GETPIVOTDATA("Grand Total FTE - Old",'FTE Pivot for regular counts'!$A$2,"State","GA","Category2","Technical")</f>
        <v>96674.833333333328</v>
      </c>
      <c r="G226" s="37"/>
      <c r="H226" s="122">
        <f t="shared" si="0"/>
        <v>375868.30833333335</v>
      </c>
      <c r="I226" s="25"/>
    </row>
    <row r="227" spans="1:13" ht="15" customHeight="1">
      <c r="A227" s="1" t="s">
        <v>69</v>
      </c>
      <c r="B227" s="15">
        <f>+GETPIVOTDATA("Grand Total FTE - Old",'FTE Pivot for regular counts'!$A$2,"State","KY","Category2","Four-Year")</f>
        <v>100902.69166666668</v>
      </c>
      <c r="D227" s="15">
        <f>+GETPIVOTDATA("Grand Total FTE - Old",'FTE Pivot for regular counts'!$A$2,"State","KY","Category2","Two-Year")</f>
        <v>56073.700000000004</v>
      </c>
      <c r="F227" s="39">
        <f>+GETPIVOTDATA("Grand Total FTE - Old",'FTE Pivot for regular counts'!$A$2,"State","KY","Category2","Technical")</f>
        <v>4817.2</v>
      </c>
      <c r="G227" s="37"/>
      <c r="H227" s="122">
        <f t="shared" si="0"/>
        <v>161793.59166666667</v>
      </c>
      <c r="I227" s="25"/>
    </row>
    <row r="228" spans="1:13" ht="15" customHeight="1">
      <c r="A228" s="1" t="s">
        <v>70</v>
      </c>
      <c r="B228" s="15">
        <f>+GETPIVOTDATA("Grand Total FTE - Old",'FTE Pivot for regular counts'!$A$2,"State","LA","Category2","Four-Year")</f>
        <v>125882.44166666665</v>
      </c>
      <c r="D228" s="15">
        <f>+GETPIVOTDATA("Grand Total FTE - Old",'FTE Pivot for regular counts'!$A$2,"State","LA","Category2","Two-Year")</f>
        <v>37569.033333333333</v>
      </c>
      <c r="F228" s="39">
        <f>+GETPIVOTDATA("Grand Total FTE - Old",'FTE Pivot for regular counts'!$A$2,"State","LA","Category2","Technical")</f>
        <v>18658.816666666669</v>
      </c>
      <c r="G228" s="37"/>
      <c r="H228" s="122">
        <f t="shared" si="0"/>
        <v>182110.29166666666</v>
      </c>
      <c r="I228" s="25"/>
    </row>
    <row r="229" spans="1:13" ht="15" customHeight="1">
      <c r="A229" s="1" t="s">
        <v>71</v>
      </c>
      <c r="B229" s="15">
        <f>+GETPIVOTDATA("Grand Total FTE - Old",'FTE Pivot for regular counts'!$A$2,"State","MD","Category2","Four-Year")</f>
        <v>103809.74166666665</v>
      </c>
      <c r="D229" s="15">
        <f>+GETPIVOTDATA("Grand Total FTE - Old",'FTE Pivot for regular counts'!$A$2,"State","MD","Category2","Two-Year")</f>
        <v>99199.325000000012</v>
      </c>
      <c r="F229" s="39">
        <f>+GETPIVOTDATA("Grand Total FTE - Old",'FTE Pivot for regular counts'!$A$2,"State","MD","Category2","Technical")</f>
        <v>0</v>
      </c>
      <c r="G229" s="37"/>
      <c r="H229" s="122">
        <f t="shared" si="0"/>
        <v>203009.06666666665</v>
      </c>
      <c r="I229" s="25"/>
    </row>
    <row r="230" spans="1:13" ht="12" customHeight="1">
      <c r="A230" s="1" t="s">
        <v>72</v>
      </c>
      <c r="B230" s="15">
        <f>+GETPIVOTDATA("Grand Total FTE - Old",'FTE Pivot for regular counts'!$A$2,"State","MS","Category2","Four-Year")</f>
        <v>67735.275000000009</v>
      </c>
      <c r="D230" s="15">
        <f>+GETPIVOTDATA("Grand Total FTE - Old",'FTE Pivot for regular counts'!$A$2,"State","MS","Category2","Two-Year")</f>
        <v>72117.55</v>
      </c>
      <c r="F230" s="39">
        <f>+GETPIVOTDATA("Grand Total FTE - Old",'FTE Pivot for regular counts'!$A$2,"State","MS","Category2","Technical")</f>
        <v>0</v>
      </c>
      <c r="G230" s="37"/>
      <c r="H230" s="122">
        <f t="shared" si="0"/>
        <v>139852.82500000001</v>
      </c>
      <c r="I230" s="25"/>
    </row>
    <row r="231" spans="1:13" ht="15" customHeight="1">
      <c r="A231" s="1" t="s">
        <v>73</v>
      </c>
      <c r="B231" s="15">
        <f>+GETPIVOTDATA("Grand Total FTE - Old",'FTE Pivot for regular counts'!$A$2,"State","NC","Category2","Four-Year")</f>
        <v>198718.67500000002</v>
      </c>
      <c r="D231" s="15">
        <f>+GETPIVOTDATA("Grand Total FTE - Old",'FTE Pivot for regular counts'!$A$2,"State","NC","Category2","Two-Year")</f>
        <v>215482.67888888888</v>
      </c>
      <c r="F231" s="39">
        <f>+GETPIVOTDATA("Grand Total FTE - Old",'FTE Pivot for regular counts'!$A$2,"State","NC","Category2","Technical")</f>
        <v>0</v>
      </c>
      <c r="G231" s="37"/>
      <c r="H231" s="122">
        <f t="shared" si="0"/>
        <v>414201.3538888889</v>
      </c>
      <c r="I231" s="25"/>
    </row>
    <row r="232" spans="1:13" ht="15" customHeight="1">
      <c r="A232" s="1" t="s">
        <v>74</v>
      </c>
      <c r="B232" s="15">
        <f>+GETPIVOTDATA("Grand Total FTE - Old",'FTE Pivot for regular counts'!$A$2,"State","OK","Category2","Four-Year")</f>
        <v>95534.825000000012</v>
      </c>
      <c r="D232" s="15">
        <f>+GETPIVOTDATA("Grand Total FTE - Old",'FTE Pivot for regular counts'!$A$2,"State","OK","Category2","Two-Year")</f>
        <v>56304.51666666667</v>
      </c>
      <c r="F232" s="39">
        <f>+GETPIVOTDATA("Grand Total FTE - Old",'FTE Pivot for regular counts'!$A$2,"State","OK","Category2","Technical")</f>
        <v>20558.918311111109</v>
      </c>
      <c r="G232" s="37"/>
      <c r="H232" s="122">
        <f t="shared" si="0"/>
        <v>172398.25997777778</v>
      </c>
      <c r="I232" s="25"/>
    </row>
    <row r="233" spans="1:13" ht="15" customHeight="1">
      <c r="A233" s="1" t="s">
        <v>75</v>
      </c>
      <c r="B233" s="15">
        <f>+GETPIVOTDATA("Grand Total FTE - Old",'FTE Pivot for regular counts'!$A$2,"State","SC","Category2","Four-Year")</f>
        <v>94950.174999999988</v>
      </c>
      <c r="D233" s="15">
        <f>+GETPIVOTDATA("Grand Total FTE - Old",'FTE Pivot for regular counts'!$A$2,"State","SC","Category2","Two-Year")</f>
        <v>83634.409666666674</v>
      </c>
      <c r="F233" s="39">
        <f>+GETPIVOTDATA("Grand Total FTE - Old",'FTE Pivot for regular counts'!$A$2,"State","SC","Category2","Technical")</f>
        <v>0</v>
      </c>
      <c r="G233" s="37"/>
      <c r="H233" s="122">
        <f t="shared" si="0"/>
        <v>178584.58466666666</v>
      </c>
      <c r="I233" s="25"/>
    </row>
    <row r="234" spans="1:13" ht="15" customHeight="1">
      <c r="A234" s="1" t="s">
        <v>76</v>
      </c>
      <c r="B234" s="15">
        <f>+GETPIVOTDATA("Grand Total FTE - Old",'FTE Pivot for regular counts'!$A$2,"State","TN","Category2","Four-Year")</f>
        <v>122010.09166666667</v>
      </c>
      <c r="D234" s="15">
        <f>+GETPIVOTDATA("Grand Total FTE - Old",'FTE Pivot for regular counts'!$A$2,"State","TN","Category2","Two-Year")</f>
        <v>66810.399999999994</v>
      </c>
      <c r="F234" s="39">
        <f>+GETPIVOTDATA("Grand Total FTE - Old",'FTE Pivot for regular counts'!$A$2,"State","TN","Category2","Technical")</f>
        <v>11698.77222222222</v>
      </c>
      <c r="G234" s="37"/>
      <c r="H234" s="122">
        <f t="shared" si="0"/>
        <v>200519.26388888888</v>
      </c>
      <c r="I234" s="25"/>
    </row>
    <row r="235" spans="1:13" ht="15" customHeight="1">
      <c r="A235" s="1" t="s">
        <v>77</v>
      </c>
      <c r="B235" s="15">
        <f>+GETPIVOTDATA("Grand Total FTE - Old",'FTE Pivot for regular counts'!$A$2,"State","TX","Category2","Four-Year")</f>
        <v>466920.67499999987</v>
      </c>
      <c r="D235" s="15">
        <f>+GETPIVOTDATA("Grand Total FTE - Old",'FTE Pivot for regular counts'!$A$2,"State","TX","Category2","Two-Year")</f>
        <v>517855.6755555555</v>
      </c>
      <c r="F235" s="39">
        <f>+GETPIVOTDATA("Grand Total FTE - Old",'FTE Pivot for regular counts'!$A$2,"State","TX","Category2","Technical")</f>
        <v>0</v>
      </c>
      <c r="G235" s="37"/>
      <c r="H235" s="122">
        <f t="shared" si="0"/>
        <v>984776.35055555543</v>
      </c>
      <c r="I235" s="25"/>
    </row>
    <row r="236" spans="1:13" ht="15" customHeight="1">
      <c r="A236" s="1" t="s">
        <v>78</v>
      </c>
      <c r="B236" s="15">
        <f>+GETPIVOTDATA("Grand Total FTE - Old",'FTE Pivot for regular counts'!$A$2,"State","VA","Category2","Four-Year")</f>
        <v>192551.3833333333</v>
      </c>
      <c r="D236" s="15">
        <f>+GETPIVOTDATA("Grand Total FTE - Old",'FTE Pivot for regular counts'!$A$2,"State","VA","Category2","Two-Year")</f>
        <v>130303.90000000001</v>
      </c>
      <c r="F236" s="39">
        <f>+GETPIVOTDATA("Grand Total FTE - Old",'FTE Pivot for regular counts'!$A$2,"State","VA","Category2","Technical")</f>
        <v>0</v>
      </c>
      <c r="G236" s="37"/>
      <c r="H236" s="122">
        <f t="shared" si="0"/>
        <v>322855.28333333333</v>
      </c>
      <c r="I236" s="25"/>
    </row>
    <row r="237" spans="1:13" ht="15" customHeight="1">
      <c r="A237" s="3" t="s">
        <v>79</v>
      </c>
      <c r="B237" s="6">
        <f>+GETPIVOTDATA("Grand Total FTE - Old",'FTE Pivot for regular counts'!$A$2,"State","WV","Category2","Four-Year")</f>
        <v>58566.64</v>
      </c>
      <c r="C237" s="3"/>
      <c r="D237" s="6">
        <f>+GETPIVOTDATA("Grand Total FTE - Old",'FTE Pivot for regular counts'!$A$2,"State","WV","Category2","Two-Year")</f>
        <v>19523.636666666665</v>
      </c>
      <c r="E237" s="3"/>
      <c r="F237" s="40">
        <f>+GETPIVOTDATA("Grand Total FTE - Old",'FTE Pivot for regular counts'!$A$2,"State","WV","Category2","Technical")</f>
        <v>0</v>
      </c>
      <c r="G237" s="38"/>
      <c r="H237" s="122">
        <f t="shared" si="0"/>
        <v>78090.276666666672</v>
      </c>
      <c r="I237" s="25"/>
    </row>
    <row r="238" spans="1:13" s="25" customFormat="1" ht="20.25" customHeight="1">
      <c r="A238" s="76"/>
      <c r="B238" s="16"/>
      <c r="C238" s="16"/>
      <c r="D238" s="16"/>
      <c r="E238" s="16"/>
      <c r="F238" s="16"/>
      <c r="G238" s="16"/>
      <c r="H238" s="109"/>
      <c r="I238" s="15"/>
      <c r="J238" s="103"/>
      <c r="K238" s="103"/>
      <c r="L238" s="103"/>
      <c r="M238" s="103"/>
    </row>
    <row r="239" spans="1:13" ht="71.25" customHeight="1">
      <c r="A239" s="846" t="s">
        <v>247</v>
      </c>
      <c r="B239" s="847"/>
      <c r="C239" s="847"/>
      <c r="D239" s="847"/>
      <c r="E239" s="847"/>
      <c r="F239" s="847"/>
      <c r="G239" s="847"/>
      <c r="H239" s="847"/>
      <c r="I239" s="25"/>
    </row>
    <row r="240" spans="1:13">
      <c r="H240" s="169"/>
    </row>
    <row r="255" spans="14:15">
      <c r="N255" s="25"/>
      <c r="O255" s="25"/>
    </row>
    <row r="256" spans="14:15">
      <c r="N256" s="25"/>
      <c r="O256" s="25"/>
    </row>
    <row r="257" spans="14:15">
      <c r="N257" s="25"/>
      <c r="O257" s="25"/>
    </row>
    <row r="258" spans="14:15">
      <c r="N258" s="25"/>
      <c r="O258" s="25"/>
    </row>
    <row r="259" spans="14:15">
      <c r="N259" s="25"/>
      <c r="O259" s="25"/>
    </row>
    <row r="260" spans="14:15">
      <c r="N260" s="25"/>
      <c r="O260" s="25"/>
    </row>
    <row r="261" spans="14:15">
      <c r="N261" s="25"/>
      <c r="O261" s="25"/>
    </row>
    <row r="262" spans="14:15">
      <c r="N262" s="25"/>
      <c r="O262" s="25"/>
    </row>
    <row r="263" spans="14:15">
      <c r="N263" s="25"/>
      <c r="O263" s="25"/>
    </row>
  </sheetData>
  <mergeCells count="15">
    <mergeCell ref="A95:J95"/>
    <mergeCell ref="B6:G6"/>
    <mergeCell ref="A30:O30"/>
    <mergeCell ref="A60:H60"/>
    <mergeCell ref="A91:H91"/>
    <mergeCell ref="A93:J93"/>
    <mergeCell ref="A181:K181"/>
    <mergeCell ref="A239:H239"/>
    <mergeCell ref="A96:J96"/>
    <mergeCell ref="A123:J123"/>
    <mergeCell ref="A125:J125"/>
    <mergeCell ref="A126:J126"/>
    <mergeCell ref="A211:G211"/>
    <mergeCell ref="A121:I121"/>
    <mergeCell ref="A151:I151"/>
  </mergeCells>
  <printOptions horizontalCentered="1"/>
  <pageMargins left="0.5" right="0.44" top="1" bottom="0.85" header="0.75" footer="0.5"/>
  <pageSetup scale="89" firstPageNumber="80" fitToHeight="7" orientation="landscape" useFirstPageNumber="1" r:id="rId1"/>
  <headerFooter alignWithMargins="0">
    <oddHeader>&amp;RSREB-State Data Exchange</oddHeader>
    <oddFooter>&amp;CC-&amp;P</oddFooter>
  </headerFooter>
  <rowBreaks count="6" manualBreakCount="6">
    <brk id="31" max="14" man="1"/>
    <brk id="62" max="14" man="1"/>
    <brk id="92" max="14" man="1"/>
    <brk id="122" max="14" man="1"/>
    <brk id="152" max="14" man="1"/>
    <brk id="182" max="14"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7"/>
  </sheetPr>
  <dimension ref="A1:AK220"/>
  <sheetViews>
    <sheetView zoomScale="90" zoomScaleNormal="90" workbookViewId="0">
      <pane xSplit="2" ySplit="4" topLeftCell="C5" activePane="bottomRight" state="frozen"/>
      <selection pane="topRight" activeCell="C1" sqref="C1"/>
      <selection pane="bottomLeft" activeCell="A5" sqref="A5"/>
      <selection pane="bottomRight"/>
    </sheetView>
  </sheetViews>
  <sheetFormatPr defaultRowHeight="12.75"/>
  <cols>
    <col min="1" max="1" width="7.5" style="361" customWidth="1"/>
    <col min="2" max="2" width="44.1640625" style="214" customWidth="1"/>
    <col min="3" max="8" width="15" style="214" customWidth="1"/>
    <col min="9" max="9" width="16.83203125" style="214" customWidth="1"/>
    <col min="10" max="13" width="13.6640625" style="214" customWidth="1"/>
    <col min="14" max="14" width="16.33203125" style="214" customWidth="1"/>
    <col min="15" max="16" width="13.83203125" style="214" hidden="1" customWidth="1"/>
    <col min="17" max="17" width="11" style="214" customWidth="1"/>
    <col min="18" max="18" width="10.6640625" style="214" customWidth="1"/>
    <col min="19" max="19" width="11.33203125" style="214" customWidth="1"/>
    <col min="20" max="20" width="10" style="214" customWidth="1"/>
    <col min="21" max="21" width="11.33203125" style="214" customWidth="1"/>
    <col min="22" max="22" width="11.1640625" style="214" customWidth="1"/>
    <col min="23" max="23" width="11.33203125" style="214" customWidth="1"/>
    <col min="24" max="24" width="10.1640625" style="214" customWidth="1"/>
    <col min="25" max="25" width="11.33203125" style="214" customWidth="1"/>
    <col min="26" max="26" width="9.6640625" style="214" customWidth="1"/>
    <col min="27" max="27" width="10.1640625" style="214" customWidth="1"/>
    <col min="28" max="31" width="2.1640625" style="214" customWidth="1"/>
    <col min="32" max="32" width="23.5" style="214" customWidth="1"/>
    <col min="33" max="33" width="12.6640625" style="214" customWidth="1"/>
    <col min="34" max="34" width="16" style="214" customWidth="1"/>
    <col min="35" max="35" width="16.5" style="214" customWidth="1"/>
    <col min="36" max="36" width="14.6640625" style="214" customWidth="1"/>
    <col min="37" max="37" width="14" style="214" customWidth="1"/>
    <col min="38" max="16384" width="9.33203125" style="214"/>
  </cols>
  <sheetData>
    <row r="1" spans="1:31" s="73" customFormat="1">
      <c r="A1" s="84"/>
      <c r="B1" s="83"/>
      <c r="C1" s="4"/>
      <c r="D1" s="4"/>
      <c r="E1" s="4" t="s">
        <v>28</v>
      </c>
      <c r="F1" s="4"/>
      <c r="G1" s="4"/>
      <c r="H1" s="4"/>
      <c r="I1" s="4"/>
      <c r="J1" s="4"/>
      <c r="K1" s="4"/>
      <c r="L1" s="4"/>
      <c r="M1" s="82"/>
      <c r="N1" s="4"/>
      <c r="T1" s="248" t="s">
        <v>37</v>
      </c>
      <c r="U1" s="248"/>
      <c r="V1" s="248"/>
      <c r="W1" s="248"/>
      <c r="X1" s="248"/>
      <c r="Y1" s="248"/>
      <c r="Z1" s="248"/>
      <c r="AA1" s="248"/>
    </row>
    <row r="2" spans="1:31">
      <c r="A2" s="335"/>
      <c r="B2" s="336"/>
      <c r="C2" s="337" t="s">
        <v>42</v>
      </c>
      <c r="D2" s="338" t="s">
        <v>104</v>
      </c>
      <c r="E2" s="338"/>
      <c r="F2" s="338"/>
      <c r="G2" s="338"/>
      <c r="H2" s="338"/>
      <c r="I2" s="338"/>
      <c r="J2" s="343"/>
      <c r="K2" s="338"/>
      <c r="L2" s="338"/>
      <c r="M2" s="339"/>
      <c r="N2" s="341"/>
      <c r="O2" s="343"/>
      <c r="P2" s="338"/>
      <c r="Q2" s="338"/>
      <c r="R2" s="338"/>
      <c r="S2" s="338"/>
      <c r="T2" s="350"/>
      <c r="U2" s="350"/>
      <c r="V2" s="350"/>
      <c r="W2" s="350"/>
      <c r="X2" s="350"/>
      <c r="Y2" s="350"/>
      <c r="Z2" s="350"/>
      <c r="AA2" s="352"/>
      <c r="AB2" s="444"/>
      <c r="AC2" s="444"/>
      <c r="AD2" s="444"/>
      <c r="AE2" s="334"/>
    </row>
    <row r="3" spans="1:31" s="73" customFormat="1">
      <c r="A3" s="335"/>
      <c r="B3" s="336"/>
      <c r="C3" s="337" t="s">
        <v>62</v>
      </c>
      <c r="D3" s="338"/>
      <c r="E3" s="338"/>
      <c r="F3" s="338"/>
      <c r="G3" s="338"/>
      <c r="H3" s="338"/>
      <c r="I3" s="348" t="s">
        <v>275</v>
      </c>
      <c r="J3" s="337" t="s">
        <v>276</v>
      </c>
      <c r="K3" s="338"/>
      <c r="L3" s="338"/>
      <c r="M3" s="338"/>
      <c r="N3" s="348" t="s">
        <v>277</v>
      </c>
      <c r="O3" s="337" t="s">
        <v>738</v>
      </c>
      <c r="P3" s="338" t="s">
        <v>739</v>
      </c>
      <c r="Q3" s="348" t="s">
        <v>24</v>
      </c>
      <c r="R3" s="337"/>
      <c r="S3" s="337" t="s">
        <v>23</v>
      </c>
      <c r="T3" s="349">
        <v>99</v>
      </c>
      <c r="U3" s="349" t="s">
        <v>740</v>
      </c>
      <c r="V3" s="349" t="s">
        <v>644</v>
      </c>
      <c r="W3" s="349" t="s">
        <v>741</v>
      </c>
      <c r="X3" s="349" t="s">
        <v>646</v>
      </c>
      <c r="Y3" s="349" t="s">
        <v>742</v>
      </c>
      <c r="Z3" s="349" t="s">
        <v>145</v>
      </c>
      <c r="AA3" s="353" t="s">
        <v>743</v>
      </c>
      <c r="AB3" s="444"/>
      <c r="AC3" s="444"/>
      <c r="AD3" s="444"/>
      <c r="AE3" s="334"/>
    </row>
    <row r="4" spans="1:31">
      <c r="A4" s="335" t="s">
        <v>105</v>
      </c>
      <c r="B4" s="340" t="s">
        <v>58</v>
      </c>
      <c r="C4" s="344">
        <v>1</v>
      </c>
      <c r="D4" s="345">
        <v>2</v>
      </c>
      <c r="E4" s="345">
        <v>3</v>
      </c>
      <c r="F4" s="345">
        <v>4</v>
      </c>
      <c r="G4" s="345">
        <v>5</v>
      </c>
      <c r="H4" s="345">
        <v>6</v>
      </c>
      <c r="I4" s="249"/>
      <c r="J4" s="346" t="s">
        <v>418</v>
      </c>
      <c r="K4" s="347" t="s">
        <v>278</v>
      </c>
      <c r="L4" s="347" t="s">
        <v>279</v>
      </c>
      <c r="M4" s="347" t="s">
        <v>280</v>
      </c>
      <c r="N4" s="249"/>
      <c r="O4" s="346" t="s">
        <v>738</v>
      </c>
      <c r="P4" s="347"/>
      <c r="Q4" s="249" t="s">
        <v>25</v>
      </c>
      <c r="R4" s="337" t="s">
        <v>324</v>
      </c>
      <c r="S4" s="443"/>
      <c r="T4" s="349">
        <v>99</v>
      </c>
      <c r="U4" s="251"/>
      <c r="V4" s="351" t="s">
        <v>644</v>
      </c>
      <c r="W4" s="250"/>
      <c r="X4" s="351" t="s">
        <v>646</v>
      </c>
      <c r="Y4" s="250"/>
      <c r="Z4" s="349" t="s">
        <v>145</v>
      </c>
      <c r="AA4" s="252"/>
      <c r="AB4" s="444"/>
      <c r="AC4" s="444"/>
      <c r="AD4" s="444"/>
      <c r="AE4" s="334"/>
    </row>
    <row r="5" spans="1:31">
      <c r="A5" s="342" t="s">
        <v>281</v>
      </c>
      <c r="B5" s="340" t="s">
        <v>86</v>
      </c>
      <c r="C5" s="337">
        <v>44118.633333333331</v>
      </c>
      <c r="D5" s="341">
        <v>14015.5</v>
      </c>
      <c r="E5" s="341">
        <v>33670.666666666664</v>
      </c>
      <c r="F5" s="341">
        <v>14408.033333333333</v>
      </c>
      <c r="G5" s="341">
        <v>4158.5333333333338</v>
      </c>
      <c r="H5" s="341">
        <v>2856.7333333333331</v>
      </c>
      <c r="I5" s="337">
        <v>113228.09999999999</v>
      </c>
      <c r="J5" s="337"/>
      <c r="K5" s="341">
        <v>26710.799999999999</v>
      </c>
      <c r="L5" s="341">
        <v>38344.900000000009</v>
      </c>
      <c r="M5" s="341">
        <v>9439</v>
      </c>
      <c r="N5" s="337">
        <v>74494.700000000012</v>
      </c>
      <c r="O5" s="337"/>
      <c r="P5" s="341"/>
      <c r="Q5" s="337">
        <v>1650.0666666666666</v>
      </c>
      <c r="R5" s="337">
        <v>2468.5</v>
      </c>
      <c r="S5" s="337">
        <v>4118.5666666666666</v>
      </c>
      <c r="T5" s="349"/>
      <c r="U5" s="349"/>
      <c r="V5" s="349"/>
      <c r="W5" s="349"/>
      <c r="X5" s="349"/>
      <c r="Y5" s="349"/>
      <c r="Z5" s="349"/>
      <c r="AA5" s="357"/>
      <c r="AB5" s="444"/>
      <c r="AC5" s="444"/>
      <c r="AD5" s="444"/>
      <c r="AE5" s="334"/>
    </row>
    <row r="6" spans="1:31">
      <c r="A6" s="241"/>
      <c r="B6" s="242" t="s">
        <v>84</v>
      </c>
      <c r="C6" s="243">
        <v>45791.933333333334</v>
      </c>
      <c r="D6" s="244">
        <v>14068.133333333335</v>
      </c>
      <c r="E6" s="244">
        <v>29641.199999999997</v>
      </c>
      <c r="F6" s="244">
        <v>14067.433333333332</v>
      </c>
      <c r="G6" s="244">
        <v>4191.3999999999996</v>
      </c>
      <c r="H6" s="244">
        <v>2786.2</v>
      </c>
      <c r="I6" s="243">
        <v>110546.29999999999</v>
      </c>
      <c r="J6" s="243"/>
      <c r="K6" s="244">
        <v>24454.633333333335</v>
      </c>
      <c r="L6" s="244">
        <v>34235.100000000006</v>
      </c>
      <c r="M6" s="244">
        <v>8541.4333333333343</v>
      </c>
      <c r="N6" s="243">
        <v>67231.166666666672</v>
      </c>
      <c r="O6" s="243"/>
      <c r="P6" s="244"/>
      <c r="Q6" s="243">
        <v>1349.2666666666667</v>
      </c>
      <c r="R6" s="243">
        <v>2102.1333333333332</v>
      </c>
      <c r="S6" s="243">
        <v>3451.3999999999996</v>
      </c>
      <c r="T6" s="312"/>
      <c r="U6" s="312"/>
      <c r="V6" s="312"/>
      <c r="W6" s="312"/>
      <c r="X6" s="312"/>
      <c r="Y6" s="312"/>
      <c r="Z6" s="312"/>
      <c r="AA6" s="358"/>
      <c r="AB6" s="444"/>
      <c r="AC6" s="444"/>
      <c r="AD6" s="444"/>
      <c r="AE6" s="334"/>
    </row>
    <row r="7" spans="1:31" s="73" customFormat="1">
      <c r="A7" s="241"/>
      <c r="B7" s="245" t="s">
        <v>98</v>
      </c>
      <c r="C7" s="733">
        <v>3.7927285447796499E-2</v>
      </c>
      <c r="D7" s="254">
        <v>3.7553660827894138E-3</v>
      </c>
      <c r="E7" s="734">
        <v>-0.11967291014928921</v>
      </c>
      <c r="F7" s="254">
        <v>-2.3639589950976449E-2</v>
      </c>
      <c r="G7" s="254">
        <v>7.9034274904611901E-3</v>
      </c>
      <c r="H7" s="254">
        <v>-2.4690205596135436E-2</v>
      </c>
      <c r="I7" s="253">
        <v>-2.3684933333686629E-2</v>
      </c>
      <c r="J7" s="253">
        <v>0</v>
      </c>
      <c r="K7" s="734">
        <v>-8.446645801199007E-2</v>
      </c>
      <c r="L7" s="734">
        <v>-0.10717983356326401</v>
      </c>
      <c r="M7" s="734">
        <v>-9.5091287918917855E-2</v>
      </c>
      <c r="N7" s="253">
        <v>-9.7504028250779431E-2</v>
      </c>
      <c r="O7" s="356">
        <v>0</v>
      </c>
      <c r="P7" s="254">
        <v>0</v>
      </c>
      <c r="Q7" s="733">
        <v>-0.18229566482162335</v>
      </c>
      <c r="R7" s="733">
        <v>-0.14841671730470601</v>
      </c>
      <c r="S7" s="253">
        <v>-0.16199001270668606</v>
      </c>
      <c r="T7" s="313">
        <v>0</v>
      </c>
      <c r="U7" s="313">
        <v>0</v>
      </c>
      <c r="V7" s="313">
        <v>0</v>
      </c>
      <c r="W7" s="313">
        <v>0</v>
      </c>
      <c r="X7" s="313">
        <v>0</v>
      </c>
      <c r="Y7" s="313">
        <v>0</v>
      </c>
      <c r="Z7" s="313">
        <v>0</v>
      </c>
      <c r="AA7" s="359">
        <v>0</v>
      </c>
      <c r="AB7" s="445"/>
      <c r="AC7" s="445"/>
      <c r="AD7" s="445"/>
      <c r="AE7" s="334"/>
    </row>
    <row r="8" spans="1:31" s="73" customFormat="1">
      <c r="A8" s="241"/>
      <c r="B8" s="242" t="s">
        <v>82</v>
      </c>
      <c r="C8" s="243">
        <v>0</v>
      </c>
      <c r="D8" s="244">
        <v>0</v>
      </c>
      <c r="E8" s="244">
        <v>0</v>
      </c>
      <c r="F8" s="244">
        <v>0</v>
      </c>
      <c r="G8" s="244">
        <v>0</v>
      </c>
      <c r="H8" s="244">
        <v>0</v>
      </c>
      <c r="I8" s="243">
        <v>0</v>
      </c>
      <c r="J8" s="243"/>
      <c r="K8" s="244">
        <v>0</v>
      </c>
      <c r="L8" s="244">
        <v>0</v>
      </c>
      <c r="M8" s="244">
        <v>0</v>
      </c>
      <c r="N8" s="243">
        <v>0</v>
      </c>
      <c r="O8" s="314"/>
      <c r="P8" s="244"/>
      <c r="Q8" s="243">
        <v>0</v>
      </c>
      <c r="R8" s="243">
        <v>0</v>
      </c>
      <c r="S8" s="243">
        <v>0</v>
      </c>
      <c r="T8" s="312"/>
      <c r="U8" s="312"/>
      <c r="V8" s="312"/>
      <c r="W8" s="312"/>
      <c r="X8" s="312"/>
      <c r="Y8" s="312"/>
      <c r="Z8" s="312"/>
      <c r="AA8" s="360"/>
      <c r="AB8" s="444"/>
      <c r="AC8" s="444"/>
      <c r="AD8" s="444"/>
      <c r="AE8" s="334"/>
    </row>
    <row r="9" spans="1:31" s="73" customFormat="1">
      <c r="A9" s="241"/>
      <c r="B9" s="242" t="s">
        <v>80</v>
      </c>
      <c r="C9" s="243">
        <v>0</v>
      </c>
      <c r="D9" s="244">
        <v>0</v>
      </c>
      <c r="E9" s="244">
        <v>0</v>
      </c>
      <c r="F9" s="244">
        <v>0</v>
      </c>
      <c r="G9" s="244">
        <v>0</v>
      </c>
      <c r="H9" s="244">
        <v>0</v>
      </c>
      <c r="I9" s="243">
        <v>0</v>
      </c>
      <c r="J9" s="243"/>
      <c r="K9" s="244">
        <v>0</v>
      </c>
      <c r="L9" s="244">
        <v>0</v>
      </c>
      <c r="M9" s="244">
        <v>0</v>
      </c>
      <c r="N9" s="243">
        <v>0</v>
      </c>
      <c r="O9" s="314"/>
      <c r="P9" s="244"/>
      <c r="Q9" s="243">
        <v>0</v>
      </c>
      <c r="R9" s="243">
        <v>0</v>
      </c>
      <c r="S9" s="243">
        <v>0</v>
      </c>
      <c r="T9" s="312"/>
      <c r="U9" s="312"/>
      <c r="V9" s="312"/>
      <c r="W9" s="312"/>
      <c r="X9" s="312"/>
      <c r="Y9" s="312"/>
      <c r="Z9" s="312"/>
      <c r="AA9" s="360"/>
      <c r="AB9" s="444"/>
      <c r="AC9" s="444"/>
      <c r="AD9" s="444"/>
      <c r="AE9" s="334"/>
    </row>
    <row r="10" spans="1:31" s="73" customFormat="1">
      <c r="A10" s="241"/>
      <c r="B10" s="245" t="s">
        <v>100</v>
      </c>
      <c r="C10" s="253">
        <v>0</v>
      </c>
      <c r="D10" s="254">
        <v>0</v>
      </c>
      <c r="E10" s="254">
        <v>0</v>
      </c>
      <c r="F10" s="254">
        <v>0</v>
      </c>
      <c r="G10" s="254">
        <v>0</v>
      </c>
      <c r="H10" s="254">
        <v>0</v>
      </c>
      <c r="I10" s="253">
        <v>0</v>
      </c>
      <c r="J10" s="253">
        <v>0</v>
      </c>
      <c r="K10" s="254">
        <v>0</v>
      </c>
      <c r="L10" s="254">
        <v>0</v>
      </c>
      <c r="M10" s="254">
        <v>0</v>
      </c>
      <c r="N10" s="253">
        <v>0</v>
      </c>
      <c r="O10" s="356">
        <v>0</v>
      </c>
      <c r="P10" s="254">
        <v>0</v>
      </c>
      <c r="Q10" s="253">
        <v>0</v>
      </c>
      <c r="R10" s="253">
        <v>0</v>
      </c>
      <c r="S10" s="253">
        <v>0</v>
      </c>
      <c r="T10" s="313">
        <v>0</v>
      </c>
      <c r="U10" s="313">
        <v>0</v>
      </c>
      <c r="V10" s="313">
        <v>0</v>
      </c>
      <c r="W10" s="313">
        <v>0</v>
      </c>
      <c r="X10" s="313">
        <v>0</v>
      </c>
      <c r="Y10" s="313">
        <v>0</v>
      </c>
      <c r="Z10" s="313">
        <v>0</v>
      </c>
      <c r="AA10" s="359">
        <v>0</v>
      </c>
      <c r="AB10" s="445"/>
      <c r="AC10" s="445"/>
      <c r="AD10" s="445"/>
      <c r="AE10" s="334"/>
    </row>
    <row r="11" spans="1:31" s="73" customFormat="1">
      <c r="A11" s="241"/>
      <c r="B11" s="242" t="s">
        <v>88</v>
      </c>
      <c r="C11" s="243">
        <v>8086.5833333333339</v>
      </c>
      <c r="D11" s="244">
        <v>2905</v>
      </c>
      <c r="E11" s="244">
        <v>4566.125</v>
      </c>
      <c r="F11" s="244">
        <v>1884.3333333333333</v>
      </c>
      <c r="G11" s="244">
        <v>2428.541666666667</v>
      </c>
      <c r="H11" s="244">
        <v>0</v>
      </c>
      <c r="I11" s="243">
        <v>19870.583333333336</v>
      </c>
      <c r="J11" s="243"/>
      <c r="K11" s="244">
        <v>0</v>
      </c>
      <c r="L11" s="244">
        <v>0</v>
      </c>
      <c r="M11" s="244">
        <v>0</v>
      </c>
      <c r="N11" s="243">
        <v>0</v>
      </c>
      <c r="O11" s="314"/>
      <c r="P11" s="244"/>
      <c r="Q11" s="243">
        <v>0</v>
      </c>
      <c r="R11" s="243">
        <v>0</v>
      </c>
      <c r="S11" s="243">
        <v>0</v>
      </c>
      <c r="T11" s="312"/>
      <c r="U11" s="312"/>
      <c r="V11" s="312"/>
      <c r="W11" s="312"/>
      <c r="X11" s="312"/>
      <c r="Y11" s="312"/>
      <c r="Z11" s="312"/>
      <c r="AA11" s="360"/>
      <c r="AB11" s="444"/>
      <c r="AC11" s="444"/>
      <c r="AD11" s="444"/>
      <c r="AE11" s="334"/>
    </row>
    <row r="12" spans="1:31" s="73" customFormat="1">
      <c r="A12" s="241"/>
      <c r="B12" s="242" t="s">
        <v>90</v>
      </c>
      <c r="C12" s="243">
        <v>8757.0416666666661</v>
      </c>
      <c r="D12" s="244">
        <v>2932.5</v>
      </c>
      <c r="E12" s="244">
        <v>3607.875</v>
      </c>
      <c r="F12" s="244">
        <v>1764.375</v>
      </c>
      <c r="G12" s="244">
        <v>2235.4166666666665</v>
      </c>
      <c r="H12" s="244">
        <v>0</v>
      </c>
      <c r="I12" s="243">
        <v>19297.208333333332</v>
      </c>
      <c r="J12" s="243"/>
      <c r="K12" s="244">
        <v>0</v>
      </c>
      <c r="L12" s="244">
        <v>0</v>
      </c>
      <c r="M12" s="244">
        <v>0</v>
      </c>
      <c r="N12" s="243">
        <v>0</v>
      </c>
      <c r="O12" s="314"/>
      <c r="P12" s="244"/>
      <c r="Q12" s="243">
        <v>0</v>
      </c>
      <c r="R12" s="243">
        <v>0</v>
      </c>
      <c r="S12" s="243">
        <v>0</v>
      </c>
      <c r="T12" s="312"/>
      <c r="U12" s="312"/>
      <c r="V12" s="312"/>
      <c r="W12" s="312"/>
      <c r="X12" s="312"/>
      <c r="Y12" s="312"/>
      <c r="Z12" s="312"/>
      <c r="AA12" s="360"/>
      <c r="AB12" s="444"/>
      <c r="AC12" s="444"/>
      <c r="AD12" s="444"/>
      <c r="AE12" s="334"/>
    </row>
    <row r="13" spans="1:31" s="73" customFormat="1">
      <c r="A13" s="241"/>
      <c r="B13" s="245" t="s">
        <v>92</v>
      </c>
      <c r="C13" s="733">
        <v>8.2909964035078526E-2</v>
      </c>
      <c r="D13" s="254">
        <v>9.4664371772805508E-3</v>
      </c>
      <c r="E13" s="734">
        <v>-0.20986065865476744</v>
      </c>
      <c r="F13" s="254">
        <v>-6.3660888024057991E-2</v>
      </c>
      <c r="G13" s="254">
        <v>-7.9523033370507173E-2</v>
      </c>
      <c r="H13" s="254">
        <v>0</v>
      </c>
      <c r="I13" s="253">
        <v>-2.8855468930202337E-2</v>
      </c>
      <c r="J13" s="253">
        <v>0</v>
      </c>
      <c r="K13" s="254">
        <v>0</v>
      </c>
      <c r="L13" s="254">
        <v>0</v>
      </c>
      <c r="M13" s="254">
        <v>0</v>
      </c>
      <c r="N13" s="253">
        <v>0</v>
      </c>
      <c r="O13" s="356">
        <v>0</v>
      </c>
      <c r="P13" s="254">
        <v>0</v>
      </c>
      <c r="Q13" s="253">
        <v>0</v>
      </c>
      <c r="R13" s="253">
        <v>0</v>
      </c>
      <c r="S13" s="253">
        <v>0</v>
      </c>
      <c r="T13" s="313">
        <v>0</v>
      </c>
      <c r="U13" s="313">
        <v>0</v>
      </c>
      <c r="V13" s="313">
        <v>0</v>
      </c>
      <c r="W13" s="313">
        <v>0</v>
      </c>
      <c r="X13" s="313">
        <v>0</v>
      </c>
      <c r="Y13" s="313">
        <v>0</v>
      </c>
      <c r="Z13" s="313">
        <v>0</v>
      </c>
      <c r="AA13" s="359">
        <v>0</v>
      </c>
      <c r="AB13" s="445"/>
      <c r="AC13" s="445"/>
      <c r="AD13" s="445"/>
      <c r="AE13" s="334"/>
    </row>
    <row r="14" spans="1:31" s="73" customFormat="1">
      <c r="A14" s="241"/>
      <c r="B14" s="242" t="s">
        <v>8</v>
      </c>
      <c r="C14" s="243">
        <v>52205.216666666674</v>
      </c>
      <c r="D14" s="244">
        <v>16920.5</v>
      </c>
      <c r="E14" s="244">
        <v>38236.791666666672</v>
      </c>
      <c r="F14" s="244">
        <v>16292.366666666667</v>
      </c>
      <c r="G14" s="244">
        <v>6587.0750000000007</v>
      </c>
      <c r="H14" s="244">
        <v>2856.7333333333331</v>
      </c>
      <c r="I14" s="243">
        <v>133098.68333333335</v>
      </c>
      <c r="J14" s="243"/>
      <c r="K14" s="244">
        <v>26710.799999999999</v>
      </c>
      <c r="L14" s="244">
        <v>38344.900000000009</v>
      </c>
      <c r="M14" s="244">
        <v>9439</v>
      </c>
      <c r="N14" s="243">
        <v>74494.700000000012</v>
      </c>
      <c r="O14" s="314"/>
      <c r="P14" s="244"/>
      <c r="Q14" s="243">
        <v>1650.0666666666666</v>
      </c>
      <c r="R14" s="243">
        <v>2468.5</v>
      </c>
      <c r="S14" s="243">
        <v>4118.5666666666666</v>
      </c>
      <c r="T14" s="312"/>
      <c r="U14" s="312"/>
      <c r="V14" s="312"/>
      <c r="W14" s="312"/>
      <c r="X14" s="312"/>
      <c r="Y14" s="312"/>
      <c r="Z14" s="312"/>
      <c r="AA14" s="360"/>
      <c r="AB14" s="444"/>
      <c r="AC14" s="444"/>
      <c r="AD14" s="444"/>
      <c r="AE14" s="334"/>
    </row>
    <row r="15" spans="1:31" s="73" customFormat="1">
      <c r="A15" s="241"/>
      <c r="B15" s="242" t="s">
        <v>94</v>
      </c>
      <c r="C15" s="243">
        <v>54548.974999999999</v>
      </c>
      <c r="D15" s="244">
        <v>17000.633333333331</v>
      </c>
      <c r="E15" s="244">
        <v>33249.074999999997</v>
      </c>
      <c r="F15" s="244">
        <v>15831.808333333334</v>
      </c>
      <c r="G15" s="244">
        <v>6426.8166666666657</v>
      </c>
      <c r="H15" s="244">
        <v>2786.2</v>
      </c>
      <c r="I15" s="243">
        <v>129843.50833333333</v>
      </c>
      <c r="J15" s="243"/>
      <c r="K15" s="244">
        <v>24454.633333333335</v>
      </c>
      <c r="L15" s="244">
        <v>34235.100000000006</v>
      </c>
      <c r="M15" s="244">
        <v>8541.4333333333343</v>
      </c>
      <c r="N15" s="243">
        <v>67231.166666666672</v>
      </c>
      <c r="O15" s="314"/>
      <c r="P15" s="244"/>
      <c r="Q15" s="243">
        <v>1349.2666666666667</v>
      </c>
      <c r="R15" s="243">
        <v>2102.1333333333332</v>
      </c>
      <c r="S15" s="243">
        <v>3451.3999999999996</v>
      </c>
      <c r="T15" s="312"/>
      <c r="U15" s="312"/>
      <c r="V15" s="312"/>
      <c r="W15" s="312"/>
      <c r="X15" s="312"/>
      <c r="Y15" s="312"/>
      <c r="Z15" s="312"/>
      <c r="AA15" s="360"/>
      <c r="AB15" s="444"/>
      <c r="AC15" s="444"/>
      <c r="AD15" s="444"/>
      <c r="AE15" s="334"/>
    </row>
    <row r="16" spans="1:31" s="73" customFormat="1">
      <c r="A16" s="246"/>
      <c r="B16" s="311" t="s">
        <v>96</v>
      </c>
      <c r="C16" s="253">
        <v>4.4895098286792993E-2</v>
      </c>
      <c r="D16" s="254">
        <v>4.7358726593972628E-3</v>
      </c>
      <c r="E16" s="254">
        <v>-0.13044286534674845</v>
      </c>
      <c r="F16" s="254">
        <v>-2.8268350618183107E-2</v>
      </c>
      <c r="G16" s="254">
        <v>-2.4329210360187946E-2</v>
      </c>
      <c r="H16" s="254">
        <v>-2.4690205596135436E-2</v>
      </c>
      <c r="I16" s="253">
        <v>-2.4456853505062239E-2</v>
      </c>
      <c r="J16" s="253">
        <v>0</v>
      </c>
      <c r="K16" s="254">
        <v>-8.446645801199007E-2</v>
      </c>
      <c r="L16" s="254">
        <v>-0.10717983356326401</v>
      </c>
      <c r="M16" s="254">
        <v>-9.5091287918917855E-2</v>
      </c>
      <c r="N16" s="253">
        <v>-9.7504028250779431E-2</v>
      </c>
      <c r="O16" s="356">
        <v>0</v>
      </c>
      <c r="P16" s="254">
        <v>0</v>
      </c>
      <c r="Q16" s="253">
        <v>-0.18229566482162335</v>
      </c>
      <c r="R16" s="253">
        <v>-0.14841671730470601</v>
      </c>
      <c r="S16" s="253">
        <v>-0.16199001270668606</v>
      </c>
      <c r="T16" s="313">
        <v>0</v>
      </c>
      <c r="U16" s="313">
        <v>0</v>
      </c>
      <c r="V16" s="313">
        <v>0</v>
      </c>
      <c r="W16" s="313">
        <v>0</v>
      </c>
      <c r="X16" s="313">
        <v>0</v>
      </c>
      <c r="Y16" s="313">
        <v>0</v>
      </c>
      <c r="Z16" s="313">
        <v>0</v>
      </c>
      <c r="AA16" s="359">
        <v>0</v>
      </c>
      <c r="AB16" s="445"/>
      <c r="AC16" s="445"/>
      <c r="AD16" s="445"/>
      <c r="AE16" s="334"/>
    </row>
    <row r="17" spans="1:31" s="73" customFormat="1">
      <c r="A17" s="342" t="s">
        <v>704</v>
      </c>
      <c r="B17" s="340" t="s">
        <v>86</v>
      </c>
      <c r="C17" s="337">
        <v>17529.766666666666</v>
      </c>
      <c r="D17" s="341"/>
      <c r="E17" s="341">
        <v>33366.033333333333</v>
      </c>
      <c r="F17" s="341">
        <v>6052.9</v>
      </c>
      <c r="G17" s="341">
        <v>2400.0666666666666</v>
      </c>
      <c r="H17" s="341">
        <v>9128.3333333333321</v>
      </c>
      <c r="I17" s="337">
        <v>68477.100000000006</v>
      </c>
      <c r="J17" s="337"/>
      <c r="K17" s="341">
        <v>14508.2</v>
      </c>
      <c r="L17" s="341">
        <v>6390.6666666666661</v>
      </c>
      <c r="M17" s="341">
        <v>23666.500000000007</v>
      </c>
      <c r="N17" s="337">
        <v>44565.366666666676</v>
      </c>
      <c r="O17" s="337"/>
      <c r="P17" s="341"/>
      <c r="Q17" s="337"/>
      <c r="R17" s="337"/>
      <c r="S17" s="337"/>
      <c r="T17" s="349"/>
      <c r="U17" s="349"/>
      <c r="V17" s="349"/>
      <c r="W17" s="349"/>
      <c r="X17" s="349"/>
      <c r="Y17" s="349"/>
      <c r="Z17" s="349"/>
      <c r="AA17" s="357"/>
      <c r="AB17" s="444"/>
      <c r="AC17" s="444"/>
      <c r="AD17" s="444"/>
      <c r="AE17" s="334"/>
    </row>
    <row r="18" spans="1:31" s="73" customFormat="1">
      <c r="A18" s="241"/>
      <c r="B18" s="242" t="s">
        <v>84</v>
      </c>
      <c r="C18" s="243">
        <v>18987.8</v>
      </c>
      <c r="D18" s="244"/>
      <c r="E18" s="244">
        <v>33296.966666666667</v>
      </c>
      <c r="F18" s="244">
        <v>5912.333333333333</v>
      </c>
      <c r="G18" s="244">
        <v>2353.4666666666667</v>
      </c>
      <c r="H18" s="244">
        <v>8620.7999999999993</v>
      </c>
      <c r="I18" s="243">
        <v>69171.366666666669</v>
      </c>
      <c r="J18" s="243"/>
      <c r="K18" s="244">
        <v>14212.666666666666</v>
      </c>
      <c r="L18" s="244">
        <v>5943.9</v>
      </c>
      <c r="M18" s="244">
        <v>22035.666666666668</v>
      </c>
      <c r="N18" s="243">
        <v>42192.233333333337</v>
      </c>
      <c r="O18" s="243"/>
      <c r="P18" s="244"/>
      <c r="Q18" s="243"/>
      <c r="R18" s="243"/>
      <c r="S18" s="243"/>
      <c r="T18" s="312"/>
      <c r="U18" s="312"/>
      <c r="V18" s="312"/>
      <c r="W18" s="312"/>
      <c r="X18" s="312"/>
      <c r="Y18" s="312"/>
      <c r="Z18" s="312"/>
      <c r="AA18" s="358"/>
      <c r="AB18" s="444"/>
      <c r="AC18" s="444"/>
      <c r="AD18" s="444"/>
      <c r="AE18" s="334"/>
    </row>
    <row r="19" spans="1:31" s="73" customFormat="1">
      <c r="A19" s="241"/>
      <c r="B19" s="245" t="s">
        <v>98</v>
      </c>
      <c r="C19" s="733">
        <v>8.3174714247955361E-2</v>
      </c>
      <c r="D19" s="254">
        <v>0</v>
      </c>
      <c r="E19" s="254">
        <v>-2.0699693600577541E-3</v>
      </c>
      <c r="F19" s="254">
        <v>-2.3223028080203972E-2</v>
      </c>
      <c r="G19" s="254">
        <v>-1.9416127329796359E-2</v>
      </c>
      <c r="H19" s="734">
        <v>-5.5599780901953576E-2</v>
      </c>
      <c r="I19" s="253">
        <v>1.0138669229080206E-2</v>
      </c>
      <c r="J19" s="253">
        <v>0</v>
      </c>
      <c r="K19" s="254">
        <v>-2.037008955854859E-2</v>
      </c>
      <c r="L19" s="734">
        <v>-6.9909242645524686E-2</v>
      </c>
      <c r="M19" s="734">
        <v>-6.8908935978422625E-2</v>
      </c>
      <c r="N19" s="253">
        <v>-5.3250618380042629E-2</v>
      </c>
      <c r="O19" s="356">
        <v>0</v>
      </c>
      <c r="P19" s="254">
        <v>0</v>
      </c>
      <c r="Q19" s="253">
        <v>0</v>
      </c>
      <c r="R19" s="253">
        <v>0</v>
      </c>
      <c r="S19" s="253">
        <v>0</v>
      </c>
      <c r="T19" s="313">
        <v>0</v>
      </c>
      <c r="U19" s="313">
        <v>0</v>
      </c>
      <c r="V19" s="313">
        <v>0</v>
      </c>
      <c r="W19" s="313">
        <v>0</v>
      </c>
      <c r="X19" s="313">
        <v>0</v>
      </c>
      <c r="Y19" s="313">
        <v>0</v>
      </c>
      <c r="Z19" s="313">
        <v>0</v>
      </c>
      <c r="AA19" s="359">
        <v>0</v>
      </c>
      <c r="AB19" s="445"/>
      <c r="AC19" s="445"/>
      <c r="AD19" s="445"/>
      <c r="AE19" s="334"/>
    </row>
    <row r="20" spans="1:31" s="73" customFormat="1">
      <c r="A20" s="241"/>
      <c r="B20" s="242" t="s">
        <v>82</v>
      </c>
      <c r="C20" s="243">
        <v>0</v>
      </c>
      <c r="D20" s="244"/>
      <c r="E20" s="244">
        <v>0</v>
      </c>
      <c r="F20" s="244">
        <v>0</v>
      </c>
      <c r="G20" s="244">
        <v>0</v>
      </c>
      <c r="H20" s="244">
        <v>0</v>
      </c>
      <c r="I20" s="243">
        <v>0</v>
      </c>
      <c r="J20" s="243"/>
      <c r="K20" s="244">
        <v>0</v>
      </c>
      <c r="L20" s="244">
        <v>0</v>
      </c>
      <c r="M20" s="244">
        <v>0</v>
      </c>
      <c r="N20" s="243">
        <v>0</v>
      </c>
      <c r="O20" s="314"/>
      <c r="P20" s="244"/>
      <c r="Q20" s="243"/>
      <c r="R20" s="243"/>
      <c r="S20" s="243"/>
      <c r="T20" s="312"/>
      <c r="U20" s="312"/>
      <c r="V20" s="312"/>
      <c r="W20" s="312"/>
      <c r="X20" s="312"/>
      <c r="Y20" s="312"/>
      <c r="Z20" s="312"/>
      <c r="AA20" s="360"/>
      <c r="AB20" s="444"/>
      <c r="AC20" s="444"/>
      <c r="AD20" s="444"/>
      <c r="AE20" s="334"/>
    </row>
    <row r="21" spans="1:31" s="73" customFormat="1">
      <c r="A21" s="241"/>
      <c r="B21" s="242" t="s">
        <v>80</v>
      </c>
      <c r="C21" s="243">
        <v>0</v>
      </c>
      <c r="D21" s="244"/>
      <c r="E21" s="244">
        <v>0</v>
      </c>
      <c r="F21" s="244">
        <v>0</v>
      </c>
      <c r="G21" s="244">
        <v>0</v>
      </c>
      <c r="H21" s="244">
        <v>0</v>
      </c>
      <c r="I21" s="243">
        <v>0</v>
      </c>
      <c r="J21" s="243"/>
      <c r="K21" s="244">
        <v>0</v>
      </c>
      <c r="L21" s="244">
        <v>0</v>
      </c>
      <c r="M21" s="244">
        <v>0</v>
      </c>
      <c r="N21" s="243">
        <v>0</v>
      </c>
      <c r="O21" s="314"/>
      <c r="P21" s="244"/>
      <c r="Q21" s="243"/>
      <c r="R21" s="243"/>
      <c r="S21" s="243"/>
      <c r="T21" s="312"/>
      <c r="U21" s="312"/>
      <c r="V21" s="312"/>
      <c r="W21" s="312"/>
      <c r="X21" s="312"/>
      <c r="Y21" s="312"/>
      <c r="Z21" s="312"/>
      <c r="AA21" s="360"/>
      <c r="AB21" s="444"/>
      <c r="AC21" s="444"/>
      <c r="AD21" s="444"/>
      <c r="AE21" s="334"/>
    </row>
    <row r="22" spans="1:31" s="73" customFormat="1">
      <c r="A22" s="241"/>
      <c r="B22" s="245" t="s">
        <v>100</v>
      </c>
      <c r="C22" s="253">
        <v>0</v>
      </c>
      <c r="D22" s="254">
        <v>0</v>
      </c>
      <c r="E22" s="254">
        <v>0</v>
      </c>
      <c r="F22" s="254">
        <v>0</v>
      </c>
      <c r="G22" s="254">
        <v>0</v>
      </c>
      <c r="H22" s="254">
        <v>0</v>
      </c>
      <c r="I22" s="253">
        <v>0</v>
      </c>
      <c r="J22" s="253">
        <v>0</v>
      </c>
      <c r="K22" s="254">
        <v>0</v>
      </c>
      <c r="L22" s="254">
        <v>0</v>
      </c>
      <c r="M22" s="254">
        <v>0</v>
      </c>
      <c r="N22" s="253">
        <v>0</v>
      </c>
      <c r="O22" s="356">
        <v>0</v>
      </c>
      <c r="P22" s="254">
        <v>0</v>
      </c>
      <c r="Q22" s="253">
        <v>0</v>
      </c>
      <c r="R22" s="253">
        <v>0</v>
      </c>
      <c r="S22" s="253">
        <v>0</v>
      </c>
      <c r="T22" s="313">
        <v>0</v>
      </c>
      <c r="U22" s="313">
        <v>0</v>
      </c>
      <c r="V22" s="313">
        <v>0</v>
      </c>
      <c r="W22" s="313">
        <v>0</v>
      </c>
      <c r="X22" s="313">
        <v>0</v>
      </c>
      <c r="Y22" s="313">
        <v>0</v>
      </c>
      <c r="Z22" s="313">
        <v>0</v>
      </c>
      <c r="AA22" s="359">
        <v>0</v>
      </c>
      <c r="AB22" s="445"/>
      <c r="AC22" s="445"/>
      <c r="AD22" s="445"/>
      <c r="AE22" s="334"/>
    </row>
    <row r="23" spans="1:31" s="73" customFormat="1">
      <c r="A23" s="241"/>
      <c r="B23" s="242" t="s">
        <v>88</v>
      </c>
      <c r="C23" s="243">
        <v>3215.9583333333335</v>
      </c>
      <c r="D23" s="244"/>
      <c r="E23" s="244">
        <v>7479.416666666667</v>
      </c>
      <c r="F23" s="244">
        <v>647</v>
      </c>
      <c r="G23" s="244">
        <v>86.625</v>
      </c>
      <c r="H23" s="244">
        <v>78.541666666666671</v>
      </c>
      <c r="I23" s="243">
        <v>11507.541666666666</v>
      </c>
      <c r="J23" s="243"/>
      <c r="K23" s="244">
        <v>0</v>
      </c>
      <c r="L23" s="244">
        <v>0</v>
      </c>
      <c r="M23" s="244">
        <v>0</v>
      </c>
      <c r="N23" s="243">
        <v>0</v>
      </c>
      <c r="O23" s="314"/>
      <c r="P23" s="244"/>
      <c r="Q23" s="243"/>
      <c r="R23" s="243"/>
      <c r="S23" s="243"/>
      <c r="T23" s="312"/>
      <c r="U23" s="312"/>
      <c r="V23" s="312"/>
      <c r="W23" s="312"/>
      <c r="X23" s="312"/>
      <c r="Y23" s="312"/>
      <c r="Z23" s="312"/>
      <c r="AA23" s="360"/>
      <c r="AB23" s="444"/>
      <c r="AC23" s="444"/>
      <c r="AD23" s="444"/>
      <c r="AE23" s="334"/>
    </row>
    <row r="24" spans="1:31" s="73" customFormat="1">
      <c r="A24" s="241"/>
      <c r="B24" s="242" t="s">
        <v>90</v>
      </c>
      <c r="C24" s="243">
        <v>3217.0416666666665</v>
      </c>
      <c r="D24" s="244"/>
      <c r="E24" s="244">
        <v>7172.666666666667</v>
      </c>
      <c r="F24" s="244">
        <v>668.125</v>
      </c>
      <c r="G24" s="244">
        <v>89.25</v>
      </c>
      <c r="H24" s="244">
        <v>68</v>
      </c>
      <c r="I24" s="243">
        <v>11215.083333333334</v>
      </c>
      <c r="J24" s="243"/>
      <c r="K24" s="244">
        <v>0</v>
      </c>
      <c r="L24" s="244">
        <v>0</v>
      </c>
      <c r="M24" s="244">
        <v>0</v>
      </c>
      <c r="N24" s="243">
        <v>0</v>
      </c>
      <c r="O24" s="314"/>
      <c r="P24" s="244"/>
      <c r="Q24" s="243"/>
      <c r="R24" s="243"/>
      <c r="S24" s="243"/>
      <c r="T24" s="312"/>
      <c r="U24" s="312"/>
      <c r="V24" s="312"/>
      <c r="W24" s="312"/>
      <c r="X24" s="312"/>
      <c r="Y24" s="312"/>
      <c r="Z24" s="312"/>
      <c r="AA24" s="360"/>
      <c r="AB24" s="444"/>
      <c r="AC24" s="444"/>
      <c r="AD24" s="444"/>
      <c r="AE24" s="334"/>
    </row>
    <row r="25" spans="1:31" s="73" customFormat="1">
      <c r="A25" s="241"/>
      <c r="B25" s="245" t="s">
        <v>92</v>
      </c>
      <c r="C25" s="253">
        <v>3.3686174416636724E-4</v>
      </c>
      <c r="D25" s="254">
        <v>0</v>
      </c>
      <c r="E25" s="254">
        <v>-4.1012556683342062E-2</v>
      </c>
      <c r="F25" s="254">
        <v>3.2650695517774345E-2</v>
      </c>
      <c r="G25" s="254">
        <v>3.0303030303030304E-2</v>
      </c>
      <c r="H25" s="254">
        <v>-0.13421750663129978</v>
      </c>
      <c r="I25" s="253">
        <v>-2.5414492669662184E-2</v>
      </c>
      <c r="J25" s="253">
        <v>0</v>
      </c>
      <c r="K25" s="254">
        <v>0</v>
      </c>
      <c r="L25" s="254">
        <v>0</v>
      </c>
      <c r="M25" s="254">
        <v>0</v>
      </c>
      <c r="N25" s="253">
        <v>0</v>
      </c>
      <c r="O25" s="356">
        <v>0</v>
      </c>
      <c r="P25" s="254">
        <v>0</v>
      </c>
      <c r="Q25" s="253">
        <v>0</v>
      </c>
      <c r="R25" s="253">
        <v>0</v>
      </c>
      <c r="S25" s="253">
        <v>0</v>
      </c>
      <c r="T25" s="313">
        <v>0</v>
      </c>
      <c r="U25" s="313">
        <v>0</v>
      </c>
      <c r="V25" s="313">
        <v>0</v>
      </c>
      <c r="W25" s="313">
        <v>0</v>
      </c>
      <c r="X25" s="313">
        <v>0</v>
      </c>
      <c r="Y25" s="313">
        <v>0</v>
      </c>
      <c r="Z25" s="313">
        <v>0</v>
      </c>
      <c r="AA25" s="359">
        <v>0</v>
      </c>
      <c r="AB25" s="445"/>
      <c r="AC25" s="445"/>
      <c r="AD25" s="445"/>
      <c r="AE25" s="334"/>
    </row>
    <row r="26" spans="1:31" s="73" customFormat="1">
      <c r="A26" s="241"/>
      <c r="B26" s="242" t="s">
        <v>8</v>
      </c>
      <c r="C26" s="243">
        <v>20745.724999999999</v>
      </c>
      <c r="D26" s="244"/>
      <c r="E26" s="244">
        <v>40845.449999999997</v>
      </c>
      <c r="F26" s="244">
        <v>6699.9</v>
      </c>
      <c r="G26" s="244">
        <v>2486.6916666666666</v>
      </c>
      <c r="H26" s="244">
        <v>9206.875</v>
      </c>
      <c r="I26" s="243">
        <v>79984.641666666663</v>
      </c>
      <c r="J26" s="243"/>
      <c r="K26" s="244">
        <v>14508.2</v>
      </c>
      <c r="L26" s="244">
        <v>6390.6666666666661</v>
      </c>
      <c r="M26" s="244">
        <v>23666.500000000007</v>
      </c>
      <c r="N26" s="243">
        <v>44565.366666666676</v>
      </c>
      <c r="O26" s="314"/>
      <c r="P26" s="244"/>
      <c r="Q26" s="243"/>
      <c r="R26" s="243"/>
      <c r="S26" s="243"/>
      <c r="T26" s="312"/>
      <c r="U26" s="312"/>
      <c r="V26" s="312"/>
      <c r="W26" s="312"/>
      <c r="X26" s="312"/>
      <c r="Y26" s="312"/>
      <c r="Z26" s="312"/>
      <c r="AA26" s="360"/>
      <c r="AB26" s="444"/>
      <c r="AC26" s="444"/>
      <c r="AD26" s="444"/>
      <c r="AE26" s="334"/>
    </row>
    <row r="27" spans="1:31" s="73" customFormat="1">
      <c r="A27" s="241"/>
      <c r="B27" s="242" t="s">
        <v>94</v>
      </c>
      <c r="C27" s="243">
        <v>22204.841666666667</v>
      </c>
      <c r="D27" s="244"/>
      <c r="E27" s="244">
        <v>40469.633333333331</v>
      </c>
      <c r="F27" s="244">
        <v>6580.458333333333</v>
      </c>
      <c r="G27" s="244">
        <v>2442.7166666666667</v>
      </c>
      <c r="H27" s="244">
        <v>8688.7999999999993</v>
      </c>
      <c r="I27" s="243">
        <v>80386.45</v>
      </c>
      <c r="J27" s="243"/>
      <c r="K27" s="244">
        <v>14212.666666666666</v>
      </c>
      <c r="L27" s="244">
        <v>5943.9</v>
      </c>
      <c r="M27" s="244">
        <v>22035.666666666668</v>
      </c>
      <c r="N27" s="243">
        <v>42192.233333333337</v>
      </c>
      <c r="O27" s="314"/>
      <c r="P27" s="244"/>
      <c r="Q27" s="243"/>
      <c r="R27" s="243"/>
      <c r="S27" s="243"/>
      <c r="T27" s="312"/>
      <c r="U27" s="312"/>
      <c r="V27" s="312"/>
      <c r="W27" s="312"/>
      <c r="X27" s="312"/>
      <c r="Y27" s="312"/>
      <c r="Z27" s="312"/>
      <c r="AA27" s="360"/>
      <c r="AB27" s="444"/>
      <c r="AC27" s="444"/>
      <c r="AD27" s="444"/>
      <c r="AE27" s="334"/>
    </row>
    <row r="28" spans="1:31" s="73" customFormat="1">
      <c r="A28" s="246"/>
      <c r="B28" s="311" t="s">
        <v>96</v>
      </c>
      <c r="C28" s="253">
        <v>7.0333365870157288E-2</v>
      </c>
      <c r="D28" s="254">
        <v>0</v>
      </c>
      <c r="E28" s="254">
        <v>-9.2009432303149005E-3</v>
      </c>
      <c r="F28" s="254">
        <v>-1.782738050816678E-2</v>
      </c>
      <c r="G28" s="254">
        <v>-1.7684138564290536E-2</v>
      </c>
      <c r="H28" s="254">
        <v>-5.6270450071278337E-2</v>
      </c>
      <c r="I28" s="253">
        <v>5.0235685871777387E-3</v>
      </c>
      <c r="J28" s="253">
        <v>0</v>
      </c>
      <c r="K28" s="254">
        <v>-2.037008955854859E-2</v>
      </c>
      <c r="L28" s="254">
        <v>-6.9909242645524686E-2</v>
      </c>
      <c r="M28" s="254">
        <v>-6.8908935978422625E-2</v>
      </c>
      <c r="N28" s="253">
        <v>-5.3250618380042629E-2</v>
      </c>
      <c r="O28" s="356">
        <v>0</v>
      </c>
      <c r="P28" s="254">
        <v>0</v>
      </c>
      <c r="Q28" s="253">
        <v>0</v>
      </c>
      <c r="R28" s="253">
        <v>0</v>
      </c>
      <c r="S28" s="253">
        <v>0</v>
      </c>
      <c r="T28" s="313">
        <v>0</v>
      </c>
      <c r="U28" s="313">
        <v>0</v>
      </c>
      <c r="V28" s="313">
        <v>0</v>
      </c>
      <c r="W28" s="313">
        <v>0</v>
      </c>
      <c r="X28" s="313">
        <v>0</v>
      </c>
      <c r="Y28" s="313">
        <v>0</v>
      </c>
      <c r="Z28" s="313">
        <v>0</v>
      </c>
      <c r="AA28" s="359">
        <v>0</v>
      </c>
      <c r="AB28" s="445"/>
      <c r="AC28" s="445"/>
      <c r="AD28" s="445"/>
      <c r="AE28" s="334"/>
    </row>
    <row r="29" spans="1:31" s="73" customFormat="1">
      <c r="A29" s="342" t="s">
        <v>816</v>
      </c>
      <c r="B29" s="340" t="s">
        <v>86</v>
      </c>
      <c r="C29" s="337">
        <v>17519.966666666667</v>
      </c>
      <c r="D29" s="341"/>
      <c r="E29" s="341">
        <v>3441.0333333333333</v>
      </c>
      <c r="F29" s="341"/>
      <c r="G29" s="341"/>
      <c r="H29" s="341"/>
      <c r="I29" s="337">
        <v>20961</v>
      </c>
      <c r="J29" s="337"/>
      <c r="K29" s="341">
        <v>5258.4</v>
      </c>
      <c r="L29" s="341">
        <v>5958.9333333333334</v>
      </c>
      <c r="M29" s="341"/>
      <c r="N29" s="337">
        <v>11217.333333333332</v>
      </c>
      <c r="O29" s="337"/>
      <c r="P29" s="341"/>
      <c r="Q29" s="337"/>
      <c r="R29" s="337"/>
      <c r="S29" s="337"/>
      <c r="T29" s="349"/>
      <c r="U29" s="349"/>
      <c r="V29" s="349"/>
      <c r="W29" s="349"/>
      <c r="X29" s="349"/>
      <c r="Y29" s="349"/>
      <c r="Z29" s="349"/>
      <c r="AA29" s="357"/>
      <c r="AB29" s="444"/>
      <c r="AC29" s="444"/>
      <c r="AD29" s="444"/>
      <c r="AE29" s="334"/>
    </row>
    <row r="30" spans="1:31" s="73" customFormat="1">
      <c r="A30" s="241"/>
      <c r="B30" s="242" t="s">
        <v>84</v>
      </c>
      <c r="C30" s="243">
        <v>17960.3</v>
      </c>
      <c r="D30" s="244"/>
      <c r="E30" s="244">
        <v>3667.7666666666669</v>
      </c>
      <c r="F30" s="244"/>
      <c r="G30" s="244"/>
      <c r="H30" s="244"/>
      <c r="I30" s="243">
        <v>21628.066666666666</v>
      </c>
      <c r="J30" s="243"/>
      <c r="K30" s="244">
        <v>5113.5333333333338</v>
      </c>
      <c r="L30" s="244">
        <v>5661.4333333333334</v>
      </c>
      <c r="M30" s="244"/>
      <c r="N30" s="243">
        <v>10774.966666666667</v>
      </c>
      <c r="O30" s="243"/>
      <c r="P30" s="244"/>
      <c r="Q30" s="243"/>
      <c r="R30" s="243"/>
      <c r="S30" s="243"/>
      <c r="T30" s="312"/>
      <c r="U30" s="312"/>
      <c r="V30" s="312"/>
      <c r="W30" s="312"/>
      <c r="X30" s="312"/>
      <c r="Y30" s="312"/>
      <c r="Z30" s="312"/>
      <c r="AA30" s="358"/>
      <c r="AB30" s="444"/>
      <c r="AC30" s="444"/>
      <c r="AD30" s="444"/>
      <c r="AE30" s="334"/>
    </row>
    <row r="31" spans="1:31" s="73" customFormat="1">
      <c r="A31" s="241"/>
      <c r="B31" s="245" t="s">
        <v>98</v>
      </c>
      <c r="C31" s="253">
        <v>2.5133228944499444E-2</v>
      </c>
      <c r="D31" s="254">
        <v>0</v>
      </c>
      <c r="E31" s="254">
        <v>6.5891059856051065E-2</v>
      </c>
      <c r="F31" s="254">
        <v>0</v>
      </c>
      <c r="G31" s="254">
        <v>0</v>
      </c>
      <c r="H31" s="254">
        <v>0</v>
      </c>
      <c r="I31" s="253">
        <v>3.1824181416280982E-2</v>
      </c>
      <c r="J31" s="253">
        <v>0</v>
      </c>
      <c r="K31" s="254">
        <v>-2.7549571479283792E-2</v>
      </c>
      <c r="L31" s="254">
        <v>-4.992504251320147E-2</v>
      </c>
      <c r="M31" s="254">
        <v>0</v>
      </c>
      <c r="N31" s="253">
        <v>-3.9435991917270742E-2</v>
      </c>
      <c r="O31" s="356">
        <v>0</v>
      </c>
      <c r="P31" s="254">
        <v>0</v>
      </c>
      <c r="Q31" s="253">
        <v>0</v>
      </c>
      <c r="R31" s="253">
        <v>0</v>
      </c>
      <c r="S31" s="253">
        <v>0</v>
      </c>
      <c r="T31" s="313">
        <v>0</v>
      </c>
      <c r="U31" s="313">
        <v>0</v>
      </c>
      <c r="V31" s="313">
        <v>0</v>
      </c>
      <c r="W31" s="313">
        <v>0</v>
      </c>
      <c r="X31" s="313">
        <v>0</v>
      </c>
      <c r="Y31" s="313">
        <v>0</v>
      </c>
      <c r="Z31" s="313">
        <v>0</v>
      </c>
      <c r="AA31" s="359">
        <v>0</v>
      </c>
      <c r="AB31" s="445"/>
      <c r="AC31" s="445"/>
      <c r="AD31" s="445"/>
      <c r="AE31" s="334"/>
    </row>
    <row r="32" spans="1:31" s="73" customFormat="1">
      <c r="A32" s="241"/>
      <c r="B32" s="242" t="s">
        <v>82</v>
      </c>
      <c r="C32" s="243">
        <v>0</v>
      </c>
      <c r="D32" s="244"/>
      <c r="E32" s="244">
        <v>0</v>
      </c>
      <c r="F32" s="244"/>
      <c r="G32" s="244"/>
      <c r="H32" s="244"/>
      <c r="I32" s="243">
        <v>0</v>
      </c>
      <c r="J32" s="243"/>
      <c r="K32" s="244">
        <v>0</v>
      </c>
      <c r="L32" s="244">
        <v>0</v>
      </c>
      <c r="M32" s="244"/>
      <c r="N32" s="243">
        <v>0</v>
      </c>
      <c r="O32" s="314"/>
      <c r="P32" s="244"/>
      <c r="Q32" s="243"/>
      <c r="R32" s="243"/>
      <c r="S32" s="243"/>
      <c r="T32" s="312"/>
      <c r="U32" s="312"/>
      <c r="V32" s="312"/>
      <c r="W32" s="312"/>
      <c r="X32" s="312"/>
      <c r="Y32" s="312"/>
      <c r="Z32" s="312"/>
      <c r="AA32" s="360"/>
      <c r="AB32" s="444"/>
      <c r="AC32" s="444"/>
      <c r="AD32" s="444"/>
      <c r="AE32" s="334"/>
    </row>
    <row r="33" spans="1:31" s="73" customFormat="1">
      <c r="A33" s="241"/>
      <c r="B33" s="242" t="s">
        <v>80</v>
      </c>
      <c r="C33" s="243">
        <v>0</v>
      </c>
      <c r="D33" s="244"/>
      <c r="E33" s="244">
        <v>0</v>
      </c>
      <c r="F33" s="244"/>
      <c r="G33" s="244"/>
      <c r="H33" s="244"/>
      <c r="I33" s="243">
        <v>0</v>
      </c>
      <c r="J33" s="243"/>
      <c r="K33" s="244">
        <v>0</v>
      </c>
      <c r="L33" s="244">
        <v>0</v>
      </c>
      <c r="M33" s="244"/>
      <c r="N33" s="243">
        <v>0</v>
      </c>
      <c r="O33" s="314"/>
      <c r="P33" s="244"/>
      <c r="Q33" s="243"/>
      <c r="R33" s="243"/>
      <c r="S33" s="243"/>
      <c r="T33" s="312"/>
      <c r="U33" s="312"/>
      <c r="V33" s="312"/>
      <c r="W33" s="312"/>
      <c r="X33" s="312"/>
      <c r="Y33" s="312"/>
      <c r="Z33" s="312"/>
      <c r="AA33" s="360"/>
      <c r="AB33" s="444"/>
      <c r="AC33" s="444"/>
      <c r="AD33" s="444"/>
      <c r="AE33" s="334"/>
    </row>
    <row r="34" spans="1:31" s="73" customFormat="1">
      <c r="A34" s="241"/>
      <c r="B34" s="245" t="s">
        <v>100</v>
      </c>
      <c r="C34" s="253">
        <v>0</v>
      </c>
      <c r="D34" s="254">
        <v>0</v>
      </c>
      <c r="E34" s="254">
        <v>0</v>
      </c>
      <c r="F34" s="254">
        <v>0</v>
      </c>
      <c r="G34" s="254">
        <v>0</v>
      </c>
      <c r="H34" s="254">
        <v>0</v>
      </c>
      <c r="I34" s="253">
        <v>0</v>
      </c>
      <c r="J34" s="253">
        <v>0</v>
      </c>
      <c r="K34" s="254">
        <v>0</v>
      </c>
      <c r="L34" s="254">
        <v>0</v>
      </c>
      <c r="M34" s="254">
        <v>0</v>
      </c>
      <c r="N34" s="253">
        <v>0</v>
      </c>
      <c r="O34" s="356">
        <v>0</v>
      </c>
      <c r="P34" s="254">
        <v>0</v>
      </c>
      <c r="Q34" s="253">
        <v>0</v>
      </c>
      <c r="R34" s="253">
        <v>0</v>
      </c>
      <c r="S34" s="253">
        <v>0</v>
      </c>
      <c r="T34" s="313">
        <v>0</v>
      </c>
      <c r="U34" s="313">
        <v>0</v>
      </c>
      <c r="V34" s="313">
        <v>0</v>
      </c>
      <c r="W34" s="313">
        <v>0</v>
      </c>
      <c r="X34" s="313">
        <v>0</v>
      </c>
      <c r="Y34" s="313">
        <v>0</v>
      </c>
      <c r="Z34" s="313">
        <v>0</v>
      </c>
      <c r="AA34" s="359">
        <v>0</v>
      </c>
      <c r="AB34" s="445"/>
      <c r="AC34" s="445"/>
      <c r="AD34" s="445"/>
      <c r="AE34" s="334"/>
    </row>
    <row r="35" spans="1:31" s="73" customFormat="1">
      <c r="A35" s="241"/>
      <c r="B35" s="242" t="s">
        <v>88</v>
      </c>
      <c r="C35" s="243">
        <v>2156</v>
      </c>
      <c r="D35" s="244"/>
      <c r="E35" s="244">
        <v>338.125</v>
      </c>
      <c r="F35" s="244"/>
      <c r="G35" s="244"/>
      <c r="H35" s="244"/>
      <c r="I35" s="243">
        <v>2494.125</v>
      </c>
      <c r="J35" s="243"/>
      <c r="K35" s="244">
        <v>0</v>
      </c>
      <c r="L35" s="244">
        <v>0</v>
      </c>
      <c r="M35" s="244"/>
      <c r="N35" s="243">
        <v>0</v>
      </c>
      <c r="O35" s="314"/>
      <c r="P35" s="244"/>
      <c r="Q35" s="243"/>
      <c r="R35" s="243"/>
      <c r="S35" s="243"/>
      <c r="T35" s="312"/>
      <c r="U35" s="312"/>
      <c r="V35" s="312"/>
      <c r="W35" s="312"/>
      <c r="X35" s="312"/>
      <c r="Y35" s="312"/>
      <c r="Z35" s="312"/>
      <c r="AA35" s="360"/>
      <c r="AB35" s="444"/>
      <c r="AC35" s="444"/>
      <c r="AD35" s="444"/>
      <c r="AE35" s="334"/>
    </row>
    <row r="36" spans="1:31" s="73" customFormat="1">
      <c r="A36" s="241"/>
      <c r="B36" s="242" t="s">
        <v>90</v>
      </c>
      <c r="C36" s="243">
        <v>2123.1666666666665</v>
      </c>
      <c r="D36" s="244"/>
      <c r="E36" s="244">
        <v>189.04166666666666</v>
      </c>
      <c r="F36" s="244"/>
      <c r="G36" s="244"/>
      <c r="H36" s="244"/>
      <c r="I36" s="243">
        <v>2312.208333333333</v>
      </c>
      <c r="J36" s="243"/>
      <c r="K36" s="244">
        <v>0</v>
      </c>
      <c r="L36" s="244">
        <v>0</v>
      </c>
      <c r="M36" s="244"/>
      <c r="N36" s="243">
        <v>0</v>
      </c>
      <c r="O36" s="314"/>
      <c r="P36" s="244"/>
      <c r="Q36" s="243"/>
      <c r="R36" s="243"/>
      <c r="S36" s="243"/>
      <c r="T36" s="312"/>
      <c r="U36" s="312"/>
      <c r="V36" s="312"/>
      <c r="W36" s="312"/>
      <c r="X36" s="312"/>
      <c r="Y36" s="312"/>
      <c r="Z36" s="312"/>
      <c r="AA36" s="360"/>
      <c r="AB36" s="444"/>
      <c r="AC36" s="444"/>
      <c r="AD36" s="444"/>
      <c r="AE36" s="334"/>
    </row>
    <row r="37" spans="1:31" s="73" customFormat="1">
      <c r="A37" s="241"/>
      <c r="B37" s="245" t="s">
        <v>92</v>
      </c>
      <c r="C37" s="253">
        <v>-1.5228818800247443E-2</v>
      </c>
      <c r="D37" s="254">
        <v>0</v>
      </c>
      <c r="E37" s="734">
        <v>-0.4409118915588417</v>
      </c>
      <c r="F37" s="254">
        <v>0</v>
      </c>
      <c r="G37" s="254">
        <v>0</v>
      </c>
      <c r="H37" s="254">
        <v>0</v>
      </c>
      <c r="I37" s="253">
        <v>-7.2938071133831286E-2</v>
      </c>
      <c r="J37" s="253">
        <v>0</v>
      </c>
      <c r="K37" s="254">
        <v>0</v>
      </c>
      <c r="L37" s="254">
        <v>0</v>
      </c>
      <c r="M37" s="254">
        <v>0</v>
      </c>
      <c r="N37" s="253">
        <v>0</v>
      </c>
      <c r="O37" s="356">
        <v>0</v>
      </c>
      <c r="P37" s="254">
        <v>0</v>
      </c>
      <c r="Q37" s="253">
        <v>0</v>
      </c>
      <c r="R37" s="253">
        <v>0</v>
      </c>
      <c r="S37" s="253">
        <v>0</v>
      </c>
      <c r="T37" s="313">
        <v>0</v>
      </c>
      <c r="U37" s="313">
        <v>0</v>
      </c>
      <c r="V37" s="313">
        <v>0</v>
      </c>
      <c r="W37" s="313">
        <v>0</v>
      </c>
      <c r="X37" s="313">
        <v>0</v>
      </c>
      <c r="Y37" s="313">
        <v>0</v>
      </c>
      <c r="Z37" s="313">
        <v>0</v>
      </c>
      <c r="AA37" s="359">
        <v>0</v>
      </c>
      <c r="AB37" s="445"/>
      <c r="AC37" s="445"/>
      <c r="AD37" s="445"/>
      <c r="AE37" s="334"/>
    </row>
    <row r="38" spans="1:31" s="73" customFormat="1">
      <c r="A38" s="241"/>
      <c r="B38" s="242" t="s">
        <v>8</v>
      </c>
      <c r="C38" s="243">
        <v>19675.966666666667</v>
      </c>
      <c r="D38" s="244"/>
      <c r="E38" s="244">
        <v>3779.1583333333333</v>
      </c>
      <c r="F38" s="244"/>
      <c r="G38" s="244"/>
      <c r="H38" s="244"/>
      <c r="I38" s="243">
        <v>23455.125</v>
      </c>
      <c r="J38" s="243"/>
      <c r="K38" s="244">
        <v>5258.4</v>
      </c>
      <c r="L38" s="244">
        <v>5958.9333333333334</v>
      </c>
      <c r="M38" s="244"/>
      <c r="N38" s="243">
        <v>11217.333333333332</v>
      </c>
      <c r="O38" s="314"/>
      <c r="P38" s="244"/>
      <c r="Q38" s="243"/>
      <c r="R38" s="243"/>
      <c r="S38" s="243"/>
      <c r="T38" s="312"/>
      <c r="U38" s="312"/>
      <c r="V38" s="312"/>
      <c r="W38" s="312"/>
      <c r="X38" s="312"/>
      <c r="Y38" s="312"/>
      <c r="Z38" s="312"/>
      <c r="AA38" s="360"/>
      <c r="AB38" s="444"/>
      <c r="AC38" s="444"/>
      <c r="AD38" s="444"/>
      <c r="AE38" s="334"/>
    </row>
    <row r="39" spans="1:31" s="73" customFormat="1">
      <c r="A39" s="241"/>
      <c r="B39" s="242" t="s">
        <v>94</v>
      </c>
      <c r="C39" s="243">
        <v>20083.466666666667</v>
      </c>
      <c r="D39" s="244"/>
      <c r="E39" s="244">
        <v>3856.8083333333334</v>
      </c>
      <c r="F39" s="244"/>
      <c r="G39" s="244"/>
      <c r="H39" s="244"/>
      <c r="I39" s="243">
        <v>23940.275000000001</v>
      </c>
      <c r="J39" s="243"/>
      <c r="K39" s="244">
        <v>5113.5333333333338</v>
      </c>
      <c r="L39" s="244">
        <v>5661.4333333333334</v>
      </c>
      <c r="M39" s="244"/>
      <c r="N39" s="243">
        <v>10774.966666666667</v>
      </c>
      <c r="O39" s="314"/>
      <c r="P39" s="244"/>
      <c r="Q39" s="243"/>
      <c r="R39" s="243"/>
      <c r="S39" s="243"/>
      <c r="T39" s="312"/>
      <c r="U39" s="312"/>
      <c r="V39" s="312"/>
      <c r="W39" s="312"/>
      <c r="X39" s="312"/>
      <c r="Y39" s="312"/>
      <c r="Z39" s="312"/>
      <c r="AA39" s="360"/>
      <c r="AB39" s="444"/>
      <c r="AC39" s="444"/>
      <c r="AD39" s="444"/>
      <c r="AE39" s="334"/>
    </row>
    <row r="40" spans="1:31" s="73" customFormat="1">
      <c r="A40" s="246"/>
      <c r="B40" s="311" t="s">
        <v>96</v>
      </c>
      <c r="C40" s="253">
        <v>2.0710545352282565E-2</v>
      </c>
      <c r="D40" s="254">
        <v>0</v>
      </c>
      <c r="E40" s="254">
        <v>2.0546903080271427E-2</v>
      </c>
      <c r="F40" s="254">
        <v>0</v>
      </c>
      <c r="G40" s="254">
        <v>0</v>
      </c>
      <c r="H40" s="254">
        <v>0</v>
      </c>
      <c r="I40" s="253">
        <v>2.0684178830852593E-2</v>
      </c>
      <c r="J40" s="253">
        <v>0</v>
      </c>
      <c r="K40" s="254">
        <v>-2.7549571479283792E-2</v>
      </c>
      <c r="L40" s="254">
        <v>-4.992504251320147E-2</v>
      </c>
      <c r="M40" s="254">
        <v>0</v>
      </c>
      <c r="N40" s="253">
        <v>-3.9435991917270742E-2</v>
      </c>
      <c r="O40" s="356">
        <v>0</v>
      </c>
      <c r="P40" s="254">
        <v>0</v>
      </c>
      <c r="Q40" s="253">
        <v>0</v>
      </c>
      <c r="R40" s="253">
        <v>0</v>
      </c>
      <c r="S40" s="253">
        <v>0</v>
      </c>
      <c r="T40" s="313">
        <v>0</v>
      </c>
      <c r="U40" s="313">
        <v>0</v>
      </c>
      <c r="V40" s="313">
        <v>0</v>
      </c>
      <c r="W40" s="313">
        <v>0</v>
      </c>
      <c r="X40" s="313">
        <v>0</v>
      </c>
      <c r="Y40" s="313">
        <v>0</v>
      </c>
      <c r="Z40" s="313">
        <v>0</v>
      </c>
      <c r="AA40" s="359">
        <v>0</v>
      </c>
      <c r="AB40" s="445"/>
      <c r="AC40" s="445"/>
      <c r="AD40" s="445"/>
      <c r="AE40" s="334"/>
    </row>
    <row r="41" spans="1:31" s="73" customFormat="1">
      <c r="A41" s="342" t="s">
        <v>803</v>
      </c>
      <c r="B41" s="340" t="s">
        <v>86</v>
      </c>
      <c r="C41" s="337">
        <v>177447.7</v>
      </c>
      <c r="D41" s="341">
        <v>19989.233333333334</v>
      </c>
      <c r="E41" s="341">
        <v>32079.4</v>
      </c>
      <c r="F41" s="341">
        <v>9618.7666666666664</v>
      </c>
      <c r="G41" s="341"/>
      <c r="H41" s="341">
        <v>940.26666666666665</v>
      </c>
      <c r="I41" s="337">
        <v>240075.36666666667</v>
      </c>
      <c r="J41" s="337">
        <v>143650.26666666666</v>
      </c>
      <c r="K41" s="341">
        <v>190091.36666666667</v>
      </c>
      <c r="L41" s="341">
        <v>16191.333333333332</v>
      </c>
      <c r="M41" s="341">
        <v>1795.1333333333332</v>
      </c>
      <c r="N41" s="337">
        <v>351728.1</v>
      </c>
      <c r="O41" s="337"/>
      <c r="P41" s="341"/>
      <c r="Q41" s="337"/>
      <c r="R41" s="337"/>
      <c r="S41" s="337"/>
      <c r="T41" s="349"/>
      <c r="U41" s="349"/>
      <c r="V41" s="349"/>
      <c r="W41" s="349"/>
      <c r="X41" s="349"/>
      <c r="Y41" s="349"/>
      <c r="Z41" s="349"/>
      <c r="AA41" s="357"/>
      <c r="AB41" s="444"/>
      <c r="AC41" s="444"/>
      <c r="AD41" s="444"/>
      <c r="AE41" s="334"/>
    </row>
    <row r="42" spans="1:31" s="73" customFormat="1">
      <c r="A42" s="241"/>
      <c r="B42" s="242" t="s">
        <v>84</v>
      </c>
      <c r="C42" s="243">
        <v>179459.6</v>
      </c>
      <c r="D42" s="244">
        <v>20560.166666666668</v>
      </c>
      <c r="E42" s="244">
        <v>31357.899999999998</v>
      </c>
      <c r="F42" s="244">
        <v>10147.033333333333</v>
      </c>
      <c r="G42" s="244"/>
      <c r="H42" s="244">
        <v>950.66666666666663</v>
      </c>
      <c r="I42" s="243">
        <v>242475.36666666664</v>
      </c>
      <c r="J42" s="243">
        <v>135834.26666666666</v>
      </c>
      <c r="K42" s="244">
        <v>184127.06666666665</v>
      </c>
      <c r="L42" s="244">
        <v>15595.633333333333</v>
      </c>
      <c r="M42" s="244">
        <v>1642.3333333333335</v>
      </c>
      <c r="N42" s="243">
        <v>337199.3</v>
      </c>
      <c r="O42" s="243"/>
      <c r="P42" s="244"/>
      <c r="Q42" s="243"/>
      <c r="R42" s="243"/>
      <c r="S42" s="243"/>
      <c r="T42" s="312"/>
      <c r="U42" s="312"/>
      <c r="V42" s="312"/>
      <c r="W42" s="312"/>
      <c r="X42" s="312"/>
      <c r="Y42" s="312"/>
      <c r="Z42" s="312"/>
      <c r="AA42" s="358"/>
      <c r="AB42" s="444"/>
      <c r="AC42" s="444"/>
      <c r="AD42" s="444"/>
      <c r="AE42" s="334"/>
    </row>
    <row r="43" spans="1:31" s="73" customFormat="1">
      <c r="A43" s="241"/>
      <c r="B43" s="245" t="s">
        <v>98</v>
      </c>
      <c r="C43" s="253">
        <v>1.1337988601711908E-2</v>
      </c>
      <c r="D43" s="254">
        <v>2.8562042566248211E-2</v>
      </c>
      <c r="E43" s="254">
        <v>-2.2491069034957126E-2</v>
      </c>
      <c r="F43" s="254">
        <v>5.4920415992348266E-2</v>
      </c>
      <c r="G43" s="254">
        <v>0</v>
      </c>
      <c r="H43" s="254">
        <v>1.1060692002268837E-2</v>
      </c>
      <c r="I43" s="253">
        <v>9.9968607080468536E-3</v>
      </c>
      <c r="J43" s="733">
        <v>-5.4409923360160838E-2</v>
      </c>
      <c r="K43" s="734">
        <v>-3.1375964645773066E-2</v>
      </c>
      <c r="L43" s="254">
        <v>-3.6791287520072401E-2</v>
      </c>
      <c r="M43" s="254">
        <v>-8.511902551342504E-2</v>
      </c>
      <c r="N43" s="253">
        <v>-4.1306907238858125E-2</v>
      </c>
      <c r="O43" s="356">
        <v>0</v>
      </c>
      <c r="P43" s="254">
        <v>0</v>
      </c>
      <c r="Q43" s="253">
        <v>0</v>
      </c>
      <c r="R43" s="253">
        <v>0</v>
      </c>
      <c r="S43" s="253">
        <v>0</v>
      </c>
      <c r="T43" s="313">
        <v>0</v>
      </c>
      <c r="U43" s="313">
        <v>0</v>
      </c>
      <c r="V43" s="313">
        <v>0</v>
      </c>
      <c r="W43" s="313">
        <v>0</v>
      </c>
      <c r="X43" s="313">
        <v>0</v>
      </c>
      <c r="Y43" s="313">
        <v>0</v>
      </c>
      <c r="Z43" s="313">
        <v>0</v>
      </c>
      <c r="AA43" s="359">
        <v>0</v>
      </c>
      <c r="AB43" s="445"/>
      <c r="AC43" s="445"/>
      <c r="AD43" s="445"/>
      <c r="AE43" s="334"/>
    </row>
    <row r="44" spans="1:31" s="73" customFormat="1">
      <c r="A44" s="241"/>
      <c r="B44" s="242" t="s">
        <v>82</v>
      </c>
      <c r="C44" s="243">
        <v>0</v>
      </c>
      <c r="D44" s="244">
        <v>0</v>
      </c>
      <c r="E44" s="244">
        <v>0</v>
      </c>
      <c r="F44" s="244">
        <v>0</v>
      </c>
      <c r="G44" s="244"/>
      <c r="H44" s="244">
        <v>0</v>
      </c>
      <c r="I44" s="243">
        <v>0</v>
      </c>
      <c r="J44" s="243">
        <v>14118.404444444446</v>
      </c>
      <c r="K44" s="244">
        <v>10012.414444444443</v>
      </c>
      <c r="L44" s="244">
        <v>1927.6377777777777</v>
      </c>
      <c r="M44" s="244">
        <v>153.69222222222223</v>
      </c>
      <c r="N44" s="243">
        <v>26212.148888888893</v>
      </c>
      <c r="O44" s="314"/>
      <c r="P44" s="244"/>
      <c r="Q44" s="243"/>
      <c r="R44" s="243"/>
      <c r="S44" s="243"/>
      <c r="T44" s="312"/>
      <c r="U44" s="312"/>
      <c r="V44" s="312"/>
      <c r="W44" s="312"/>
      <c r="X44" s="312"/>
      <c r="Y44" s="312"/>
      <c r="Z44" s="312"/>
      <c r="AA44" s="360"/>
      <c r="AB44" s="444"/>
      <c r="AC44" s="444"/>
      <c r="AD44" s="444"/>
      <c r="AE44" s="334"/>
    </row>
    <row r="45" spans="1:31" s="73" customFormat="1">
      <c r="A45" s="241"/>
      <c r="B45" s="242" t="s">
        <v>80</v>
      </c>
      <c r="C45" s="243">
        <v>0</v>
      </c>
      <c r="D45" s="244">
        <v>0</v>
      </c>
      <c r="E45" s="244">
        <v>0</v>
      </c>
      <c r="F45" s="244">
        <v>0</v>
      </c>
      <c r="G45" s="244"/>
      <c r="H45" s="244">
        <v>0</v>
      </c>
      <c r="I45" s="243">
        <v>0</v>
      </c>
      <c r="J45" s="243">
        <v>11167.383333333333</v>
      </c>
      <c r="K45" s="244">
        <v>8892.5588888888888</v>
      </c>
      <c r="L45" s="244">
        <v>1609.8533333333335</v>
      </c>
      <c r="M45" s="244">
        <v>135.48444444444445</v>
      </c>
      <c r="N45" s="243">
        <v>21805.279999999999</v>
      </c>
      <c r="O45" s="314"/>
      <c r="P45" s="244"/>
      <c r="Q45" s="243"/>
      <c r="R45" s="243"/>
      <c r="S45" s="243"/>
      <c r="T45" s="312"/>
      <c r="U45" s="312"/>
      <c r="V45" s="312"/>
      <c r="W45" s="312"/>
      <c r="X45" s="312"/>
      <c r="Y45" s="312"/>
      <c r="Z45" s="312"/>
      <c r="AA45" s="360"/>
      <c r="AB45" s="444"/>
      <c r="AC45" s="444"/>
      <c r="AD45" s="444"/>
      <c r="AE45" s="334"/>
    </row>
    <row r="46" spans="1:31" s="73" customFormat="1">
      <c r="A46" s="241"/>
      <c r="B46" s="245" t="s">
        <v>100</v>
      </c>
      <c r="C46" s="253">
        <v>0</v>
      </c>
      <c r="D46" s="254">
        <v>0</v>
      </c>
      <c r="E46" s="254">
        <v>0</v>
      </c>
      <c r="F46" s="254">
        <v>0</v>
      </c>
      <c r="G46" s="254">
        <v>0</v>
      </c>
      <c r="H46" s="254">
        <v>0</v>
      </c>
      <c r="I46" s="253">
        <v>0</v>
      </c>
      <c r="J46" s="733">
        <v>-0.20901944853069651</v>
      </c>
      <c r="K46" s="734">
        <v>-0.11184670408613827</v>
      </c>
      <c r="L46" s="734">
        <v>-0.16485692909110394</v>
      </c>
      <c r="M46" s="734">
        <v>-0.1184690904621791</v>
      </c>
      <c r="N46" s="253">
        <v>-0.16812314425533134</v>
      </c>
      <c r="O46" s="356">
        <v>0</v>
      </c>
      <c r="P46" s="254">
        <v>0</v>
      </c>
      <c r="Q46" s="253">
        <v>0</v>
      </c>
      <c r="R46" s="253">
        <v>0</v>
      </c>
      <c r="S46" s="253">
        <v>0</v>
      </c>
      <c r="T46" s="313">
        <v>0</v>
      </c>
      <c r="U46" s="313">
        <v>0</v>
      </c>
      <c r="V46" s="313">
        <v>0</v>
      </c>
      <c r="W46" s="313">
        <v>0</v>
      </c>
      <c r="X46" s="313">
        <v>0</v>
      </c>
      <c r="Y46" s="313">
        <v>0</v>
      </c>
      <c r="Z46" s="313">
        <v>0</v>
      </c>
      <c r="AA46" s="359">
        <v>0</v>
      </c>
      <c r="AB46" s="445"/>
      <c r="AC46" s="445"/>
      <c r="AD46" s="445"/>
      <c r="AE46" s="334"/>
    </row>
    <row r="47" spans="1:31" s="73" customFormat="1">
      <c r="A47" s="241"/>
      <c r="B47" s="242" t="s">
        <v>88</v>
      </c>
      <c r="C47" s="243">
        <v>43996.791666666672</v>
      </c>
      <c r="D47" s="244">
        <v>3273.25</v>
      </c>
      <c r="E47" s="244">
        <v>4774.5</v>
      </c>
      <c r="F47" s="244">
        <v>998.45833333333337</v>
      </c>
      <c r="G47" s="244"/>
      <c r="H47" s="244">
        <v>0</v>
      </c>
      <c r="I47" s="243">
        <v>53043.000000000007</v>
      </c>
      <c r="J47" s="243">
        <v>0</v>
      </c>
      <c r="K47" s="244">
        <v>0</v>
      </c>
      <c r="L47" s="244">
        <v>0</v>
      </c>
      <c r="M47" s="244">
        <v>0</v>
      </c>
      <c r="N47" s="243">
        <v>0</v>
      </c>
      <c r="O47" s="314"/>
      <c r="P47" s="244"/>
      <c r="Q47" s="243"/>
      <c r="R47" s="243"/>
      <c r="S47" s="243"/>
      <c r="T47" s="312"/>
      <c r="U47" s="312"/>
      <c r="V47" s="312"/>
      <c r="W47" s="312"/>
      <c r="X47" s="312"/>
      <c r="Y47" s="312"/>
      <c r="Z47" s="312"/>
      <c r="AA47" s="360"/>
      <c r="AB47" s="444"/>
      <c r="AC47" s="444"/>
      <c r="AD47" s="444"/>
      <c r="AE47" s="334"/>
    </row>
    <row r="48" spans="1:31" s="73" customFormat="1">
      <c r="A48" s="241"/>
      <c r="B48" s="242" t="s">
        <v>90</v>
      </c>
      <c r="C48" s="243">
        <v>43967.291666666664</v>
      </c>
      <c r="D48" s="244">
        <v>3312.4166666666665</v>
      </c>
      <c r="E48" s="244">
        <v>4806.4375</v>
      </c>
      <c r="F48" s="244">
        <v>938.375</v>
      </c>
      <c r="G48" s="244"/>
      <c r="H48" s="244">
        <v>0</v>
      </c>
      <c r="I48" s="243">
        <v>53024.520833333328</v>
      </c>
      <c r="J48" s="243">
        <v>0</v>
      </c>
      <c r="K48" s="244">
        <v>0</v>
      </c>
      <c r="L48" s="244">
        <v>0</v>
      </c>
      <c r="M48" s="244">
        <v>0</v>
      </c>
      <c r="N48" s="243">
        <v>0</v>
      </c>
      <c r="O48" s="314"/>
      <c r="P48" s="244"/>
      <c r="Q48" s="243"/>
      <c r="R48" s="243"/>
      <c r="S48" s="243"/>
      <c r="T48" s="312"/>
      <c r="U48" s="312"/>
      <c r="V48" s="312"/>
      <c r="W48" s="312"/>
      <c r="X48" s="312"/>
      <c r="Y48" s="312"/>
      <c r="Z48" s="312"/>
      <c r="AA48" s="360"/>
      <c r="AB48" s="444"/>
      <c r="AC48" s="444"/>
      <c r="AD48" s="444"/>
      <c r="AE48" s="334"/>
    </row>
    <row r="49" spans="1:31" s="73" customFormat="1">
      <c r="A49" s="241"/>
      <c r="B49" s="245" t="s">
        <v>92</v>
      </c>
      <c r="C49" s="253">
        <v>-6.7050343633027652E-4</v>
      </c>
      <c r="D49" s="254">
        <v>1.1965681407367758E-2</v>
      </c>
      <c r="E49" s="254">
        <v>6.6891821133102944E-3</v>
      </c>
      <c r="F49" s="254">
        <v>-6.0176104828276962E-2</v>
      </c>
      <c r="G49" s="254">
        <v>0</v>
      </c>
      <c r="H49" s="254">
        <v>0</v>
      </c>
      <c r="I49" s="253">
        <v>-3.4838087337968798E-4</v>
      </c>
      <c r="J49" s="253">
        <v>0</v>
      </c>
      <c r="K49" s="254">
        <v>0</v>
      </c>
      <c r="L49" s="254">
        <v>0</v>
      </c>
      <c r="M49" s="254">
        <v>0</v>
      </c>
      <c r="N49" s="253">
        <v>0</v>
      </c>
      <c r="O49" s="356">
        <v>0</v>
      </c>
      <c r="P49" s="254">
        <v>0</v>
      </c>
      <c r="Q49" s="253">
        <v>0</v>
      </c>
      <c r="R49" s="253">
        <v>0</v>
      </c>
      <c r="S49" s="253">
        <v>0</v>
      </c>
      <c r="T49" s="313">
        <v>0</v>
      </c>
      <c r="U49" s="313">
        <v>0</v>
      </c>
      <c r="V49" s="313">
        <v>0</v>
      </c>
      <c r="W49" s="313">
        <v>0</v>
      </c>
      <c r="X49" s="313">
        <v>0</v>
      </c>
      <c r="Y49" s="313">
        <v>0</v>
      </c>
      <c r="Z49" s="313">
        <v>0</v>
      </c>
      <c r="AA49" s="359">
        <v>0</v>
      </c>
      <c r="AB49" s="445"/>
      <c r="AC49" s="445"/>
      <c r="AD49" s="445"/>
      <c r="AE49" s="334"/>
    </row>
    <row r="50" spans="1:31" s="73" customFormat="1">
      <c r="A50" s="241"/>
      <c r="B50" s="242" t="s">
        <v>8</v>
      </c>
      <c r="C50" s="243">
        <v>221444.49166666664</v>
      </c>
      <c r="D50" s="244">
        <v>23262.483333333334</v>
      </c>
      <c r="E50" s="244">
        <v>36853.9</v>
      </c>
      <c r="F50" s="244">
        <v>10617.225</v>
      </c>
      <c r="G50" s="244"/>
      <c r="H50" s="244">
        <v>940.26666666666665</v>
      </c>
      <c r="I50" s="243">
        <v>293118.36666666664</v>
      </c>
      <c r="J50" s="243">
        <v>157768.67111111109</v>
      </c>
      <c r="K50" s="244">
        <v>200103.78111111111</v>
      </c>
      <c r="L50" s="244">
        <v>18118.971111111114</v>
      </c>
      <c r="M50" s="244">
        <v>1948.8255555555556</v>
      </c>
      <c r="N50" s="243">
        <v>377940.24888888892</v>
      </c>
      <c r="O50" s="314"/>
      <c r="P50" s="244"/>
      <c r="Q50" s="243"/>
      <c r="R50" s="243"/>
      <c r="S50" s="243"/>
      <c r="T50" s="312"/>
      <c r="U50" s="312"/>
      <c r="V50" s="312"/>
      <c r="W50" s="312"/>
      <c r="X50" s="312"/>
      <c r="Y50" s="312"/>
      <c r="Z50" s="312"/>
      <c r="AA50" s="360"/>
      <c r="AB50" s="444"/>
      <c r="AC50" s="444"/>
      <c r="AD50" s="444"/>
      <c r="AE50" s="334"/>
    </row>
    <row r="51" spans="1:31" s="73" customFormat="1">
      <c r="A51" s="241"/>
      <c r="B51" s="242" t="s">
        <v>94</v>
      </c>
      <c r="C51" s="243">
        <v>223426.89166666666</v>
      </c>
      <c r="D51" s="244">
        <v>23872.583333333336</v>
      </c>
      <c r="E51" s="244">
        <v>36164.337499999994</v>
      </c>
      <c r="F51" s="244">
        <v>11085.408333333333</v>
      </c>
      <c r="G51" s="244"/>
      <c r="H51" s="244">
        <v>950.66666666666663</v>
      </c>
      <c r="I51" s="243">
        <v>295499.88750000001</v>
      </c>
      <c r="J51" s="243">
        <v>147001.65</v>
      </c>
      <c r="K51" s="244">
        <v>193019.62555555554</v>
      </c>
      <c r="L51" s="244">
        <v>17205.486666666668</v>
      </c>
      <c r="M51" s="244">
        <v>1777.8177777777778</v>
      </c>
      <c r="N51" s="243">
        <v>359004.58</v>
      </c>
      <c r="O51" s="314"/>
      <c r="P51" s="244"/>
      <c r="Q51" s="243"/>
      <c r="R51" s="243"/>
      <c r="S51" s="243"/>
      <c r="T51" s="312"/>
      <c r="U51" s="312"/>
      <c r="V51" s="312"/>
      <c r="W51" s="312"/>
      <c r="X51" s="312"/>
      <c r="Y51" s="312"/>
      <c r="Z51" s="312"/>
      <c r="AA51" s="360"/>
      <c r="AB51" s="444"/>
      <c r="AC51" s="444"/>
      <c r="AD51" s="444"/>
      <c r="AE51" s="334"/>
    </row>
    <row r="52" spans="1:31" s="73" customFormat="1">
      <c r="A52" s="246"/>
      <c r="B52" s="311" t="s">
        <v>96</v>
      </c>
      <c r="C52" s="253">
        <v>8.9521305546135105E-3</v>
      </c>
      <c r="D52" s="254">
        <v>2.6226778597011446E-2</v>
      </c>
      <c r="E52" s="254">
        <v>-1.8710706329588111E-2</v>
      </c>
      <c r="F52" s="254">
        <v>4.4096582047882804E-2</v>
      </c>
      <c r="G52" s="254">
        <v>0</v>
      </c>
      <c r="H52" s="254">
        <v>1.1060692002268837E-2</v>
      </c>
      <c r="I52" s="253">
        <v>8.1247751903640707E-3</v>
      </c>
      <c r="J52" s="253">
        <v>-6.8245622120555557E-2</v>
      </c>
      <c r="K52" s="254">
        <v>-3.5402407271964378E-2</v>
      </c>
      <c r="L52" s="254">
        <v>-5.0415911524041734E-2</v>
      </c>
      <c r="M52" s="254">
        <v>-8.7749145781818486E-2</v>
      </c>
      <c r="N52" s="253">
        <v>-5.0102281893918542E-2</v>
      </c>
      <c r="O52" s="356">
        <v>0</v>
      </c>
      <c r="P52" s="254">
        <v>0</v>
      </c>
      <c r="Q52" s="253">
        <v>0</v>
      </c>
      <c r="R52" s="253">
        <v>0</v>
      </c>
      <c r="S52" s="253">
        <v>0</v>
      </c>
      <c r="T52" s="313">
        <v>0</v>
      </c>
      <c r="U52" s="313">
        <v>0</v>
      </c>
      <c r="V52" s="313">
        <v>0</v>
      </c>
      <c r="W52" s="313">
        <v>0</v>
      </c>
      <c r="X52" s="313">
        <v>0</v>
      </c>
      <c r="Y52" s="313">
        <v>0</v>
      </c>
      <c r="Z52" s="313">
        <v>0</v>
      </c>
      <c r="AA52" s="359">
        <v>0</v>
      </c>
      <c r="AB52" s="445"/>
      <c r="AC52" s="445"/>
      <c r="AD52" s="445"/>
      <c r="AE52" s="334"/>
    </row>
    <row r="53" spans="1:31" s="73" customFormat="1">
      <c r="A53" s="342" t="s">
        <v>142</v>
      </c>
      <c r="B53" s="340" t="s">
        <v>86</v>
      </c>
      <c r="C53" s="337">
        <v>46655.236666666664</v>
      </c>
      <c r="D53" s="341">
        <v>13747.5</v>
      </c>
      <c r="E53" s="341">
        <v>36145.98333333333</v>
      </c>
      <c r="F53" s="341">
        <v>51777.729999999996</v>
      </c>
      <c r="G53" s="341">
        <v>15605.233333333334</v>
      </c>
      <c r="H53" s="341">
        <v>10833.400000000001</v>
      </c>
      <c r="I53" s="337">
        <v>174765.08333333334</v>
      </c>
      <c r="J53" s="337">
        <v>15149.266666666666</v>
      </c>
      <c r="K53" s="341">
        <v>20341.233333333334</v>
      </c>
      <c r="L53" s="341">
        <v>26135.266666666663</v>
      </c>
      <c r="M53" s="341">
        <v>2721.1666666666665</v>
      </c>
      <c r="N53" s="337">
        <v>64346.933333333327</v>
      </c>
      <c r="O53" s="337"/>
      <c r="P53" s="341"/>
      <c r="Q53" s="337">
        <v>96674.833333333328</v>
      </c>
      <c r="R53" s="337"/>
      <c r="S53" s="337">
        <v>96674.833333333328</v>
      </c>
      <c r="T53" s="349"/>
      <c r="U53" s="349"/>
      <c r="V53" s="349"/>
      <c r="W53" s="349"/>
      <c r="X53" s="349"/>
      <c r="Y53" s="349"/>
      <c r="Z53" s="349"/>
      <c r="AA53" s="357"/>
      <c r="AB53" s="444"/>
      <c r="AC53" s="444"/>
      <c r="AD53" s="444"/>
      <c r="AE53" s="334"/>
    </row>
    <row r="54" spans="1:31" s="73" customFormat="1">
      <c r="A54" s="241"/>
      <c r="B54" s="242" t="s">
        <v>84</v>
      </c>
      <c r="C54" s="243">
        <v>46819.28</v>
      </c>
      <c r="D54" s="244">
        <v>14130.933333333332</v>
      </c>
      <c r="E54" s="244">
        <v>35901.96666666666</v>
      </c>
      <c r="F54" s="244">
        <v>51126.95</v>
      </c>
      <c r="G54" s="244">
        <v>15210.300000000001</v>
      </c>
      <c r="H54" s="244">
        <v>12132.766666666666</v>
      </c>
      <c r="I54" s="243">
        <v>175322.19666666666</v>
      </c>
      <c r="J54" s="243">
        <v>14036.3</v>
      </c>
      <c r="K54" s="244">
        <v>18381.833333333332</v>
      </c>
      <c r="L54" s="244">
        <v>24652.283333333333</v>
      </c>
      <c r="M54" s="244">
        <v>2628.4333333333334</v>
      </c>
      <c r="N54" s="243">
        <v>59698.85</v>
      </c>
      <c r="O54" s="243"/>
      <c r="P54" s="244"/>
      <c r="Q54" s="243">
        <v>77975.723333333342</v>
      </c>
      <c r="R54" s="243"/>
      <c r="S54" s="243">
        <v>77975.723333333342</v>
      </c>
      <c r="T54" s="312"/>
      <c r="U54" s="312"/>
      <c r="V54" s="312"/>
      <c r="W54" s="312"/>
      <c r="X54" s="312"/>
      <c r="Y54" s="312"/>
      <c r="Z54" s="312"/>
      <c r="AA54" s="358"/>
      <c r="AB54" s="444"/>
      <c r="AC54" s="444"/>
      <c r="AD54" s="444"/>
      <c r="AE54" s="334"/>
    </row>
    <row r="55" spans="1:31" s="73" customFormat="1">
      <c r="A55" s="241"/>
      <c r="B55" s="245" t="s">
        <v>98</v>
      </c>
      <c r="C55" s="253">
        <v>3.5160754730569699E-3</v>
      </c>
      <c r="D55" s="254">
        <v>2.7891131720918894E-2</v>
      </c>
      <c r="E55" s="254">
        <v>-6.7508653566395365E-3</v>
      </c>
      <c r="F55" s="254">
        <v>-1.2568724044101564E-2</v>
      </c>
      <c r="G55" s="254">
        <v>-2.5307749323410681E-2</v>
      </c>
      <c r="H55" s="734">
        <v>0.11994080036430528</v>
      </c>
      <c r="I55" s="253">
        <v>3.1877839824027603E-3</v>
      </c>
      <c r="J55" s="733">
        <v>-7.3466702458644895E-2</v>
      </c>
      <c r="K55" s="734">
        <v>-9.632650920871734E-2</v>
      </c>
      <c r="L55" s="734">
        <v>-5.6742613429108441E-2</v>
      </c>
      <c r="M55" s="254">
        <v>-3.4078520242542952E-2</v>
      </c>
      <c r="N55" s="253">
        <v>-7.2234729653006147E-2</v>
      </c>
      <c r="O55" s="356">
        <v>0</v>
      </c>
      <c r="P55" s="254">
        <v>0</v>
      </c>
      <c r="Q55" s="733">
        <v>-0.19342272807986899</v>
      </c>
      <c r="R55" s="253">
        <v>0</v>
      </c>
      <c r="S55" s="253">
        <v>-0.19342272807986899</v>
      </c>
      <c r="T55" s="313">
        <v>0</v>
      </c>
      <c r="U55" s="313">
        <v>0</v>
      </c>
      <c r="V55" s="313">
        <v>0</v>
      </c>
      <c r="W55" s="313">
        <v>0</v>
      </c>
      <c r="X55" s="313">
        <v>0</v>
      </c>
      <c r="Y55" s="313">
        <v>0</v>
      </c>
      <c r="Z55" s="313">
        <v>0</v>
      </c>
      <c r="AA55" s="359">
        <v>0</v>
      </c>
      <c r="AB55" s="445"/>
      <c r="AC55" s="445"/>
      <c r="AD55" s="445"/>
      <c r="AE55" s="334"/>
    </row>
    <row r="56" spans="1:31" s="73" customFormat="1">
      <c r="A56" s="241"/>
      <c r="B56" s="242" t="s">
        <v>82</v>
      </c>
      <c r="C56" s="243">
        <v>0</v>
      </c>
      <c r="D56" s="244">
        <v>0</v>
      </c>
      <c r="E56" s="244">
        <v>0</v>
      </c>
      <c r="F56" s="244">
        <v>0</v>
      </c>
      <c r="G56" s="244">
        <v>0</v>
      </c>
      <c r="H56" s="244">
        <v>0</v>
      </c>
      <c r="I56" s="243">
        <v>0</v>
      </c>
      <c r="J56" s="243">
        <v>0</v>
      </c>
      <c r="K56" s="244">
        <v>0</v>
      </c>
      <c r="L56" s="244">
        <v>0</v>
      </c>
      <c r="M56" s="244">
        <v>0</v>
      </c>
      <c r="N56" s="243">
        <v>0</v>
      </c>
      <c r="O56" s="314"/>
      <c r="P56" s="244"/>
      <c r="Q56" s="243">
        <v>0</v>
      </c>
      <c r="R56" s="243"/>
      <c r="S56" s="243">
        <v>0</v>
      </c>
      <c r="T56" s="312"/>
      <c r="U56" s="312"/>
      <c r="V56" s="312"/>
      <c r="W56" s="312"/>
      <c r="X56" s="312"/>
      <c r="Y56" s="312"/>
      <c r="Z56" s="312"/>
      <c r="AA56" s="360"/>
      <c r="AB56" s="444"/>
      <c r="AC56" s="444"/>
      <c r="AD56" s="444"/>
      <c r="AE56" s="334"/>
    </row>
    <row r="57" spans="1:31" s="73" customFormat="1">
      <c r="A57" s="241"/>
      <c r="B57" s="242" t="s">
        <v>80</v>
      </c>
      <c r="C57" s="243">
        <v>0</v>
      </c>
      <c r="D57" s="244">
        <v>0</v>
      </c>
      <c r="E57" s="244">
        <v>0</v>
      </c>
      <c r="F57" s="244">
        <v>0</v>
      </c>
      <c r="G57" s="244">
        <v>0</v>
      </c>
      <c r="H57" s="244">
        <v>0</v>
      </c>
      <c r="I57" s="243">
        <v>0</v>
      </c>
      <c r="J57" s="243">
        <v>0</v>
      </c>
      <c r="K57" s="244">
        <v>0</v>
      </c>
      <c r="L57" s="244">
        <v>0</v>
      </c>
      <c r="M57" s="244">
        <v>0</v>
      </c>
      <c r="N57" s="243">
        <v>0</v>
      </c>
      <c r="O57" s="314"/>
      <c r="P57" s="244"/>
      <c r="Q57" s="243">
        <v>0</v>
      </c>
      <c r="R57" s="243"/>
      <c r="S57" s="243">
        <v>0</v>
      </c>
      <c r="T57" s="312"/>
      <c r="U57" s="312"/>
      <c r="V57" s="312"/>
      <c r="W57" s="312"/>
      <c r="X57" s="312"/>
      <c r="Y57" s="312"/>
      <c r="Z57" s="312"/>
      <c r="AA57" s="360"/>
      <c r="AB57" s="444"/>
      <c r="AC57" s="444"/>
      <c r="AD57" s="444"/>
      <c r="AE57" s="334"/>
    </row>
    <row r="58" spans="1:31" s="73" customFormat="1">
      <c r="A58" s="241"/>
      <c r="B58" s="245" t="s">
        <v>100</v>
      </c>
      <c r="C58" s="253">
        <v>0</v>
      </c>
      <c r="D58" s="254">
        <v>0</v>
      </c>
      <c r="E58" s="254">
        <v>0</v>
      </c>
      <c r="F58" s="254">
        <v>0</v>
      </c>
      <c r="G58" s="254">
        <v>0</v>
      </c>
      <c r="H58" s="254">
        <v>0</v>
      </c>
      <c r="I58" s="253">
        <v>0</v>
      </c>
      <c r="J58" s="253">
        <v>0</v>
      </c>
      <c r="K58" s="254">
        <v>0</v>
      </c>
      <c r="L58" s="254">
        <v>0</v>
      </c>
      <c r="M58" s="254">
        <v>0</v>
      </c>
      <c r="N58" s="253">
        <v>0</v>
      </c>
      <c r="O58" s="356">
        <v>0</v>
      </c>
      <c r="P58" s="254">
        <v>0</v>
      </c>
      <c r="Q58" s="253">
        <v>0</v>
      </c>
      <c r="R58" s="253">
        <v>0</v>
      </c>
      <c r="S58" s="253">
        <v>0</v>
      </c>
      <c r="T58" s="313">
        <v>0</v>
      </c>
      <c r="U58" s="313">
        <v>0</v>
      </c>
      <c r="V58" s="313">
        <v>0</v>
      </c>
      <c r="W58" s="313">
        <v>0</v>
      </c>
      <c r="X58" s="313">
        <v>0</v>
      </c>
      <c r="Y58" s="313">
        <v>0</v>
      </c>
      <c r="Z58" s="313">
        <v>0</v>
      </c>
      <c r="AA58" s="359">
        <v>0</v>
      </c>
      <c r="AB58" s="445"/>
      <c r="AC58" s="445"/>
      <c r="AD58" s="445"/>
      <c r="AE58" s="334"/>
    </row>
    <row r="59" spans="1:31" s="73" customFormat="1">
      <c r="A59" s="241"/>
      <c r="B59" s="242" t="s">
        <v>88</v>
      </c>
      <c r="C59" s="243">
        <v>19576.395833333336</v>
      </c>
      <c r="D59" s="244">
        <v>9785</v>
      </c>
      <c r="E59" s="244">
        <v>4761.9583333333339</v>
      </c>
      <c r="F59" s="244">
        <v>5196.729166666667</v>
      </c>
      <c r="G59" s="244">
        <v>761.375</v>
      </c>
      <c r="H59" s="244">
        <v>0</v>
      </c>
      <c r="I59" s="243">
        <v>40081.458333333336</v>
      </c>
      <c r="J59" s="243">
        <v>0</v>
      </c>
      <c r="K59" s="244">
        <v>0</v>
      </c>
      <c r="L59" s="244">
        <v>0</v>
      </c>
      <c r="M59" s="244">
        <v>0</v>
      </c>
      <c r="N59" s="243">
        <v>0</v>
      </c>
      <c r="O59" s="314"/>
      <c r="P59" s="244"/>
      <c r="Q59" s="243">
        <v>0</v>
      </c>
      <c r="R59" s="243"/>
      <c r="S59" s="243">
        <v>0</v>
      </c>
      <c r="T59" s="312"/>
      <c r="U59" s="312"/>
      <c r="V59" s="312"/>
      <c r="W59" s="312"/>
      <c r="X59" s="312"/>
      <c r="Y59" s="312"/>
      <c r="Z59" s="312"/>
      <c r="AA59" s="360"/>
      <c r="AB59" s="444"/>
      <c r="AC59" s="444"/>
      <c r="AD59" s="444"/>
      <c r="AE59" s="334"/>
    </row>
    <row r="60" spans="1:31" s="73" customFormat="1">
      <c r="A60" s="241"/>
      <c r="B60" s="242" t="s">
        <v>90</v>
      </c>
      <c r="C60" s="243">
        <v>19525.5</v>
      </c>
      <c r="D60" s="244">
        <v>9755.6458333333339</v>
      </c>
      <c r="E60" s="244">
        <v>4825.7083333333339</v>
      </c>
      <c r="F60" s="244">
        <v>5050.0416666666661</v>
      </c>
      <c r="G60" s="244">
        <v>825.50000000000011</v>
      </c>
      <c r="H60" s="244">
        <v>0</v>
      </c>
      <c r="I60" s="243">
        <v>39982.395833333336</v>
      </c>
      <c r="J60" s="243">
        <v>0</v>
      </c>
      <c r="K60" s="244">
        <v>0</v>
      </c>
      <c r="L60" s="244">
        <v>0</v>
      </c>
      <c r="M60" s="244">
        <v>0</v>
      </c>
      <c r="N60" s="243">
        <v>0</v>
      </c>
      <c r="O60" s="314"/>
      <c r="P60" s="244"/>
      <c r="Q60" s="243">
        <v>0</v>
      </c>
      <c r="R60" s="243"/>
      <c r="S60" s="243">
        <v>0</v>
      </c>
      <c r="T60" s="312"/>
      <c r="U60" s="312"/>
      <c r="V60" s="312"/>
      <c r="W60" s="312"/>
      <c r="X60" s="312"/>
      <c r="Y60" s="312"/>
      <c r="Z60" s="312"/>
      <c r="AA60" s="360"/>
      <c r="AB60" s="444"/>
      <c r="AC60" s="444"/>
      <c r="AD60" s="444"/>
      <c r="AE60" s="334"/>
    </row>
    <row r="61" spans="1:31" s="73" customFormat="1">
      <c r="A61" s="241"/>
      <c r="B61" s="245" t="s">
        <v>92</v>
      </c>
      <c r="C61" s="253">
        <v>-2.599857183449154E-3</v>
      </c>
      <c r="D61" s="254">
        <v>-2.9999148356327091E-3</v>
      </c>
      <c r="E61" s="254">
        <v>1.3387349392319335E-2</v>
      </c>
      <c r="F61" s="254">
        <v>-2.822688950982807E-2</v>
      </c>
      <c r="G61" s="254">
        <v>8.4222623542932348E-2</v>
      </c>
      <c r="H61" s="254">
        <v>0</v>
      </c>
      <c r="I61" s="253">
        <v>-2.4715293334923684E-3</v>
      </c>
      <c r="J61" s="253">
        <v>0</v>
      </c>
      <c r="K61" s="254">
        <v>0</v>
      </c>
      <c r="L61" s="254">
        <v>0</v>
      </c>
      <c r="M61" s="254">
        <v>0</v>
      </c>
      <c r="N61" s="253">
        <v>0</v>
      </c>
      <c r="O61" s="356">
        <v>0</v>
      </c>
      <c r="P61" s="254">
        <v>0</v>
      </c>
      <c r="Q61" s="253">
        <v>0</v>
      </c>
      <c r="R61" s="253">
        <v>0</v>
      </c>
      <c r="S61" s="253">
        <v>0</v>
      </c>
      <c r="T61" s="313">
        <v>0</v>
      </c>
      <c r="U61" s="313">
        <v>0</v>
      </c>
      <c r="V61" s="313">
        <v>0</v>
      </c>
      <c r="W61" s="313">
        <v>0</v>
      </c>
      <c r="X61" s="313">
        <v>0</v>
      </c>
      <c r="Y61" s="313">
        <v>0</v>
      </c>
      <c r="Z61" s="313">
        <v>0</v>
      </c>
      <c r="AA61" s="359">
        <v>0</v>
      </c>
      <c r="AB61" s="445"/>
      <c r="AC61" s="445"/>
      <c r="AD61" s="445"/>
      <c r="AE61" s="334"/>
    </row>
    <row r="62" spans="1:31" s="73" customFormat="1">
      <c r="A62" s="241"/>
      <c r="B62" s="242" t="s">
        <v>8</v>
      </c>
      <c r="C62" s="243">
        <v>66231.632500000007</v>
      </c>
      <c r="D62" s="244">
        <v>23532.5</v>
      </c>
      <c r="E62" s="244">
        <v>40907.941666666666</v>
      </c>
      <c r="F62" s="244">
        <v>56974.459166666667</v>
      </c>
      <c r="G62" s="244">
        <v>16366.608333333334</v>
      </c>
      <c r="H62" s="244">
        <v>10833.400000000001</v>
      </c>
      <c r="I62" s="243">
        <v>214846.54166666666</v>
      </c>
      <c r="J62" s="243">
        <v>15149.266666666666</v>
      </c>
      <c r="K62" s="244">
        <v>20341.233333333334</v>
      </c>
      <c r="L62" s="244">
        <v>26135.266666666663</v>
      </c>
      <c r="M62" s="244">
        <v>2721.1666666666665</v>
      </c>
      <c r="N62" s="243">
        <v>64346.933333333327</v>
      </c>
      <c r="O62" s="314"/>
      <c r="P62" s="244"/>
      <c r="Q62" s="243">
        <v>96674.833333333328</v>
      </c>
      <c r="R62" s="243"/>
      <c r="S62" s="243">
        <v>96674.833333333328</v>
      </c>
      <c r="T62" s="312"/>
      <c r="U62" s="312"/>
      <c r="V62" s="312"/>
      <c r="W62" s="312"/>
      <c r="X62" s="312"/>
      <c r="Y62" s="312"/>
      <c r="Z62" s="312"/>
      <c r="AA62" s="360"/>
      <c r="AB62" s="444"/>
      <c r="AC62" s="444"/>
      <c r="AD62" s="444"/>
      <c r="AE62" s="334"/>
    </row>
    <row r="63" spans="1:31" s="73" customFormat="1">
      <c r="A63" s="241"/>
      <c r="B63" s="242" t="s">
        <v>94</v>
      </c>
      <c r="C63" s="243">
        <v>66344.78</v>
      </c>
      <c r="D63" s="244">
        <v>23886.579166666666</v>
      </c>
      <c r="E63" s="244">
        <v>40727.674999999996</v>
      </c>
      <c r="F63" s="244">
        <v>56176.991666666661</v>
      </c>
      <c r="G63" s="244">
        <v>16035.800000000001</v>
      </c>
      <c r="H63" s="244">
        <v>12132.766666666666</v>
      </c>
      <c r="I63" s="243">
        <v>215304.59249999997</v>
      </c>
      <c r="J63" s="243">
        <v>14036.3</v>
      </c>
      <c r="K63" s="244">
        <v>18381.833333333332</v>
      </c>
      <c r="L63" s="244">
        <v>24652.283333333333</v>
      </c>
      <c r="M63" s="244">
        <v>2628.4333333333334</v>
      </c>
      <c r="N63" s="243">
        <v>59698.85</v>
      </c>
      <c r="O63" s="314"/>
      <c r="P63" s="244"/>
      <c r="Q63" s="243">
        <v>77975.723333333342</v>
      </c>
      <c r="R63" s="243"/>
      <c r="S63" s="243">
        <v>77975.723333333342</v>
      </c>
      <c r="T63" s="312"/>
      <c r="U63" s="312"/>
      <c r="V63" s="312"/>
      <c r="W63" s="312"/>
      <c r="X63" s="312"/>
      <c r="Y63" s="312"/>
      <c r="Z63" s="312"/>
      <c r="AA63" s="360"/>
      <c r="AB63" s="444"/>
      <c r="AC63" s="444"/>
      <c r="AD63" s="444"/>
      <c r="AE63" s="334"/>
    </row>
    <row r="64" spans="1:31" s="73" customFormat="1">
      <c r="A64" s="246"/>
      <c r="B64" s="311" t="s">
        <v>96</v>
      </c>
      <c r="C64" s="253">
        <v>1.7083604273228784E-3</v>
      </c>
      <c r="D64" s="254">
        <v>1.5046389744679334E-2</v>
      </c>
      <c r="E64" s="254">
        <v>-4.4066423125257888E-3</v>
      </c>
      <c r="F64" s="254">
        <v>-1.3996929706119448E-2</v>
      </c>
      <c r="G64" s="254">
        <v>-2.0212393832360856E-2</v>
      </c>
      <c r="H64" s="254">
        <v>0.11994080036430528</v>
      </c>
      <c r="I64" s="253">
        <v>2.1319907212841074E-3</v>
      </c>
      <c r="J64" s="253">
        <v>-7.3466702458644895E-2</v>
      </c>
      <c r="K64" s="254">
        <v>-9.632650920871734E-2</v>
      </c>
      <c r="L64" s="254">
        <v>-5.6742613429108441E-2</v>
      </c>
      <c r="M64" s="254">
        <v>-3.4078520242542952E-2</v>
      </c>
      <c r="N64" s="253">
        <v>-7.2234729653006147E-2</v>
      </c>
      <c r="O64" s="356">
        <v>0</v>
      </c>
      <c r="P64" s="254">
        <v>0</v>
      </c>
      <c r="Q64" s="253">
        <v>-0.19342272807986899</v>
      </c>
      <c r="R64" s="253">
        <v>0</v>
      </c>
      <c r="S64" s="253">
        <v>-0.19342272807986899</v>
      </c>
      <c r="T64" s="313">
        <v>0</v>
      </c>
      <c r="U64" s="313">
        <v>0</v>
      </c>
      <c r="V64" s="313">
        <v>0</v>
      </c>
      <c r="W64" s="313">
        <v>0</v>
      </c>
      <c r="X64" s="313">
        <v>0</v>
      </c>
      <c r="Y64" s="313">
        <v>0</v>
      </c>
      <c r="Z64" s="313">
        <v>0</v>
      </c>
      <c r="AA64" s="359">
        <v>0</v>
      </c>
      <c r="AB64" s="445"/>
      <c r="AC64" s="445"/>
      <c r="AD64" s="445"/>
      <c r="AE64" s="334"/>
    </row>
    <row r="65" spans="1:31" s="73" customFormat="1">
      <c r="A65" s="342" t="s">
        <v>251</v>
      </c>
      <c r="B65" s="340" t="s">
        <v>86</v>
      </c>
      <c r="C65" s="337">
        <v>31765.800000000003</v>
      </c>
      <c r="D65" s="341"/>
      <c r="E65" s="341">
        <v>41239.73333333333</v>
      </c>
      <c r="F65" s="341">
        <v>13283.366666666665</v>
      </c>
      <c r="G65" s="341"/>
      <c r="H65" s="341"/>
      <c r="I65" s="337">
        <v>86288.9</v>
      </c>
      <c r="J65" s="337"/>
      <c r="K65" s="341">
        <v>18423.433333333334</v>
      </c>
      <c r="L65" s="341">
        <v>36209.100000000006</v>
      </c>
      <c r="M65" s="341">
        <v>1441.1666666666667</v>
      </c>
      <c r="N65" s="337">
        <v>56073.700000000004</v>
      </c>
      <c r="O65" s="337"/>
      <c r="P65" s="341"/>
      <c r="Q65" s="337">
        <v>4817.2</v>
      </c>
      <c r="R65" s="337"/>
      <c r="S65" s="337">
        <v>4817.2</v>
      </c>
      <c r="T65" s="349"/>
      <c r="U65" s="349"/>
      <c r="V65" s="349"/>
      <c r="W65" s="349"/>
      <c r="X65" s="349"/>
      <c r="Y65" s="349"/>
      <c r="Z65" s="349"/>
      <c r="AA65" s="357"/>
      <c r="AB65" s="444"/>
      <c r="AC65" s="444"/>
      <c r="AD65" s="444"/>
      <c r="AE65" s="334"/>
    </row>
    <row r="66" spans="1:31" s="73" customFormat="1">
      <c r="A66" s="241"/>
      <c r="B66" s="242" t="s">
        <v>84</v>
      </c>
      <c r="C66" s="243">
        <v>32257.599999999999</v>
      </c>
      <c r="D66" s="244"/>
      <c r="E66" s="244">
        <v>41413.300000000003</v>
      </c>
      <c r="F66" s="244">
        <v>13086.9</v>
      </c>
      <c r="G66" s="244"/>
      <c r="H66" s="244"/>
      <c r="I66" s="243">
        <v>86757.799999999988</v>
      </c>
      <c r="J66" s="243"/>
      <c r="K66" s="244">
        <v>17112</v>
      </c>
      <c r="L66" s="244">
        <v>32833.599999999999</v>
      </c>
      <c r="M66" s="244">
        <v>1273.7666666666667</v>
      </c>
      <c r="N66" s="243">
        <v>51219.366666666669</v>
      </c>
      <c r="O66" s="243"/>
      <c r="P66" s="244"/>
      <c r="Q66" s="243">
        <v>5047.0666666666666</v>
      </c>
      <c r="R66" s="243"/>
      <c r="S66" s="243">
        <v>5047.0666666666666</v>
      </c>
      <c r="T66" s="312"/>
      <c r="U66" s="312"/>
      <c r="V66" s="312"/>
      <c r="W66" s="312"/>
      <c r="X66" s="312"/>
      <c r="Y66" s="312"/>
      <c r="Z66" s="312"/>
      <c r="AA66" s="358"/>
      <c r="AB66" s="444"/>
      <c r="AC66" s="444"/>
      <c r="AD66" s="444"/>
      <c r="AE66" s="334"/>
    </row>
    <row r="67" spans="1:31" s="73" customFormat="1">
      <c r="A67" s="241"/>
      <c r="B67" s="245" t="s">
        <v>98</v>
      </c>
      <c r="C67" s="253">
        <v>1.5482059321660264E-2</v>
      </c>
      <c r="D67" s="254">
        <v>0</v>
      </c>
      <c r="E67" s="254">
        <v>4.2087242723847142E-3</v>
      </c>
      <c r="F67" s="254">
        <v>-1.4790427125653288E-2</v>
      </c>
      <c r="G67" s="254">
        <v>0</v>
      </c>
      <c r="H67" s="254">
        <v>0</v>
      </c>
      <c r="I67" s="253">
        <v>5.4340708944023404E-3</v>
      </c>
      <c r="J67" s="253">
        <v>0</v>
      </c>
      <c r="K67" s="734">
        <v>-7.1182895696241977E-2</v>
      </c>
      <c r="L67" s="734">
        <v>-9.3222421987843015E-2</v>
      </c>
      <c r="M67" s="734">
        <v>-0.11615589221695391</v>
      </c>
      <c r="N67" s="253">
        <v>-8.6570590728511393E-2</v>
      </c>
      <c r="O67" s="356">
        <v>0</v>
      </c>
      <c r="P67" s="254">
        <v>0</v>
      </c>
      <c r="Q67" s="253">
        <v>4.7717899748124799E-2</v>
      </c>
      <c r="R67" s="253">
        <v>0</v>
      </c>
      <c r="S67" s="253">
        <v>4.7717899748124799E-2</v>
      </c>
      <c r="T67" s="313">
        <v>0</v>
      </c>
      <c r="U67" s="313">
        <v>0</v>
      </c>
      <c r="V67" s="313">
        <v>0</v>
      </c>
      <c r="W67" s="313">
        <v>0</v>
      </c>
      <c r="X67" s="313">
        <v>0</v>
      </c>
      <c r="Y67" s="313">
        <v>0</v>
      </c>
      <c r="Z67" s="313">
        <v>0</v>
      </c>
      <c r="AA67" s="359">
        <v>0</v>
      </c>
      <c r="AB67" s="445"/>
      <c r="AC67" s="445"/>
      <c r="AD67" s="445"/>
      <c r="AE67" s="334"/>
    </row>
    <row r="68" spans="1:31" s="73" customFormat="1">
      <c r="A68" s="241"/>
      <c r="B68" s="242" t="s">
        <v>82</v>
      </c>
      <c r="C68" s="243">
        <v>0</v>
      </c>
      <c r="D68" s="244"/>
      <c r="E68" s="244">
        <v>0</v>
      </c>
      <c r="F68" s="244">
        <v>0</v>
      </c>
      <c r="G68" s="244"/>
      <c r="H68" s="244"/>
      <c r="I68" s="243">
        <v>0</v>
      </c>
      <c r="J68" s="243"/>
      <c r="K68" s="244">
        <v>0</v>
      </c>
      <c r="L68" s="244">
        <v>0</v>
      </c>
      <c r="M68" s="244">
        <v>0</v>
      </c>
      <c r="N68" s="243">
        <v>0</v>
      </c>
      <c r="O68" s="314"/>
      <c r="P68" s="244"/>
      <c r="Q68" s="243">
        <v>0</v>
      </c>
      <c r="R68" s="243"/>
      <c r="S68" s="243">
        <v>0</v>
      </c>
      <c r="T68" s="312"/>
      <c r="U68" s="312"/>
      <c r="V68" s="312"/>
      <c r="W68" s="312"/>
      <c r="X68" s="312"/>
      <c r="Y68" s="312"/>
      <c r="Z68" s="312"/>
      <c r="AA68" s="360"/>
      <c r="AB68" s="444"/>
      <c r="AC68" s="444"/>
      <c r="AD68" s="444"/>
      <c r="AE68" s="334"/>
    </row>
    <row r="69" spans="1:31" s="73" customFormat="1">
      <c r="A69" s="241"/>
      <c r="B69" s="242" t="s">
        <v>80</v>
      </c>
      <c r="C69" s="243">
        <v>0</v>
      </c>
      <c r="D69" s="244"/>
      <c r="E69" s="244">
        <v>0</v>
      </c>
      <c r="F69" s="244">
        <v>0</v>
      </c>
      <c r="G69" s="244"/>
      <c r="H69" s="244"/>
      <c r="I69" s="243">
        <v>0</v>
      </c>
      <c r="J69" s="243"/>
      <c r="K69" s="244">
        <v>0</v>
      </c>
      <c r="L69" s="244">
        <v>0</v>
      </c>
      <c r="M69" s="244">
        <v>0</v>
      </c>
      <c r="N69" s="243">
        <v>0</v>
      </c>
      <c r="O69" s="314"/>
      <c r="P69" s="244"/>
      <c r="Q69" s="243">
        <v>0</v>
      </c>
      <c r="R69" s="243"/>
      <c r="S69" s="243">
        <v>0</v>
      </c>
      <c r="T69" s="312"/>
      <c r="U69" s="312"/>
      <c r="V69" s="312"/>
      <c r="W69" s="312"/>
      <c r="X69" s="312"/>
      <c r="Y69" s="312"/>
      <c r="Z69" s="312"/>
      <c r="AA69" s="360"/>
      <c r="AB69" s="444"/>
      <c r="AC69" s="444"/>
      <c r="AD69" s="444"/>
      <c r="AE69" s="334"/>
    </row>
    <row r="70" spans="1:31" s="73" customFormat="1">
      <c r="A70" s="241"/>
      <c r="B70" s="245" t="s">
        <v>100</v>
      </c>
      <c r="C70" s="253">
        <v>0</v>
      </c>
      <c r="D70" s="254">
        <v>0</v>
      </c>
      <c r="E70" s="254">
        <v>0</v>
      </c>
      <c r="F70" s="254">
        <v>0</v>
      </c>
      <c r="G70" s="254">
        <v>0</v>
      </c>
      <c r="H70" s="254">
        <v>0</v>
      </c>
      <c r="I70" s="253">
        <v>0</v>
      </c>
      <c r="J70" s="253">
        <v>0</v>
      </c>
      <c r="K70" s="254">
        <v>0</v>
      </c>
      <c r="L70" s="254">
        <v>0</v>
      </c>
      <c r="M70" s="254">
        <v>0</v>
      </c>
      <c r="N70" s="253">
        <v>0</v>
      </c>
      <c r="O70" s="356">
        <v>0</v>
      </c>
      <c r="P70" s="254">
        <v>0</v>
      </c>
      <c r="Q70" s="253">
        <v>0</v>
      </c>
      <c r="R70" s="253">
        <v>0</v>
      </c>
      <c r="S70" s="253">
        <v>0</v>
      </c>
      <c r="T70" s="313">
        <v>0</v>
      </c>
      <c r="U70" s="313">
        <v>0</v>
      </c>
      <c r="V70" s="313">
        <v>0</v>
      </c>
      <c r="W70" s="313">
        <v>0</v>
      </c>
      <c r="X70" s="313">
        <v>0</v>
      </c>
      <c r="Y70" s="313">
        <v>0</v>
      </c>
      <c r="Z70" s="313">
        <v>0</v>
      </c>
      <c r="AA70" s="359">
        <v>0</v>
      </c>
      <c r="AB70" s="445"/>
      <c r="AC70" s="445"/>
      <c r="AD70" s="445"/>
      <c r="AE70" s="334"/>
    </row>
    <row r="71" spans="1:31" s="73" customFormat="1">
      <c r="A71" s="241"/>
      <c r="B71" s="242" t="s">
        <v>88</v>
      </c>
      <c r="C71" s="243">
        <v>6826</v>
      </c>
      <c r="D71" s="244"/>
      <c r="E71" s="244">
        <v>5899.125</v>
      </c>
      <c r="F71" s="244">
        <v>1888.6666666666667</v>
      </c>
      <c r="G71" s="244"/>
      <c r="H71" s="244"/>
      <c r="I71" s="243">
        <v>14613.791666666666</v>
      </c>
      <c r="J71" s="243"/>
      <c r="K71" s="244">
        <v>0</v>
      </c>
      <c r="L71" s="244">
        <v>0</v>
      </c>
      <c r="M71" s="244">
        <v>0</v>
      </c>
      <c r="N71" s="243">
        <v>0</v>
      </c>
      <c r="O71" s="314"/>
      <c r="P71" s="244"/>
      <c r="Q71" s="243">
        <v>0</v>
      </c>
      <c r="R71" s="243"/>
      <c r="S71" s="243">
        <v>0</v>
      </c>
      <c r="T71" s="312"/>
      <c r="U71" s="312"/>
      <c r="V71" s="312"/>
      <c r="W71" s="312"/>
      <c r="X71" s="312"/>
      <c r="Y71" s="312"/>
      <c r="Z71" s="312"/>
      <c r="AA71" s="360"/>
      <c r="AB71" s="444"/>
      <c r="AC71" s="444"/>
      <c r="AD71" s="444"/>
      <c r="AE71" s="334"/>
    </row>
    <row r="72" spans="1:31" s="73" customFormat="1">
      <c r="A72" s="241"/>
      <c r="B72" s="242" t="s">
        <v>90</v>
      </c>
      <c r="C72" s="243">
        <v>6743.958333333333</v>
      </c>
      <c r="D72" s="244"/>
      <c r="E72" s="244">
        <v>5717.25</v>
      </c>
      <c r="F72" s="244">
        <v>1811.0416666666667</v>
      </c>
      <c r="G72" s="244"/>
      <c r="H72" s="244"/>
      <c r="I72" s="243">
        <v>14272.249999999998</v>
      </c>
      <c r="J72" s="243"/>
      <c r="K72" s="244">
        <v>0</v>
      </c>
      <c r="L72" s="244">
        <v>0</v>
      </c>
      <c r="M72" s="244">
        <v>0</v>
      </c>
      <c r="N72" s="243">
        <v>0</v>
      </c>
      <c r="O72" s="314"/>
      <c r="P72" s="244"/>
      <c r="Q72" s="243">
        <v>0</v>
      </c>
      <c r="R72" s="243"/>
      <c r="S72" s="243">
        <v>0</v>
      </c>
      <c r="T72" s="312"/>
      <c r="U72" s="312"/>
      <c r="V72" s="312"/>
      <c r="W72" s="312"/>
      <c r="X72" s="312"/>
      <c r="Y72" s="312"/>
      <c r="Z72" s="312"/>
      <c r="AA72" s="360"/>
      <c r="AB72" s="444"/>
      <c r="AC72" s="444"/>
      <c r="AD72" s="444"/>
      <c r="AE72" s="334"/>
    </row>
    <row r="73" spans="1:31" s="73" customFormat="1">
      <c r="A73" s="241"/>
      <c r="B73" s="245" t="s">
        <v>92</v>
      </c>
      <c r="C73" s="253">
        <v>-1.201899599570275E-2</v>
      </c>
      <c r="D73" s="254">
        <v>0</v>
      </c>
      <c r="E73" s="254">
        <v>-3.0830843557307228E-2</v>
      </c>
      <c r="F73" s="254">
        <v>-4.1100423579244615E-2</v>
      </c>
      <c r="G73" s="254">
        <v>0</v>
      </c>
      <c r="H73" s="254">
        <v>0</v>
      </c>
      <c r="I73" s="253">
        <v>-2.3371187605315837E-2</v>
      </c>
      <c r="J73" s="253">
        <v>0</v>
      </c>
      <c r="K73" s="254">
        <v>0</v>
      </c>
      <c r="L73" s="254">
        <v>0</v>
      </c>
      <c r="M73" s="254">
        <v>0</v>
      </c>
      <c r="N73" s="253">
        <v>0</v>
      </c>
      <c r="O73" s="356">
        <v>0</v>
      </c>
      <c r="P73" s="254">
        <v>0</v>
      </c>
      <c r="Q73" s="253">
        <v>0</v>
      </c>
      <c r="R73" s="253">
        <v>0</v>
      </c>
      <c r="S73" s="253">
        <v>0</v>
      </c>
      <c r="T73" s="313">
        <v>0</v>
      </c>
      <c r="U73" s="313">
        <v>0</v>
      </c>
      <c r="V73" s="313">
        <v>0</v>
      </c>
      <c r="W73" s="313">
        <v>0</v>
      </c>
      <c r="X73" s="313">
        <v>0</v>
      </c>
      <c r="Y73" s="313">
        <v>0</v>
      </c>
      <c r="Z73" s="313">
        <v>0</v>
      </c>
      <c r="AA73" s="359">
        <v>0</v>
      </c>
      <c r="AB73" s="445"/>
      <c r="AC73" s="445"/>
      <c r="AD73" s="445"/>
      <c r="AE73" s="334"/>
    </row>
    <row r="74" spans="1:31" s="73" customFormat="1">
      <c r="A74" s="241"/>
      <c r="B74" s="242" t="s">
        <v>8</v>
      </c>
      <c r="C74" s="243">
        <v>38591.800000000003</v>
      </c>
      <c r="D74" s="244"/>
      <c r="E74" s="244">
        <v>47138.858333333337</v>
      </c>
      <c r="F74" s="244">
        <v>15172.033333333333</v>
      </c>
      <c r="G74" s="244"/>
      <c r="H74" s="244"/>
      <c r="I74" s="243">
        <v>100902.69166666668</v>
      </c>
      <c r="J74" s="243"/>
      <c r="K74" s="244">
        <v>18423.433333333334</v>
      </c>
      <c r="L74" s="244">
        <v>36209.100000000006</v>
      </c>
      <c r="M74" s="244">
        <v>1441.1666666666667</v>
      </c>
      <c r="N74" s="243">
        <v>56073.700000000004</v>
      </c>
      <c r="O74" s="314"/>
      <c r="P74" s="244"/>
      <c r="Q74" s="243">
        <v>4817.2</v>
      </c>
      <c r="R74" s="243"/>
      <c r="S74" s="243">
        <v>4817.2</v>
      </c>
      <c r="T74" s="312"/>
      <c r="U74" s="312"/>
      <c r="V74" s="312"/>
      <c r="W74" s="312"/>
      <c r="X74" s="312"/>
      <c r="Y74" s="312"/>
      <c r="Z74" s="312"/>
      <c r="AA74" s="360"/>
      <c r="AB74" s="444"/>
      <c r="AC74" s="444"/>
      <c r="AD74" s="444"/>
      <c r="AE74" s="334"/>
    </row>
    <row r="75" spans="1:31" s="73" customFormat="1">
      <c r="A75" s="241"/>
      <c r="B75" s="242" t="s">
        <v>94</v>
      </c>
      <c r="C75" s="243">
        <v>39001.558333333334</v>
      </c>
      <c r="D75" s="244"/>
      <c r="E75" s="244">
        <v>47130.55</v>
      </c>
      <c r="F75" s="244">
        <v>14897.941666666666</v>
      </c>
      <c r="G75" s="244"/>
      <c r="H75" s="244"/>
      <c r="I75" s="243">
        <v>101030.05</v>
      </c>
      <c r="J75" s="243"/>
      <c r="K75" s="244">
        <v>17112</v>
      </c>
      <c r="L75" s="244">
        <v>32833.599999999999</v>
      </c>
      <c r="M75" s="244">
        <v>1273.7666666666667</v>
      </c>
      <c r="N75" s="243">
        <v>51219.366666666669</v>
      </c>
      <c r="O75" s="314"/>
      <c r="P75" s="244"/>
      <c r="Q75" s="243">
        <v>5047.0666666666666</v>
      </c>
      <c r="R75" s="243"/>
      <c r="S75" s="243">
        <v>5047.0666666666666</v>
      </c>
      <c r="T75" s="312"/>
      <c r="U75" s="312"/>
      <c r="V75" s="312"/>
      <c r="W75" s="312"/>
      <c r="X75" s="312"/>
      <c r="Y75" s="312"/>
      <c r="Z75" s="312"/>
      <c r="AA75" s="360"/>
      <c r="AB75" s="444"/>
      <c r="AC75" s="444"/>
      <c r="AD75" s="444"/>
      <c r="AE75" s="334"/>
    </row>
    <row r="76" spans="1:31" s="73" customFormat="1">
      <c r="A76" s="246"/>
      <c r="B76" s="311" t="s">
        <v>96</v>
      </c>
      <c r="C76" s="253">
        <v>1.0617756449124719E-2</v>
      </c>
      <c r="D76" s="254">
        <v>0</v>
      </c>
      <c r="E76" s="254">
        <v>-1.7625232402922295E-4</v>
      </c>
      <c r="F76" s="254">
        <v>-1.8065585584002179E-2</v>
      </c>
      <c r="G76" s="254">
        <v>0</v>
      </c>
      <c r="H76" s="254">
        <v>0</v>
      </c>
      <c r="I76" s="253">
        <v>1.2621896525225225E-3</v>
      </c>
      <c r="J76" s="253">
        <v>0</v>
      </c>
      <c r="K76" s="254">
        <v>-7.1182895696241977E-2</v>
      </c>
      <c r="L76" s="254">
        <v>-9.3222421987843015E-2</v>
      </c>
      <c r="M76" s="254">
        <v>-0.11615589221695391</v>
      </c>
      <c r="N76" s="253">
        <v>-8.6570590728511393E-2</v>
      </c>
      <c r="O76" s="356">
        <v>0</v>
      </c>
      <c r="P76" s="254">
        <v>0</v>
      </c>
      <c r="Q76" s="253">
        <v>4.7717899748124799E-2</v>
      </c>
      <c r="R76" s="253">
        <v>0</v>
      </c>
      <c r="S76" s="253">
        <v>4.7717899748124799E-2</v>
      </c>
      <c r="T76" s="313">
        <v>0</v>
      </c>
      <c r="U76" s="313">
        <v>0</v>
      </c>
      <c r="V76" s="313">
        <v>0</v>
      </c>
      <c r="W76" s="313">
        <v>0</v>
      </c>
      <c r="X76" s="313">
        <v>0</v>
      </c>
      <c r="Y76" s="313">
        <v>0</v>
      </c>
      <c r="Z76" s="313">
        <v>0</v>
      </c>
      <c r="AA76" s="359">
        <v>0</v>
      </c>
      <c r="AB76" s="445"/>
      <c r="AC76" s="445"/>
      <c r="AD76" s="445"/>
      <c r="AE76" s="334"/>
    </row>
    <row r="77" spans="1:31" s="73" customFormat="1">
      <c r="A77" s="342" t="s">
        <v>325</v>
      </c>
      <c r="B77" s="340" t="s">
        <v>86</v>
      </c>
      <c r="C77" s="337">
        <v>24254.566666666666</v>
      </c>
      <c r="D77" s="341">
        <v>28736</v>
      </c>
      <c r="E77" s="341">
        <v>24473.199999999997</v>
      </c>
      <c r="F77" s="341">
        <v>30344.166666666668</v>
      </c>
      <c r="G77" s="341"/>
      <c r="H77" s="341">
        <v>1861.8</v>
      </c>
      <c r="I77" s="337">
        <v>109669.73333333334</v>
      </c>
      <c r="J77" s="337"/>
      <c r="K77" s="341">
        <v>25316.166666666668</v>
      </c>
      <c r="L77" s="341">
        <v>4755.8333333333339</v>
      </c>
      <c r="M77" s="341">
        <v>7497.0333333333328</v>
      </c>
      <c r="N77" s="337">
        <v>37569.033333333333</v>
      </c>
      <c r="O77" s="337"/>
      <c r="P77" s="341"/>
      <c r="Q77" s="337">
        <v>18658.816666666669</v>
      </c>
      <c r="R77" s="337"/>
      <c r="S77" s="337">
        <v>18658.816666666669</v>
      </c>
      <c r="T77" s="349"/>
      <c r="U77" s="349"/>
      <c r="V77" s="349"/>
      <c r="W77" s="349"/>
      <c r="X77" s="349"/>
      <c r="Y77" s="349"/>
      <c r="Z77" s="349"/>
      <c r="AA77" s="357"/>
      <c r="AB77" s="444"/>
      <c r="AC77" s="444"/>
      <c r="AD77" s="444"/>
      <c r="AE77" s="334"/>
    </row>
    <row r="78" spans="1:31" s="73" customFormat="1">
      <c r="A78" s="241"/>
      <c r="B78" s="242" t="s">
        <v>84</v>
      </c>
      <c r="C78" s="243">
        <v>24166.9</v>
      </c>
      <c r="D78" s="244">
        <v>28101.1</v>
      </c>
      <c r="E78" s="244">
        <v>23235.633333333331</v>
      </c>
      <c r="F78" s="244">
        <v>29616.366666666665</v>
      </c>
      <c r="G78" s="244"/>
      <c r="H78" s="244">
        <v>1724.3</v>
      </c>
      <c r="I78" s="243">
        <v>106844.3</v>
      </c>
      <c r="J78" s="243"/>
      <c r="K78" s="244">
        <v>25425.199999999997</v>
      </c>
      <c r="L78" s="244">
        <v>7391.3833333333332</v>
      </c>
      <c r="M78" s="244">
        <v>8497.6</v>
      </c>
      <c r="N78" s="243">
        <v>41314.183333333327</v>
      </c>
      <c r="O78" s="243"/>
      <c r="P78" s="244"/>
      <c r="Q78" s="243">
        <v>14173.533333333333</v>
      </c>
      <c r="R78" s="243"/>
      <c r="S78" s="243">
        <v>14173.533333333333</v>
      </c>
      <c r="T78" s="312"/>
      <c r="U78" s="312"/>
      <c r="V78" s="312"/>
      <c r="W78" s="312"/>
      <c r="X78" s="312"/>
      <c r="Y78" s="312"/>
      <c r="Z78" s="312"/>
      <c r="AA78" s="358"/>
      <c r="AB78" s="444"/>
      <c r="AC78" s="444"/>
      <c r="AD78" s="444"/>
      <c r="AE78" s="334"/>
    </row>
    <row r="79" spans="1:31" s="73" customFormat="1">
      <c r="A79" s="241"/>
      <c r="B79" s="245" t="s">
        <v>98</v>
      </c>
      <c r="C79" s="253">
        <v>-3.6144396175564566E-3</v>
      </c>
      <c r="D79" s="254">
        <v>-2.2094237193763969E-2</v>
      </c>
      <c r="E79" s="734">
        <v>-5.056824063329135E-2</v>
      </c>
      <c r="F79" s="254">
        <v>-2.3984840578914219E-2</v>
      </c>
      <c r="G79" s="254">
        <v>0</v>
      </c>
      <c r="H79" s="734">
        <v>-7.3853260285744973E-2</v>
      </c>
      <c r="I79" s="253">
        <v>-2.5763109359859853E-2</v>
      </c>
      <c r="J79" s="253">
        <v>0</v>
      </c>
      <c r="K79" s="254">
        <v>4.3068658367181392E-3</v>
      </c>
      <c r="L79" s="734">
        <v>0.55417206938847008</v>
      </c>
      <c r="M79" s="734">
        <v>0.13346168039802422</v>
      </c>
      <c r="N79" s="253">
        <v>9.9687153693067979E-2</v>
      </c>
      <c r="O79" s="356">
        <v>0</v>
      </c>
      <c r="P79" s="254">
        <v>0</v>
      </c>
      <c r="Q79" s="733">
        <v>-0.24038412582434235</v>
      </c>
      <c r="R79" s="253">
        <v>0</v>
      </c>
      <c r="S79" s="253">
        <v>-0.24038412582434235</v>
      </c>
      <c r="T79" s="313">
        <v>0</v>
      </c>
      <c r="U79" s="313">
        <v>0</v>
      </c>
      <c r="V79" s="313">
        <v>0</v>
      </c>
      <c r="W79" s="313">
        <v>0</v>
      </c>
      <c r="X79" s="313">
        <v>0</v>
      </c>
      <c r="Y79" s="313">
        <v>0</v>
      </c>
      <c r="Z79" s="313">
        <v>0</v>
      </c>
      <c r="AA79" s="359">
        <v>0</v>
      </c>
      <c r="AB79" s="445"/>
      <c r="AC79" s="445"/>
      <c r="AD79" s="445"/>
      <c r="AE79" s="334"/>
    </row>
    <row r="80" spans="1:31" s="73" customFormat="1">
      <c r="A80" s="241"/>
      <c r="B80" s="242" t="s">
        <v>82</v>
      </c>
      <c r="C80" s="243">
        <v>0</v>
      </c>
      <c r="D80" s="244">
        <v>0</v>
      </c>
      <c r="E80" s="244">
        <v>0</v>
      </c>
      <c r="F80" s="244">
        <v>0</v>
      </c>
      <c r="G80" s="244"/>
      <c r="H80" s="244">
        <v>0</v>
      </c>
      <c r="I80" s="243">
        <v>0</v>
      </c>
      <c r="J80" s="243"/>
      <c r="K80" s="244">
        <v>0</v>
      </c>
      <c r="L80" s="244">
        <v>0</v>
      </c>
      <c r="M80" s="244">
        <v>0</v>
      </c>
      <c r="N80" s="243">
        <v>0</v>
      </c>
      <c r="O80" s="314"/>
      <c r="P80" s="244"/>
      <c r="Q80" s="243">
        <v>0</v>
      </c>
      <c r="R80" s="243"/>
      <c r="S80" s="243">
        <v>0</v>
      </c>
      <c r="T80" s="312"/>
      <c r="U80" s="312"/>
      <c r="V80" s="312"/>
      <c r="W80" s="312"/>
      <c r="X80" s="312"/>
      <c r="Y80" s="312"/>
      <c r="Z80" s="312"/>
      <c r="AA80" s="360"/>
      <c r="AB80" s="444"/>
      <c r="AC80" s="444"/>
      <c r="AD80" s="444"/>
      <c r="AE80" s="334"/>
    </row>
    <row r="81" spans="1:31" s="73" customFormat="1">
      <c r="A81" s="241"/>
      <c r="B81" s="242" t="s">
        <v>80</v>
      </c>
      <c r="C81" s="243">
        <v>0</v>
      </c>
      <c r="D81" s="244">
        <v>0</v>
      </c>
      <c r="E81" s="244">
        <v>0</v>
      </c>
      <c r="F81" s="244">
        <v>0</v>
      </c>
      <c r="G81" s="244"/>
      <c r="H81" s="244">
        <v>0</v>
      </c>
      <c r="I81" s="243">
        <v>0</v>
      </c>
      <c r="J81" s="243"/>
      <c r="K81" s="244">
        <v>0</v>
      </c>
      <c r="L81" s="244">
        <v>0</v>
      </c>
      <c r="M81" s="244">
        <v>0</v>
      </c>
      <c r="N81" s="243">
        <v>0</v>
      </c>
      <c r="O81" s="314"/>
      <c r="P81" s="244"/>
      <c r="Q81" s="243">
        <v>121.38</v>
      </c>
      <c r="R81" s="243"/>
      <c r="S81" s="243">
        <v>121.38</v>
      </c>
      <c r="T81" s="312"/>
      <c r="U81" s="312"/>
      <c r="V81" s="312"/>
      <c r="W81" s="312"/>
      <c r="X81" s="312"/>
      <c r="Y81" s="312"/>
      <c r="Z81" s="312"/>
      <c r="AA81" s="360"/>
      <c r="AB81" s="444"/>
      <c r="AC81" s="444"/>
      <c r="AD81" s="444"/>
      <c r="AE81" s="334"/>
    </row>
    <row r="82" spans="1:31" s="73" customFormat="1">
      <c r="A82" s="241"/>
      <c r="B82" s="245" t="s">
        <v>100</v>
      </c>
      <c r="C82" s="253">
        <v>0</v>
      </c>
      <c r="D82" s="254">
        <v>0</v>
      </c>
      <c r="E82" s="254">
        <v>0</v>
      </c>
      <c r="F82" s="254">
        <v>0</v>
      </c>
      <c r="G82" s="254">
        <v>0</v>
      </c>
      <c r="H82" s="254">
        <v>0</v>
      </c>
      <c r="I82" s="253">
        <v>0</v>
      </c>
      <c r="J82" s="253">
        <v>0</v>
      </c>
      <c r="K82" s="254">
        <v>0</v>
      </c>
      <c r="L82" s="254">
        <v>0</v>
      </c>
      <c r="M82" s="254">
        <v>0</v>
      </c>
      <c r="N82" s="253">
        <v>0</v>
      </c>
      <c r="O82" s="356">
        <v>0</v>
      </c>
      <c r="P82" s="254">
        <v>0</v>
      </c>
      <c r="Q82" s="253">
        <v>0</v>
      </c>
      <c r="R82" s="253">
        <v>0</v>
      </c>
      <c r="S82" s="253">
        <v>0</v>
      </c>
      <c r="T82" s="313">
        <v>0</v>
      </c>
      <c r="U82" s="313">
        <v>0</v>
      </c>
      <c r="V82" s="313">
        <v>0</v>
      </c>
      <c r="W82" s="313">
        <v>0</v>
      </c>
      <c r="X82" s="313">
        <v>0</v>
      </c>
      <c r="Y82" s="313">
        <v>0</v>
      </c>
      <c r="Z82" s="313">
        <v>0</v>
      </c>
      <c r="AA82" s="359">
        <v>0</v>
      </c>
      <c r="AB82" s="445"/>
      <c r="AC82" s="445"/>
      <c r="AD82" s="445"/>
      <c r="AE82" s="334"/>
    </row>
    <row r="83" spans="1:31" s="73" customFormat="1">
      <c r="A83" s="241"/>
      <c r="B83" s="242" t="s">
        <v>88</v>
      </c>
      <c r="C83" s="243">
        <v>4947.708333333333</v>
      </c>
      <c r="D83" s="244">
        <v>4271.25</v>
      </c>
      <c r="E83" s="244">
        <v>4050.208333333333</v>
      </c>
      <c r="F83" s="244">
        <v>2943.541666666667</v>
      </c>
      <c r="G83" s="244"/>
      <c r="H83" s="244">
        <v>0</v>
      </c>
      <c r="I83" s="243">
        <v>16212.708333333332</v>
      </c>
      <c r="J83" s="243"/>
      <c r="K83" s="244">
        <v>0</v>
      </c>
      <c r="L83" s="244">
        <v>0</v>
      </c>
      <c r="M83" s="244">
        <v>0</v>
      </c>
      <c r="N83" s="243">
        <v>0</v>
      </c>
      <c r="O83" s="314"/>
      <c r="P83" s="244"/>
      <c r="Q83" s="243">
        <v>0</v>
      </c>
      <c r="R83" s="243"/>
      <c r="S83" s="243">
        <v>0</v>
      </c>
      <c r="T83" s="312"/>
      <c r="U83" s="312"/>
      <c r="V83" s="312"/>
      <c r="W83" s="312"/>
      <c r="X83" s="312"/>
      <c r="Y83" s="312"/>
      <c r="Z83" s="312"/>
      <c r="AA83" s="360"/>
      <c r="AB83" s="444"/>
      <c r="AC83" s="444"/>
      <c r="AD83" s="444"/>
      <c r="AE83" s="334"/>
    </row>
    <row r="84" spans="1:31" s="73" customFormat="1">
      <c r="A84" s="241"/>
      <c r="B84" s="242" t="s">
        <v>90</v>
      </c>
      <c r="C84" s="243">
        <v>4854.916666666667</v>
      </c>
      <c r="D84" s="244">
        <v>4100.083333333333</v>
      </c>
      <c r="E84" s="244">
        <v>4121.958333333333</v>
      </c>
      <c r="F84" s="244">
        <v>2711.708333333333</v>
      </c>
      <c r="G84" s="244"/>
      <c r="H84" s="244">
        <v>0</v>
      </c>
      <c r="I84" s="243">
        <v>15788.666666666664</v>
      </c>
      <c r="J84" s="243"/>
      <c r="K84" s="244">
        <v>0</v>
      </c>
      <c r="L84" s="244">
        <v>0</v>
      </c>
      <c r="M84" s="244">
        <v>0</v>
      </c>
      <c r="N84" s="243">
        <v>0</v>
      </c>
      <c r="O84" s="314"/>
      <c r="P84" s="244"/>
      <c r="Q84" s="243">
        <v>0</v>
      </c>
      <c r="R84" s="243"/>
      <c r="S84" s="243">
        <v>0</v>
      </c>
      <c r="T84" s="312"/>
      <c r="U84" s="312"/>
      <c r="V84" s="312"/>
      <c r="W84" s="312"/>
      <c r="X84" s="312"/>
      <c r="Y84" s="312"/>
      <c r="Z84" s="312"/>
      <c r="AA84" s="360"/>
      <c r="AB84" s="444"/>
      <c r="AC84" s="444"/>
      <c r="AD84" s="444"/>
      <c r="AE84" s="334"/>
    </row>
    <row r="85" spans="1:31" s="73" customFormat="1">
      <c r="A85" s="241"/>
      <c r="B85" s="245" t="s">
        <v>92</v>
      </c>
      <c r="C85" s="253">
        <v>-1.8754473872583988E-2</v>
      </c>
      <c r="D85" s="734">
        <v>-4.0074139108379744E-2</v>
      </c>
      <c r="E85" s="254">
        <v>1.771513811017952E-2</v>
      </c>
      <c r="F85" s="734">
        <v>-7.875999716894351E-2</v>
      </c>
      <c r="G85" s="254">
        <v>0</v>
      </c>
      <c r="H85" s="254">
        <v>0</v>
      </c>
      <c r="I85" s="253">
        <v>-2.6154893923234161E-2</v>
      </c>
      <c r="J85" s="253">
        <v>0</v>
      </c>
      <c r="K85" s="254">
        <v>0</v>
      </c>
      <c r="L85" s="254">
        <v>0</v>
      </c>
      <c r="M85" s="254">
        <v>0</v>
      </c>
      <c r="N85" s="253">
        <v>0</v>
      </c>
      <c r="O85" s="356">
        <v>0</v>
      </c>
      <c r="P85" s="254">
        <v>0</v>
      </c>
      <c r="Q85" s="253">
        <v>0</v>
      </c>
      <c r="R85" s="253">
        <v>0</v>
      </c>
      <c r="S85" s="253">
        <v>0</v>
      </c>
      <c r="T85" s="313">
        <v>0</v>
      </c>
      <c r="U85" s="313">
        <v>0</v>
      </c>
      <c r="V85" s="313">
        <v>0</v>
      </c>
      <c r="W85" s="313">
        <v>0</v>
      </c>
      <c r="X85" s="313">
        <v>0</v>
      </c>
      <c r="Y85" s="313">
        <v>0</v>
      </c>
      <c r="Z85" s="313">
        <v>0</v>
      </c>
      <c r="AA85" s="359">
        <v>0</v>
      </c>
      <c r="AB85" s="445"/>
      <c r="AC85" s="445"/>
      <c r="AD85" s="445"/>
      <c r="AE85" s="334"/>
    </row>
    <row r="86" spans="1:31" s="73" customFormat="1">
      <c r="A86" s="241"/>
      <c r="B86" s="242" t="s">
        <v>8</v>
      </c>
      <c r="C86" s="243">
        <v>29202.274999999998</v>
      </c>
      <c r="D86" s="244">
        <v>33007.25</v>
      </c>
      <c r="E86" s="244">
        <v>28523.408333333333</v>
      </c>
      <c r="F86" s="244">
        <v>33287.708333333328</v>
      </c>
      <c r="G86" s="244"/>
      <c r="H86" s="244">
        <v>1861.8</v>
      </c>
      <c r="I86" s="243">
        <v>125882.44166666665</v>
      </c>
      <c r="J86" s="243"/>
      <c r="K86" s="244">
        <v>25316.166666666668</v>
      </c>
      <c r="L86" s="244">
        <v>4755.8333333333339</v>
      </c>
      <c r="M86" s="244">
        <v>7497.0333333333328</v>
      </c>
      <c r="N86" s="243">
        <v>37569.033333333333</v>
      </c>
      <c r="O86" s="314"/>
      <c r="P86" s="244"/>
      <c r="Q86" s="243">
        <v>18658.816666666669</v>
      </c>
      <c r="R86" s="243"/>
      <c r="S86" s="243">
        <v>18658.816666666669</v>
      </c>
      <c r="T86" s="312"/>
      <c r="U86" s="312"/>
      <c r="V86" s="312"/>
      <c r="W86" s="312"/>
      <c r="X86" s="312"/>
      <c r="Y86" s="312"/>
      <c r="Z86" s="312"/>
      <c r="AA86" s="360"/>
      <c r="AB86" s="444"/>
      <c r="AC86" s="444"/>
      <c r="AD86" s="444"/>
      <c r="AE86" s="334"/>
    </row>
    <row r="87" spans="1:31" s="73" customFormat="1">
      <c r="A87" s="241"/>
      <c r="B87" s="242" t="s">
        <v>94</v>
      </c>
      <c r="C87" s="243">
        <v>29021.816666666669</v>
      </c>
      <c r="D87" s="244">
        <v>32201.183333333334</v>
      </c>
      <c r="E87" s="244">
        <v>27357.591666666667</v>
      </c>
      <c r="F87" s="244">
        <v>32328.075000000001</v>
      </c>
      <c r="G87" s="244"/>
      <c r="H87" s="244">
        <v>1724.3</v>
      </c>
      <c r="I87" s="243">
        <v>122632.96666666667</v>
      </c>
      <c r="J87" s="243"/>
      <c r="K87" s="244">
        <v>25425.199999999997</v>
      </c>
      <c r="L87" s="244">
        <v>7391.3833333333332</v>
      </c>
      <c r="M87" s="244">
        <v>8497.6</v>
      </c>
      <c r="N87" s="243">
        <v>41314.183333333327</v>
      </c>
      <c r="O87" s="314"/>
      <c r="P87" s="244"/>
      <c r="Q87" s="243">
        <v>14294.913333333334</v>
      </c>
      <c r="R87" s="243"/>
      <c r="S87" s="243">
        <v>14294.913333333334</v>
      </c>
      <c r="T87" s="312"/>
      <c r="U87" s="312"/>
      <c r="V87" s="312"/>
      <c r="W87" s="312"/>
      <c r="X87" s="312"/>
      <c r="Y87" s="312"/>
      <c r="Z87" s="312"/>
      <c r="AA87" s="360"/>
      <c r="AB87" s="444"/>
      <c r="AC87" s="444"/>
      <c r="AD87" s="444"/>
      <c r="AE87" s="334"/>
    </row>
    <row r="88" spans="1:31" s="73" customFormat="1">
      <c r="A88" s="246"/>
      <c r="B88" s="311" t="s">
        <v>96</v>
      </c>
      <c r="C88" s="253">
        <v>-6.1795984502347329E-3</v>
      </c>
      <c r="D88" s="254">
        <v>-2.4420897429100145E-2</v>
      </c>
      <c r="E88" s="254">
        <v>-4.0872277711084634E-2</v>
      </c>
      <c r="F88" s="254">
        <v>-2.882845895319202E-2</v>
      </c>
      <c r="G88" s="254">
        <v>0</v>
      </c>
      <c r="H88" s="254">
        <v>-7.3853260285744973E-2</v>
      </c>
      <c r="I88" s="253">
        <v>-2.5813568254455212E-2</v>
      </c>
      <c r="J88" s="253">
        <v>0</v>
      </c>
      <c r="K88" s="254">
        <v>4.3068658367181392E-3</v>
      </c>
      <c r="L88" s="254">
        <v>0.55417206938847008</v>
      </c>
      <c r="M88" s="254">
        <v>0.13346168039802422</v>
      </c>
      <c r="N88" s="253">
        <v>9.9687153693067979E-2</v>
      </c>
      <c r="O88" s="356">
        <v>0</v>
      </c>
      <c r="P88" s="254">
        <v>0</v>
      </c>
      <c r="Q88" s="253">
        <v>-0.23387889014040733</v>
      </c>
      <c r="R88" s="253">
        <v>0</v>
      </c>
      <c r="S88" s="253">
        <v>-0.23387889014040733</v>
      </c>
      <c r="T88" s="313">
        <v>0</v>
      </c>
      <c r="U88" s="313">
        <v>0</v>
      </c>
      <c r="V88" s="313">
        <v>0</v>
      </c>
      <c r="W88" s="313">
        <v>0</v>
      </c>
      <c r="X88" s="313">
        <v>0</v>
      </c>
      <c r="Y88" s="313">
        <v>0</v>
      </c>
      <c r="Z88" s="313">
        <v>0</v>
      </c>
      <c r="AA88" s="359">
        <v>0</v>
      </c>
      <c r="AB88" s="445"/>
      <c r="AC88" s="445"/>
      <c r="AD88" s="445"/>
      <c r="AE88" s="334"/>
    </row>
    <row r="89" spans="1:31" s="73" customFormat="1">
      <c r="A89" s="342" t="s">
        <v>825</v>
      </c>
      <c r="B89" s="340" t="s">
        <v>86</v>
      </c>
      <c r="C89" s="337">
        <v>26664.633333333335</v>
      </c>
      <c r="D89" s="341">
        <v>16294.099999999999</v>
      </c>
      <c r="E89" s="341">
        <v>16876.883333333335</v>
      </c>
      <c r="F89" s="341">
        <v>22567.51666666667</v>
      </c>
      <c r="G89" s="341">
        <v>3052.5666666666666</v>
      </c>
      <c r="H89" s="341">
        <v>2171.75</v>
      </c>
      <c r="I89" s="337">
        <v>87627.45</v>
      </c>
      <c r="J89" s="337"/>
      <c r="K89" s="341">
        <v>70204.950000000012</v>
      </c>
      <c r="L89" s="341">
        <v>24798.749999999996</v>
      </c>
      <c r="M89" s="341">
        <v>4195.625</v>
      </c>
      <c r="N89" s="337">
        <v>99199.325000000012</v>
      </c>
      <c r="O89" s="337"/>
      <c r="P89" s="341"/>
      <c r="Q89" s="337"/>
      <c r="R89" s="337"/>
      <c r="S89" s="337"/>
      <c r="T89" s="349"/>
      <c r="U89" s="349"/>
      <c r="V89" s="349"/>
      <c r="W89" s="349"/>
      <c r="X89" s="349"/>
      <c r="Y89" s="349"/>
      <c r="Z89" s="349"/>
      <c r="AA89" s="357"/>
      <c r="AB89" s="444"/>
      <c r="AC89" s="444"/>
      <c r="AD89" s="444"/>
      <c r="AE89" s="334"/>
    </row>
    <row r="90" spans="1:31" s="73" customFormat="1">
      <c r="A90" s="241"/>
      <c r="B90" s="242" t="s">
        <v>84</v>
      </c>
      <c r="C90" s="243">
        <v>26352.5</v>
      </c>
      <c r="D90" s="244">
        <v>16456</v>
      </c>
      <c r="E90" s="244">
        <v>17208.033333333333</v>
      </c>
      <c r="F90" s="244">
        <v>22451.833333333332</v>
      </c>
      <c r="G90" s="244">
        <v>2856.4333333333334</v>
      </c>
      <c r="H90" s="244">
        <v>2122.2333333333331</v>
      </c>
      <c r="I90" s="243">
        <v>87447.03333333334</v>
      </c>
      <c r="J90" s="243"/>
      <c r="K90" s="244">
        <v>77461.149999999994</v>
      </c>
      <c r="L90" s="244">
        <v>22938.799999999999</v>
      </c>
      <c r="M90" s="244">
        <v>4085.5666666666666</v>
      </c>
      <c r="N90" s="243">
        <v>104485.51666666666</v>
      </c>
      <c r="O90" s="243"/>
      <c r="P90" s="244"/>
      <c r="Q90" s="243"/>
      <c r="R90" s="243"/>
      <c r="S90" s="243"/>
      <c r="T90" s="312"/>
      <c r="U90" s="312"/>
      <c r="V90" s="312"/>
      <c r="W90" s="312"/>
      <c r="X90" s="312"/>
      <c r="Y90" s="312"/>
      <c r="Z90" s="312"/>
      <c r="AA90" s="358"/>
      <c r="AB90" s="444"/>
      <c r="AC90" s="444"/>
      <c r="AD90" s="444"/>
      <c r="AE90" s="334"/>
    </row>
    <row r="91" spans="1:31" s="73" customFormat="1">
      <c r="A91" s="241"/>
      <c r="B91" s="245" t="s">
        <v>98</v>
      </c>
      <c r="C91" s="253">
        <v>-1.1705892574308855E-2</v>
      </c>
      <c r="D91" s="254">
        <v>9.936111844164543E-3</v>
      </c>
      <c r="E91" s="254">
        <v>1.9621513845862009E-2</v>
      </c>
      <c r="F91" s="254">
        <v>-5.1260993862123922E-3</v>
      </c>
      <c r="G91" s="254">
        <v>-6.4251940989549741E-2</v>
      </c>
      <c r="H91" s="254">
        <v>-2.2800353017919595E-2</v>
      </c>
      <c r="I91" s="253">
        <v>-2.0589058185154483E-3</v>
      </c>
      <c r="J91" s="253">
        <v>0</v>
      </c>
      <c r="K91" s="734">
        <v>0.10335738434398117</v>
      </c>
      <c r="L91" s="734">
        <v>-7.5001764201824583E-2</v>
      </c>
      <c r="M91" s="254">
        <v>-2.6231689756194464E-2</v>
      </c>
      <c r="N91" s="253">
        <v>5.3288585044975058E-2</v>
      </c>
      <c r="O91" s="356">
        <v>0</v>
      </c>
      <c r="P91" s="254">
        <v>0</v>
      </c>
      <c r="Q91" s="253">
        <v>0</v>
      </c>
      <c r="R91" s="253">
        <v>0</v>
      </c>
      <c r="S91" s="253">
        <v>0</v>
      </c>
      <c r="T91" s="313">
        <v>0</v>
      </c>
      <c r="U91" s="313">
        <v>0</v>
      </c>
      <c r="V91" s="313">
        <v>0</v>
      </c>
      <c r="W91" s="313">
        <v>0</v>
      </c>
      <c r="X91" s="313">
        <v>0</v>
      </c>
      <c r="Y91" s="313">
        <v>0</v>
      </c>
      <c r="Z91" s="313">
        <v>0</v>
      </c>
      <c r="AA91" s="359">
        <v>0</v>
      </c>
      <c r="AB91" s="445"/>
      <c r="AC91" s="445"/>
      <c r="AD91" s="445"/>
      <c r="AE91" s="334"/>
    </row>
    <row r="92" spans="1:31" s="73" customFormat="1">
      <c r="A92" s="241"/>
      <c r="B92" s="242" t="s">
        <v>82</v>
      </c>
      <c r="C92" s="243">
        <v>0</v>
      </c>
      <c r="D92" s="244">
        <v>0</v>
      </c>
      <c r="E92" s="244">
        <v>0</v>
      </c>
      <c r="F92" s="244">
        <v>0</v>
      </c>
      <c r="G92" s="244">
        <v>0</v>
      </c>
      <c r="H92" s="244">
        <v>0</v>
      </c>
      <c r="I92" s="243">
        <v>0</v>
      </c>
      <c r="J92" s="243"/>
      <c r="K92" s="244">
        <v>0</v>
      </c>
      <c r="L92" s="244">
        <v>0</v>
      </c>
      <c r="M92" s="244">
        <v>0</v>
      </c>
      <c r="N92" s="243">
        <v>0</v>
      </c>
      <c r="O92" s="314"/>
      <c r="P92" s="244"/>
      <c r="Q92" s="243"/>
      <c r="R92" s="243"/>
      <c r="S92" s="243"/>
      <c r="T92" s="312"/>
      <c r="U92" s="312"/>
      <c r="V92" s="312"/>
      <c r="W92" s="312"/>
      <c r="X92" s="312"/>
      <c r="Y92" s="312"/>
      <c r="Z92" s="312"/>
      <c r="AA92" s="360"/>
      <c r="AB92" s="444"/>
      <c r="AC92" s="444"/>
      <c r="AD92" s="444"/>
      <c r="AE92" s="334"/>
    </row>
    <row r="93" spans="1:31" s="73" customFormat="1">
      <c r="A93" s="241"/>
      <c r="B93" s="242" t="s">
        <v>80</v>
      </c>
      <c r="C93" s="243">
        <v>0</v>
      </c>
      <c r="D93" s="244">
        <v>0</v>
      </c>
      <c r="E93" s="244">
        <v>0</v>
      </c>
      <c r="F93" s="244">
        <v>0</v>
      </c>
      <c r="G93" s="244">
        <v>0</v>
      </c>
      <c r="H93" s="244">
        <v>0</v>
      </c>
      <c r="I93" s="243">
        <v>0</v>
      </c>
      <c r="J93" s="243"/>
      <c r="K93" s="244">
        <v>0</v>
      </c>
      <c r="L93" s="244">
        <v>0</v>
      </c>
      <c r="M93" s="244">
        <v>0</v>
      </c>
      <c r="N93" s="243">
        <v>0</v>
      </c>
      <c r="O93" s="314"/>
      <c r="P93" s="244"/>
      <c r="Q93" s="243"/>
      <c r="R93" s="243"/>
      <c r="S93" s="243"/>
      <c r="T93" s="312"/>
      <c r="U93" s="312"/>
      <c r="V93" s="312"/>
      <c r="W93" s="312"/>
      <c r="X93" s="312"/>
      <c r="Y93" s="312"/>
      <c r="Z93" s="312"/>
      <c r="AA93" s="360"/>
      <c r="AB93" s="444"/>
      <c r="AC93" s="444"/>
      <c r="AD93" s="444"/>
      <c r="AE93" s="334"/>
    </row>
    <row r="94" spans="1:31" s="73" customFormat="1">
      <c r="A94" s="241"/>
      <c r="B94" s="245" t="s">
        <v>100</v>
      </c>
      <c r="C94" s="253">
        <v>0</v>
      </c>
      <c r="D94" s="254">
        <v>0</v>
      </c>
      <c r="E94" s="254">
        <v>0</v>
      </c>
      <c r="F94" s="254">
        <v>0</v>
      </c>
      <c r="G94" s="254">
        <v>0</v>
      </c>
      <c r="H94" s="254">
        <v>0</v>
      </c>
      <c r="I94" s="253">
        <v>0</v>
      </c>
      <c r="J94" s="253">
        <v>0</v>
      </c>
      <c r="K94" s="254">
        <v>0</v>
      </c>
      <c r="L94" s="254">
        <v>0</v>
      </c>
      <c r="M94" s="254">
        <v>0</v>
      </c>
      <c r="N94" s="253">
        <v>0</v>
      </c>
      <c r="O94" s="356">
        <v>0</v>
      </c>
      <c r="P94" s="254">
        <v>0</v>
      </c>
      <c r="Q94" s="253">
        <v>0</v>
      </c>
      <c r="R94" s="253">
        <v>0</v>
      </c>
      <c r="S94" s="253">
        <v>0</v>
      </c>
      <c r="T94" s="313">
        <v>0</v>
      </c>
      <c r="U94" s="313">
        <v>0</v>
      </c>
      <c r="V94" s="313">
        <v>0</v>
      </c>
      <c r="W94" s="313">
        <v>0</v>
      </c>
      <c r="X94" s="313">
        <v>0</v>
      </c>
      <c r="Y94" s="313">
        <v>0</v>
      </c>
      <c r="Z94" s="313">
        <v>0</v>
      </c>
      <c r="AA94" s="359">
        <v>0</v>
      </c>
      <c r="AB94" s="445"/>
      <c r="AC94" s="445"/>
      <c r="AD94" s="445"/>
      <c r="AE94" s="334"/>
    </row>
    <row r="95" spans="1:31" s="73" customFormat="1">
      <c r="A95" s="241"/>
      <c r="B95" s="242" t="s">
        <v>88</v>
      </c>
      <c r="C95" s="243">
        <v>6619.708333333333</v>
      </c>
      <c r="D95" s="244">
        <v>2271.7083333333335</v>
      </c>
      <c r="E95" s="244">
        <v>2396.625</v>
      </c>
      <c r="F95" s="244">
        <v>4542.458333333333</v>
      </c>
      <c r="G95" s="244">
        <v>286.08333333333331</v>
      </c>
      <c r="H95" s="244">
        <v>65.708333333333329</v>
      </c>
      <c r="I95" s="243">
        <v>16182.291666666668</v>
      </c>
      <c r="J95" s="243"/>
      <c r="K95" s="244">
        <v>0</v>
      </c>
      <c r="L95" s="244">
        <v>0</v>
      </c>
      <c r="M95" s="244">
        <v>0</v>
      </c>
      <c r="N95" s="243">
        <v>0</v>
      </c>
      <c r="O95" s="314"/>
      <c r="P95" s="244"/>
      <c r="Q95" s="243"/>
      <c r="R95" s="243"/>
      <c r="S95" s="243"/>
      <c r="T95" s="312"/>
      <c r="U95" s="312"/>
      <c r="V95" s="312"/>
      <c r="W95" s="312"/>
      <c r="X95" s="312"/>
      <c r="Y95" s="312"/>
      <c r="Z95" s="312"/>
      <c r="AA95" s="360"/>
      <c r="AB95" s="444"/>
      <c r="AC95" s="444"/>
      <c r="AD95" s="444"/>
      <c r="AE95" s="334"/>
    </row>
    <row r="96" spans="1:31" s="73" customFormat="1">
      <c r="A96" s="241"/>
      <c r="B96" s="242" t="s">
        <v>90</v>
      </c>
      <c r="C96" s="243">
        <v>6631.75</v>
      </c>
      <c r="D96" s="244">
        <v>2358.8333333333335</v>
      </c>
      <c r="E96" s="244">
        <v>2368.6666666666665</v>
      </c>
      <c r="F96" s="244">
        <v>4655.916666666667</v>
      </c>
      <c r="G96" s="244">
        <v>261.04166666666669</v>
      </c>
      <c r="H96" s="244">
        <v>47.208333333333336</v>
      </c>
      <c r="I96" s="243">
        <v>16323.416666666668</v>
      </c>
      <c r="J96" s="243"/>
      <c r="K96" s="244">
        <v>0</v>
      </c>
      <c r="L96" s="244">
        <v>0</v>
      </c>
      <c r="M96" s="244">
        <v>0</v>
      </c>
      <c r="N96" s="243">
        <v>0</v>
      </c>
      <c r="O96" s="314"/>
      <c r="P96" s="244"/>
      <c r="Q96" s="243"/>
      <c r="R96" s="243"/>
      <c r="S96" s="243"/>
      <c r="T96" s="312"/>
      <c r="U96" s="312"/>
      <c r="V96" s="312"/>
      <c r="W96" s="312"/>
      <c r="X96" s="312"/>
      <c r="Y96" s="312"/>
      <c r="Z96" s="312"/>
      <c r="AA96" s="360"/>
      <c r="AB96" s="444"/>
      <c r="AC96" s="444"/>
      <c r="AD96" s="444"/>
      <c r="AE96" s="334"/>
    </row>
    <row r="97" spans="1:31" s="73" customFormat="1">
      <c r="A97" s="241"/>
      <c r="B97" s="245" t="s">
        <v>92</v>
      </c>
      <c r="C97" s="253">
        <v>1.8190630251836832E-3</v>
      </c>
      <c r="D97" s="254">
        <v>3.835219456723097E-2</v>
      </c>
      <c r="E97" s="254">
        <v>-1.1665710460891246E-2</v>
      </c>
      <c r="F97" s="254">
        <v>2.497729753529215E-2</v>
      </c>
      <c r="G97" s="254">
        <v>-8.7532770171861216E-2</v>
      </c>
      <c r="H97" s="734">
        <v>-0.28154724159797073</v>
      </c>
      <c r="I97" s="253">
        <v>8.7209526874798826E-3</v>
      </c>
      <c r="J97" s="253">
        <v>0</v>
      </c>
      <c r="K97" s="254">
        <v>0</v>
      </c>
      <c r="L97" s="254">
        <v>0</v>
      </c>
      <c r="M97" s="254">
        <v>0</v>
      </c>
      <c r="N97" s="253">
        <v>0</v>
      </c>
      <c r="O97" s="356">
        <v>0</v>
      </c>
      <c r="P97" s="254">
        <v>0</v>
      </c>
      <c r="Q97" s="253">
        <v>0</v>
      </c>
      <c r="R97" s="253">
        <v>0</v>
      </c>
      <c r="S97" s="253">
        <v>0</v>
      </c>
      <c r="T97" s="313">
        <v>0</v>
      </c>
      <c r="U97" s="313">
        <v>0</v>
      </c>
      <c r="V97" s="313">
        <v>0</v>
      </c>
      <c r="W97" s="313">
        <v>0</v>
      </c>
      <c r="X97" s="313">
        <v>0</v>
      </c>
      <c r="Y97" s="313">
        <v>0</v>
      </c>
      <c r="Z97" s="313">
        <v>0</v>
      </c>
      <c r="AA97" s="359">
        <v>0</v>
      </c>
      <c r="AB97" s="445"/>
      <c r="AC97" s="445"/>
      <c r="AD97" s="445"/>
      <c r="AE97" s="334"/>
    </row>
    <row r="98" spans="1:31" s="73" customFormat="1">
      <c r="A98" s="241"/>
      <c r="B98" s="242" t="s">
        <v>8</v>
      </c>
      <c r="C98" s="243">
        <v>33284.341666666667</v>
      </c>
      <c r="D98" s="244">
        <v>18565.808333333334</v>
      </c>
      <c r="E98" s="244">
        <v>19273.508333333335</v>
      </c>
      <c r="F98" s="244">
        <v>27109.974999999999</v>
      </c>
      <c r="G98" s="244">
        <v>3338.65</v>
      </c>
      <c r="H98" s="244">
        <v>2237.4583333333335</v>
      </c>
      <c r="I98" s="243">
        <v>103809.74166666665</v>
      </c>
      <c r="J98" s="243"/>
      <c r="K98" s="244">
        <v>70204.950000000012</v>
      </c>
      <c r="L98" s="244">
        <v>24798.749999999996</v>
      </c>
      <c r="M98" s="244">
        <v>4195.625</v>
      </c>
      <c r="N98" s="243">
        <v>99199.325000000012</v>
      </c>
      <c r="O98" s="314"/>
      <c r="P98" s="244"/>
      <c r="Q98" s="243"/>
      <c r="R98" s="243"/>
      <c r="S98" s="243"/>
      <c r="T98" s="312"/>
      <c r="U98" s="312"/>
      <c r="V98" s="312"/>
      <c r="W98" s="312"/>
      <c r="X98" s="312"/>
      <c r="Y98" s="312"/>
      <c r="Z98" s="312"/>
      <c r="AA98" s="360"/>
      <c r="AB98" s="444"/>
      <c r="AC98" s="444"/>
      <c r="AD98" s="444"/>
      <c r="AE98" s="334"/>
    </row>
    <row r="99" spans="1:31" s="73" customFormat="1">
      <c r="A99" s="241"/>
      <c r="B99" s="242" t="s">
        <v>94</v>
      </c>
      <c r="C99" s="243">
        <v>32984.25</v>
      </c>
      <c r="D99" s="244">
        <v>18814.833333333336</v>
      </c>
      <c r="E99" s="244">
        <v>19576.7</v>
      </c>
      <c r="F99" s="244">
        <v>27107.75</v>
      </c>
      <c r="G99" s="244">
        <v>3117.4749999999999</v>
      </c>
      <c r="H99" s="244">
        <v>2169.4416666666666</v>
      </c>
      <c r="I99" s="243">
        <v>103770.45000000001</v>
      </c>
      <c r="J99" s="243"/>
      <c r="K99" s="244">
        <v>77461.149999999994</v>
      </c>
      <c r="L99" s="244">
        <v>22938.799999999999</v>
      </c>
      <c r="M99" s="244">
        <v>4085.5666666666666</v>
      </c>
      <c r="N99" s="243">
        <v>104485.51666666666</v>
      </c>
      <c r="O99" s="314"/>
      <c r="P99" s="244"/>
      <c r="Q99" s="243"/>
      <c r="R99" s="243"/>
      <c r="S99" s="243"/>
      <c r="T99" s="312"/>
      <c r="U99" s="312"/>
      <c r="V99" s="312"/>
      <c r="W99" s="312"/>
      <c r="X99" s="312"/>
      <c r="Y99" s="312"/>
      <c r="Z99" s="312"/>
      <c r="AA99" s="360"/>
      <c r="AB99" s="444"/>
      <c r="AC99" s="444"/>
      <c r="AD99" s="444"/>
      <c r="AE99" s="334"/>
    </row>
    <row r="100" spans="1:31" s="73" customFormat="1">
      <c r="A100" s="246"/>
      <c r="B100" s="311" t="s">
        <v>96</v>
      </c>
      <c r="C100" s="253">
        <v>-9.0160012678634563E-3</v>
      </c>
      <c r="D100" s="254">
        <v>1.3413097643203512E-2</v>
      </c>
      <c r="E100" s="254">
        <v>1.5731005555553103E-2</v>
      </c>
      <c r="F100" s="254">
        <v>-8.207311146537557E-5</v>
      </c>
      <c r="G100" s="254">
        <v>-6.6246836296107767E-2</v>
      </c>
      <c r="H100" s="254">
        <v>-3.0399076332892697E-2</v>
      </c>
      <c r="I100" s="253">
        <v>-3.7849691209941707E-4</v>
      </c>
      <c r="J100" s="253">
        <v>0</v>
      </c>
      <c r="K100" s="254">
        <v>0.10335738434398117</v>
      </c>
      <c r="L100" s="254">
        <v>-7.5001764201824583E-2</v>
      </c>
      <c r="M100" s="254">
        <v>-2.6231689756194464E-2</v>
      </c>
      <c r="N100" s="253">
        <v>5.3288585044975058E-2</v>
      </c>
      <c r="O100" s="356">
        <v>0</v>
      </c>
      <c r="P100" s="254">
        <v>0</v>
      </c>
      <c r="Q100" s="253">
        <v>0</v>
      </c>
      <c r="R100" s="253">
        <v>0</v>
      </c>
      <c r="S100" s="253">
        <v>0</v>
      </c>
      <c r="T100" s="313">
        <v>0</v>
      </c>
      <c r="U100" s="313">
        <v>0</v>
      </c>
      <c r="V100" s="313">
        <v>0</v>
      </c>
      <c r="W100" s="313">
        <v>0</v>
      </c>
      <c r="X100" s="313">
        <v>0</v>
      </c>
      <c r="Y100" s="313">
        <v>0</v>
      </c>
      <c r="Z100" s="313">
        <v>0</v>
      </c>
      <c r="AA100" s="359">
        <v>0</v>
      </c>
      <c r="AB100" s="445"/>
      <c r="AC100" s="445"/>
      <c r="AD100" s="445"/>
      <c r="AE100" s="334"/>
    </row>
    <row r="101" spans="1:31" s="73" customFormat="1">
      <c r="A101" s="342" t="s">
        <v>420</v>
      </c>
      <c r="B101" s="340" t="s">
        <v>86</v>
      </c>
      <c r="C101" s="337">
        <v>26344.1</v>
      </c>
      <c r="D101" s="341">
        <v>20476.849999999999</v>
      </c>
      <c r="E101" s="341"/>
      <c r="F101" s="341">
        <v>7725.4000000000005</v>
      </c>
      <c r="G101" s="341">
        <v>2254.1333333333332</v>
      </c>
      <c r="H101" s="341"/>
      <c r="I101" s="337">
        <v>56800.48333333333</v>
      </c>
      <c r="J101" s="337"/>
      <c r="K101" s="341">
        <v>33757.566666666666</v>
      </c>
      <c r="L101" s="341">
        <v>34043.916666666672</v>
      </c>
      <c r="M101" s="341">
        <v>4316.0666666666666</v>
      </c>
      <c r="N101" s="337">
        <v>72117.55</v>
      </c>
      <c r="O101" s="337"/>
      <c r="P101" s="341"/>
      <c r="Q101" s="337"/>
      <c r="R101" s="337"/>
      <c r="S101" s="337"/>
      <c r="T101" s="349"/>
      <c r="U101" s="349"/>
      <c r="V101" s="349"/>
      <c r="W101" s="349"/>
      <c r="X101" s="349"/>
      <c r="Y101" s="349"/>
      <c r="Z101" s="349"/>
      <c r="AA101" s="357"/>
      <c r="AB101" s="444"/>
      <c r="AC101" s="444"/>
      <c r="AD101" s="444"/>
      <c r="AE101" s="334"/>
    </row>
    <row r="102" spans="1:31" s="73" customFormat="1">
      <c r="A102" s="241"/>
      <c r="B102" s="242" t="s">
        <v>84</v>
      </c>
      <c r="C102" s="243">
        <v>26669</v>
      </c>
      <c r="D102" s="244">
        <v>20950.45</v>
      </c>
      <c r="E102" s="244"/>
      <c r="F102" s="244">
        <v>7223.4666666666672</v>
      </c>
      <c r="G102" s="244">
        <v>2277.3000000000002</v>
      </c>
      <c r="H102" s="244"/>
      <c r="I102" s="243">
        <v>57120.216666666667</v>
      </c>
      <c r="J102" s="243"/>
      <c r="K102" s="244">
        <v>30720.26666666667</v>
      </c>
      <c r="L102" s="244">
        <v>31317.4</v>
      </c>
      <c r="M102" s="244">
        <v>3812.2</v>
      </c>
      <c r="N102" s="243">
        <v>65849.866666666669</v>
      </c>
      <c r="O102" s="243"/>
      <c r="P102" s="244"/>
      <c r="Q102" s="243"/>
      <c r="R102" s="243"/>
      <c r="S102" s="243"/>
      <c r="T102" s="312"/>
      <c r="U102" s="312"/>
      <c r="V102" s="312"/>
      <c r="W102" s="312"/>
      <c r="X102" s="312"/>
      <c r="Y102" s="312"/>
      <c r="Z102" s="312"/>
      <c r="AA102" s="358"/>
      <c r="AB102" s="444"/>
      <c r="AC102" s="444"/>
      <c r="AD102" s="444"/>
      <c r="AE102" s="334"/>
    </row>
    <row r="103" spans="1:31" s="73" customFormat="1">
      <c r="A103" s="241"/>
      <c r="B103" s="245" t="s">
        <v>98</v>
      </c>
      <c r="C103" s="253">
        <v>1.2332932231505403E-2</v>
      </c>
      <c r="D103" s="254">
        <v>2.3128557370884789E-2</v>
      </c>
      <c r="E103" s="254">
        <v>0</v>
      </c>
      <c r="F103" s="254">
        <v>-6.4971824544144421E-2</v>
      </c>
      <c r="G103" s="254">
        <v>1.0277416301904783E-2</v>
      </c>
      <c r="H103" s="254">
        <v>0</v>
      </c>
      <c r="I103" s="253">
        <v>5.6290600813550104E-3</v>
      </c>
      <c r="J103" s="253">
        <v>0</v>
      </c>
      <c r="K103" s="734">
        <v>-8.9973902147370291E-2</v>
      </c>
      <c r="L103" s="734">
        <v>-8.008821938329666E-2</v>
      </c>
      <c r="M103" s="734">
        <v>-0.11674209542639134</v>
      </c>
      <c r="N103" s="253">
        <v>-8.6909265959996346E-2</v>
      </c>
      <c r="O103" s="356">
        <v>0</v>
      </c>
      <c r="P103" s="254">
        <v>0</v>
      </c>
      <c r="Q103" s="253">
        <v>0</v>
      </c>
      <c r="R103" s="253">
        <v>0</v>
      </c>
      <c r="S103" s="253">
        <v>0</v>
      </c>
      <c r="T103" s="313">
        <v>0</v>
      </c>
      <c r="U103" s="313">
        <v>0</v>
      </c>
      <c r="V103" s="313">
        <v>0</v>
      </c>
      <c r="W103" s="313">
        <v>0</v>
      </c>
      <c r="X103" s="313">
        <v>0</v>
      </c>
      <c r="Y103" s="313">
        <v>0</v>
      </c>
      <c r="Z103" s="313">
        <v>0</v>
      </c>
      <c r="AA103" s="359">
        <v>0</v>
      </c>
      <c r="AB103" s="445"/>
      <c r="AC103" s="445"/>
      <c r="AD103" s="445"/>
      <c r="AE103" s="334"/>
    </row>
    <row r="104" spans="1:31" s="73" customFormat="1">
      <c r="A104" s="241"/>
      <c r="B104" s="242" t="s">
        <v>82</v>
      </c>
      <c r="C104" s="243">
        <v>0</v>
      </c>
      <c r="D104" s="244">
        <v>0</v>
      </c>
      <c r="E104" s="244"/>
      <c r="F104" s="244">
        <v>0</v>
      </c>
      <c r="G104" s="244">
        <v>0</v>
      </c>
      <c r="H104" s="244"/>
      <c r="I104" s="243">
        <v>0</v>
      </c>
      <c r="J104" s="243"/>
      <c r="K104" s="244">
        <v>0</v>
      </c>
      <c r="L104" s="244">
        <v>0</v>
      </c>
      <c r="M104" s="244">
        <v>0</v>
      </c>
      <c r="N104" s="243">
        <v>0</v>
      </c>
      <c r="O104" s="314"/>
      <c r="P104" s="244"/>
      <c r="Q104" s="243"/>
      <c r="R104" s="243"/>
      <c r="S104" s="243"/>
      <c r="T104" s="312"/>
      <c r="U104" s="312"/>
      <c r="V104" s="312"/>
      <c r="W104" s="312"/>
      <c r="X104" s="312"/>
      <c r="Y104" s="312"/>
      <c r="Z104" s="312"/>
      <c r="AA104" s="360"/>
      <c r="AB104" s="444"/>
      <c r="AC104" s="444"/>
      <c r="AD104" s="444"/>
      <c r="AE104" s="334"/>
    </row>
    <row r="105" spans="1:31" s="73" customFormat="1">
      <c r="A105" s="241"/>
      <c r="B105" s="242" t="s">
        <v>80</v>
      </c>
      <c r="C105" s="243">
        <v>0</v>
      </c>
      <c r="D105" s="244">
        <v>0</v>
      </c>
      <c r="E105" s="244"/>
      <c r="F105" s="244">
        <v>0</v>
      </c>
      <c r="G105" s="244">
        <v>0</v>
      </c>
      <c r="H105" s="244"/>
      <c r="I105" s="243">
        <v>0</v>
      </c>
      <c r="J105" s="243"/>
      <c r="K105" s="244">
        <v>0</v>
      </c>
      <c r="L105" s="244">
        <v>0</v>
      </c>
      <c r="M105" s="244">
        <v>0</v>
      </c>
      <c r="N105" s="243">
        <v>0</v>
      </c>
      <c r="O105" s="314"/>
      <c r="P105" s="244"/>
      <c r="Q105" s="243"/>
      <c r="R105" s="243"/>
      <c r="S105" s="243"/>
      <c r="T105" s="312"/>
      <c r="U105" s="312"/>
      <c r="V105" s="312"/>
      <c r="W105" s="312"/>
      <c r="X105" s="312"/>
      <c r="Y105" s="312"/>
      <c r="Z105" s="312"/>
      <c r="AA105" s="360"/>
      <c r="AB105" s="444"/>
      <c r="AC105" s="444"/>
      <c r="AD105" s="444"/>
      <c r="AE105" s="334"/>
    </row>
    <row r="106" spans="1:31" s="73" customFormat="1">
      <c r="A106" s="241"/>
      <c r="B106" s="245" t="s">
        <v>100</v>
      </c>
      <c r="C106" s="253">
        <v>0</v>
      </c>
      <c r="D106" s="254">
        <v>0</v>
      </c>
      <c r="E106" s="254">
        <v>0</v>
      </c>
      <c r="F106" s="254">
        <v>0</v>
      </c>
      <c r="G106" s="254">
        <v>0</v>
      </c>
      <c r="H106" s="254">
        <v>0</v>
      </c>
      <c r="I106" s="253">
        <v>0</v>
      </c>
      <c r="J106" s="253">
        <v>0</v>
      </c>
      <c r="K106" s="254">
        <v>0</v>
      </c>
      <c r="L106" s="254">
        <v>0</v>
      </c>
      <c r="M106" s="254">
        <v>0</v>
      </c>
      <c r="N106" s="253">
        <v>0</v>
      </c>
      <c r="O106" s="356">
        <v>0</v>
      </c>
      <c r="P106" s="254">
        <v>0</v>
      </c>
      <c r="Q106" s="253">
        <v>0</v>
      </c>
      <c r="R106" s="253">
        <v>0</v>
      </c>
      <c r="S106" s="253">
        <v>0</v>
      </c>
      <c r="T106" s="313">
        <v>0</v>
      </c>
      <c r="U106" s="313">
        <v>0</v>
      </c>
      <c r="V106" s="313">
        <v>0</v>
      </c>
      <c r="W106" s="313">
        <v>0</v>
      </c>
      <c r="X106" s="313">
        <v>0</v>
      </c>
      <c r="Y106" s="313">
        <v>0</v>
      </c>
      <c r="Z106" s="313">
        <v>0</v>
      </c>
      <c r="AA106" s="359">
        <v>0</v>
      </c>
      <c r="AB106" s="445"/>
      <c r="AC106" s="445"/>
      <c r="AD106" s="445"/>
      <c r="AE106" s="334"/>
    </row>
    <row r="107" spans="1:31" s="73" customFormat="1">
      <c r="A107" s="241"/>
      <c r="B107" s="242" t="s">
        <v>88</v>
      </c>
      <c r="C107" s="243">
        <v>5135.3333333333339</v>
      </c>
      <c r="D107" s="244">
        <v>3872</v>
      </c>
      <c r="E107" s="244"/>
      <c r="F107" s="244">
        <v>1749.9583333333335</v>
      </c>
      <c r="G107" s="244">
        <v>177.5</v>
      </c>
      <c r="H107" s="244"/>
      <c r="I107" s="243">
        <v>10934.791666666668</v>
      </c>
      <c r="J107" s="243"/>
      <c r="K107" s="244">
        <v>0</v>
      </c>
      <c r="L107" s="244">
        <v>0</v>
      </c>
      <c r="M107" s="244">
        <v>0</v>
      </c>
      <c r="N107" s="243">
        <v>0</v>
      </c>
      <c r="O107" s="314"/>
      <c r="P107" s="244"/>
      <c r="Q107" s="243"/>
      <c r="R107" s="243"/>
      <c r="S107" s="243"/>
      <c r="T107" s="312"/>
      <c r="U107" s="312"/>
      <c r="V107" s="312"/>
      <c r="W107" s="312"/>
      <c r="X107" s="312"/>
      <c r="Y107" s="312"/>
      <c r="Z107" s="312"/>
      <c r="AA107" s="360"/>
      <c r="AB107" s="444"/>
      <c r="AC107" s="444"/>
      <c r="AD107" s="444"/>
      <c r="AE107" s="334"/>
    </row>
    <row r="108" spans="1:31" s="73" customFormat="1">
      <c r="A108" s="241"/>
      <c r="B108" s="242" t="s">
        <v>90</v>
      </c>
      <c r="C108" s="243">
        <v>4886.8333333333339</v>
      </c>
      <c r="D108" s="244">
        <v>3819.083333333333</v>
      </c>
      <c r="E108" s="244"/>
      <c r="F108" s="244">
        <v>1893.5416666666665</v>
      </c>
      <c r="G108" s="244">
        <v>162.25</v>
      </c>
      <c r="H108" s="244"/>
      <c r="I108" s="243">
        <v>10761.708333333334</v>
      </c>
      <c r="J108" s="243"/>
      <c r="K108" s="244">
        <v>0</v>
      </c>
      <c r="L108" s="244">
        <v>0</v>
      </c>
      <c r="M108" s="244">
        <v>0</v>
      </c>
      <c r="N108" s="243">
        <v>0</v>
      </c>
      <c r="O108" s="314"/>
      <c r="P108" s="244"/>
      <c r="Q108" s="243"/>
      <c r="R108" s="243"/>
      <c r="S108" s="243"/>
      <c r="T108" s="312"/>
      <c r="U108" s="312"/>
      <c r="V108" s="312"/>
      <c r="W108" s="312"/>
      <c r="X108" s="312"/>
      <c r="Y108" s="312"/>
      <c r="Z108" s="312"/>
      <c r="AA108" s="360"/>
      <c r="AB108" s="444"/>
      <c r="AC108" s="444"/>
      <c r="AD108" s="444"/>
      <c r="AE108" s="334"/>
    </row>
    <row r="109" spans="1:31" s="73" customFormat="1">
      <c r="A109" s="241"/>
      <c r="B109" s="245" t="s">
        <v>92</v>
      </c>
      <c r="C109" s="253">
        <v>-4.8390237569778005E-2</v>
      </c>
      <c r="D109" s="254">
        <v>-1.3666494490358205E-2</v>
      </c>
      <c r="E109" s="254">
        <v>0</v>
      </c>
      <c r="F109" s="254">
        <v>8.2049572608871454E-2</v>
      </c>
      <c r="G109" s="254">
        <v>-8.5915492957746475E-2</v>
      </c>
      <c r="H109" s="254">
        <v>0</v>
      </c>
      <c r="I109" s="253">
        <v>-1.5828681387772096E-2</v>
      </c>
      <c r="J109" s="253">
        <v>0</v>
      </c>
      <c r="K109" s="254">
        <v>0</v>
      </c>
      <c r="L109" s="254">
        <v>0</v>
      </c>
      <c r="M109" s="254">
        <v>0</v>
      </c>
      <c r="N109" s="253">
        <v>0</v>
      </c>
      <c r="O109" s="356">
        <v>0</v>
      </c>
      <c r="P109" s="254">
        <v>0</v>
      </c>
      <c r="Q109" s="253">
        <v>0</v>
      </c>
      <c r="R109" s="253">
        <v>0</v>
      </c>
      <c r="S109" s="253">
        <v>0</v>
      </c>
      <c r="T109" s="313">
        <v>0</v>
      </c>
      <c r="U109" s="313">
        <v>0</v>
      </c>
      <c r="V109" s="313">
        <v>0</v>
      </c>
      <c r="W109" s="313">
        <v>0</v>
      </c>
      <c r="X109" s="313">
        <v>0</v>
      </c>
      <c r="Y109" s="313">
        <v>0</v>
      </c>
      <c r="Z109" s="313">
        <v>0</v>
      </c>
      <c r="AA109" s="359">
        <v>0</v>
      </c>
      <c r="AB109" s="445"/>
      <c r="AC109" s="445"/>
      <c r="AD109" s="445"/>
      <c r="AE109" s="334"/>
    </row>
    <row r="110" spans="1:31" s="73" customFormat="1">
      <c r="A110" s="241"/>
      <c r="B110" s="242" t="s">
        <v>8</v>
      </c>
      <c r="C110" s="243">
        <v>31479.433333333334</v>
      </c>
      <c r="D110" s="244">
        <v>24348.850000000002</v>
      </c>
      <c r="E110" s="244"/>
      <c r="F110" s="244">
        <v>9475.3583333333336</v>
      </c>
      <c r="G110" s="244">
        <v>2431.6333333333332</v>
      </c>
      <c r="H110" s="244"/>
      <c r="I110" s="243">
        <v>67735.275000000009</v>
      </c>
      <c r="J110" s="243"/>
      <c r="K110" s="244">
        <v>33757.566666666666</v>
      </c>
      <c r="L110" s="244">
        <v>34043.916666666672</v>
      </c>
      <c r="M110" s="244">
        <v>4316.0666666666666</v>
      </c>
      <c r="N110" s="243">
        <v>72117.55</v>
      </c>
      <c r="O110" s="314"/>
      <c r="P110" s="244"/>
      <c r="Q110" s="243"/>
      <c r="R110" s="243"/>
      <c r="S110" s="243"/>
      <c r="T110" s="312"/>
      <c r="U110" s="312"/>
      <c r="V110" s="312"/>
      <c r="W110" s="312"/>
      <c r="X110" s="312"/>
      <c r="Y110" s="312"/>
      <c r="Z110" s="312"/>
      <c r="AA110" s="360"/>
      <c r="AB110" s="444"/>
      <c r="AC110" s="444"/>
      <c r="AD110" s="444"/>
      <c r="AE110" s="334"/>
    </row>
    <row r="111" spans="1:31" s="73" customFormat="1">
      <c r="A111" s="241"/>
      <c r="B111" s="242" t="s">
        <v>94</v>
      </c>
      <c r="C111" s="243">
        <v>31555.833333333336</v>
      </c>
      <c r="D111" s="244">
        <v>24769.533333333336</v>
      </c>
      <c r="E111" s="244"/>
      <c r="F111" s="244">
        <v>9117.0083333333332</v>
      </c>
      <c r="G111" s="244">
        <v>2439.5500000000002</v>
      </c>
      <c r="H111" s="244"/>
      <c r="I111" s="243">
        <v>67881.925000000003</v>
      </c>
      <c r="J111" s="243"/>
      <c r="K111" s="244">
        <v>30720.26666666667</v>
      </c>
      <c r="L111" s="244">
        <v>31317.4</v>
      </c>
      <c r="M111" s="244">
        <v>3812.2</v>
      </c>
      <c r="N111" s="243">
        <v>65849.866666666669</v>
      </c>
      <c r="O111" s="314"/>
      <c r="P111" s="244"/>
      <c r="Q111" s="243"/>
      <c r="R111" s="243"/>
      <c r="S111" s="243"/>
      <c r="T111" s="312"/>
      <c r="U111" s="312"/>
      <c r="V111" s="312"/>
      <c r="W111" s="312"/>
      <c r="X111" s="312"/>
      <c r="Y111" s="312"/>
      <c r="Z111" s="312"/>
      <c r="AA111" s="360"/>
      <c r="AB111" s="444"/>
      <c r="AC111" s="444"/>
      <c r="AD111" s="444"/>
      <c r="AE111" s="334"/>
    </row>
    <row r="112" spans="1:31" s="73" customFormat="1">
      <c r="A112" s="246"/>
      <c r="B112" s="311" t="s">
        <v>96</v>
      </c>
      <c r="C112" s="253">
        <v>2.4269814259681123E-3</v>
      </c>
      <c r="D112" s="254">
        <v>1.7277338902384889E-2</v>
      </c>
      <c r="E112" s="254">
        <v>0</v>
      </c>
      <c r="F112" s="254">
        <v>-3.7819150199244922E-2</v>
      </c>
      <c r="G112" s="254">
        <v>3.2556991871034438E-3</v>
      </c>
      <c r="H112" s="254">
        <v>0</v>
      </c>
      <c r="I112" s="253">
        <v>2.1650462037689248E-3</v>
      </c>
      <c r="J112" s="253">
        <v>0</v>
      </c>
      <c r="K112" s="254">
        <v>-8.9973902147370291E-2</v>
      </c>
      <c r="L112" s="254">
        <v>-8.008821938329666E-2</v>
      </c>
      <c r="M112" s="254">
        <v>-0.11674209542639134</v>
      </c>
      <c r="N112" s="253">
        <v>-8.6909265959996346E-2</v>
      </c>
      <c r="O112" s="356">
        <v>0</v>
      </c>
      <c r="P112" s="254">
        <v>0</v>
      </c>
      <c r="Q112" s="253">
        <v>0</v>
      </c>
      <c r="R112" s="253">
        <v>0</v>
      </c>
      <c r="S112" s="253">
        <v>0</v>
      </c>
      <c r="T112" s="313">
        <v>0</v>
      </c>
      <c r="U112" s="313">
        <v>0</v>
      </c>
      <c r="V112" s="313">
        <v>0</v>
      </c>
      <c r="W112" s="313">
        <v>0</v>
      </c>
      <c r="X112" s="313">
        <v>0</v>
      </c>
      <c r="Y112" s="313">
        <v>0</v>
      </c>
      <c r="Z112" s="313">
        <v>0</v>
      </c>
      <c r="AA112" s="359">
        <v>0</v>
      </c>
      <c r="AB112" s="445"/>
      <c r="AC112" s="445"/>
      <c r="AD112" s="445"/>
      <c r="AE112" s="334"/>
    </row>
    <row r="113" spans="1:31" s="73" customFormat="1">
      <c r="A113" s="342" t="s">
        <v>364</v>
      </c>
      <c r="B113" s="340" t="s">
        <v>86</v>
      </c>
      <c r="C113" s="337">
        <v>55453.9</v>
      </c>
      <c r="D113" s="341">
        <v>38792.933333333334</v>
      </c>
      <c r="E113" s="341">
        <v>49732.433333333334</v>
      </c>
      <c r="F113" s="341">
        <v>4946.0666666666666</v>
      </c>
      <c r="G113" s="341">
        <v>10963.9</v>
      </c>
      <c r="H113" s="341">
        <v>6554.7333333333336</v>
      </c>
      <c r="I113" s="337">
        <v>166443.96666666667</v>
      </c>
      <c r="J113" s="337"/>
      <c r="K113" s="341">
        <v>82142.633333333331</v>
      </c>
      <c r="L113" s="341">
        <v>66190.000000000015</v>
      </c>
      <c r="M113" s="341">
        <v>27244.7</v>
      </c>
      <c r="N113" s="337">
        <v>175577.33333333337</v>
      </c>
      <c r="O113" s="337"/>
      <c r="P113" s="341"/>
      <c r="Q113" s="337"/>
      <c r="R113" s="337"/>
      <c r="S113" s="337"/>
      <c r="T113" s="349"/>
      <c r="U113" s="349"/>
      <c r="V113" s="349"/>
      <c r="W113" s="349"/>
      <c r="X113" s="349"/>
      <c r="Y113" s="349"/>
      <c r="Z113" s="349"/>
      <c r="AA113" s="357"/>
      <c r="AB113" s="444"/>
      <c r="AC113" s="444"/>
      <c r="AD113" s="444"/>
      <c r="AE113" s="334"/>
    </row>
    <row r="114" spans="1:31" s="73" customFormat="1">
      <c r="A114" s="241"/>
      <c r="B114" s="242" t="s">
        <v>84</v>
      </c>
      <c r="C114" s="243">
        <v>54505.899999999994</v>
      </c>
      <c r="D114" s="244">
        <v>38421.9</v>
      </c>
      <c r="E114" s="244">
        <v>50076.833333333336</v>
      </c>
      <c r="F114" s="244">
        <v>4960.7333333333336</v>
      </c>
      <c r="G114" s="244">
        <v>10259.633333333333</v>
      </c>
      <c r="H114" s="244">
        <v>6084.1333333333332</v>
      </c>
      <c r="I114" s="243">
        <v>164309.13333333333</v>
      </c>
      <c r="J114" s="243"/>
      <c r="K114" s="244">
        <v>81917.100000000006</v>
      </c>
      <c r="L114" s="244">
        <v>62035.233333333337</v>
      </c>
      <c r="M114" s="244">
        <v>25348.866666666665</v>
      </c>
      <c r="N114" s="243">
        <v>169301.2</v>
      </c>
      <c r="O114" s="243"/>
      <c r="P114" s="244"/>
      <c r="Q114" s="243"/>
      <c r="R114" s="243"/>
      <c r="S114" s="243"/>
      <c r="T114" s="312"/>
      <c r="U114" s="312"/>
      <c r="V114" s="312"/>
      <c r="W114" s="312"/>
      <c r="X114" s="312"/>
      <c r="Y114" s="312"/>
      <c r="Z114" s="312"/>
      <c r="AA114" s="358"/>
      <c r="AB114" s="444"/>
      <c r="AC114" s="444"/>
      <c r="AD114" s="444"/>
      <c r="AE114" s="334"/>
    </row>
    <row r="115" spans="1:31" s="73" customFormat="1">
      <c r="A115" s="241"/>
      <c r="B115" s="245" t="s">
        <v>98</v>
      </c>
      <c r="C115" s="253">
        <v>-1.7095280945073427E-2</v>
      </c>
      <c r="D115" s="254">
        <v>-9.5644567567288764E-3</v>
      </c>
      <c r="E115" s="254">
        <v>6.9250582952908955E-3</v>
      </c>
      <c r="F115" s="254">
        <v>2.9653192435740799E-3</v>
      </c>
      <c r="G115" s="734">
        <v>-6.4235050179832581E-2</v>
      </c>
      <c r="H115" s="734">
        <v>-7.1795445530456414E-2</v>
      </c>
      <c r="I115" s="253">
        <v>-1.2826138285977779E-2</v>
      </c>
      <c r="J115" s="253">
        <v>0</v>
      </c>
      <c r="K115" s="254">
        <v>-2.7456306692544828E-3</v>
      </c>
      <c r="L115" s="734">
        <v>-6.2770307700055539E-2</v>
      </c>
      <c r="M115" s="734">
        <v>-6.9585399484425811E-2</v>
      </c>
      <c r="N115" s="253">
        <v>-3.5745692306524322E-2</v>
      </c>
      <c r="O115" s="356">
        <v>0</v>
      </c>
      <c r="P115" s="254">
        <v>0</v>
      </c>
      <c r="Q115" s="253">
        <v>0</v>
      </c>
      <c r="R115" s="253">
        <v>0</v>
      </c>
      <c r="S115" s="253">
        <v>0</v>
      </c>
      <c r="T115" s="313">
        <v>0</v>
      </c>
      <c r="U115" s="313">
        <v>0</v>
      </c>
      <c r="V115" s="313">
        <v>0</v>
      </c>
      <c r="W115" s="313">
        <v>0</v>
      </c>
      <c r="X115" s="313">
        <v>0</v>
      </c>
      <c r="Y115" s="313">
        <v>0</v>
      </c>
      <c r="Z115" s="313">
        <v>0</v>
      </c>
      <c r="AA115" s="359">
        <v>0</v>
      </c>
      <c r="AB115" s="445"/>
      <c r="AC115" s="445"/>
      <c r="AD115" s="445"/>
      <c r="AE115" s="334"/>
    </row>
    <row r="116" spans="1:31" s="73" customFormat="1">
      <c r="A116" s="241"/>
      <c r="B116" s="242" t="s">
        <v>82</v>
      </c>
      <c r="C116" s="243">
        <v>0</v>
      </c>
      <c r="D116" s="244">
        <v>0</v>
      </c>
      <c r="E116" s="244">
        <v>0</v>
      </c>
      <c r="F116" s="244">
        <v>0</v>
      </c>
      <c r="G116" s="244">
        <v>0</v>
      </c>
      <c r="H116" s="244">
        <v>0</v>
      </c>
      <c r="I116" s="243">
        <v>0</v>
      </c>
      <c r="J116" s="243"/>
      <c r="K116" s="244">
        <v>14347.11</v>
      </c>
      <c r="L116" s="244">
        <v>16625.906666666669</v>
      </c>
      <c r="M116" s="244">
        <v>8932.3288888888892</v>
      </c>
      <c r="N116" s="243">
        <v>39905.345555555556</v>
      </c>
      <c r="O116" s="314"/>
      <c r="P116" s="244"/>
      <c r="Q116" s="243"/>
      <c r="R116" s="243"/>
      <c r="S116" s="243"/>
      <c r="T116" s="312"/>
      <c r="U116" s="312"/>
      <c r="V116" s="312"/>
      <c r="W116" s="312"/>
      <c r="X116" s="312"/>
      <c r="Y116" s="312"/>
      <c r="Z116" s="312"/>
      <c r="AA116" s="360"/>
      <c r="AB116" s="444"/>
      <c r="AC116" s="444"/>
      <c r="AD116" s="444"/>
      <c r="AE116" s="334"/>
    </row>
    <row r="117" spans="1:31" s="73" customFormat="1">
      <c r="A117" s="241"/>
      <c r="B117" s="242" t="s">
        <v>80</v>
      </c>
      <c r="C117" s="243">
        <v>0</v>
      </c>
      <c r="D117" s="244">
        <v>0</v>
      </c>
      <c r="E117" s="244">
        <v>0</v>
      </c>
      <c r="F117" s="244">
        <v>0</v>
      </c>
      <c r="G117" s="244">
        <v>0</v>
      </c>
      <c r="H117" s="244">
        <v>0</v>
      </c>
      <c r="I117" s="243">
        <v>0</v>
      </c>
      <c r="J117" s="243"/>
      <c r="K117" s="244">
        <v>14198.497777777779</v>
      </c>
      <c r="L117" s="244">
        <v>16688.495555555553</v>
      </c>
      <c r="M117" s="244">
        <v>9527.9333333333325</v>
      </c>
      <c r="N117" s="243">
        <v>40414.926666666666</v>
      </c>
      <c r="O117" s="314"/>
      <c r="P117" s="244"/>
      <c r="Q117" s="243"/>
      <c r="R117" s="243"/>
      <c r="S117" s="243"/>
      <c r="T117" s="312"/>
      <c r="U117" s="312"/>
      <c r="V117" s="312"/>
      <c r="W117" s="312"/>
      <c r="X117" s="312"/>
      <c r="Y117" s="312"/>
      <c r="Z117" s="312"/>
      <c r="AA117" s="360"/>
      <c r="AB117" s="444"/>
      <c r="AC117" s="444"/>
      <c r="AD117" s="444"/>
      <c r="AE117" s="334"/>
    </row>
    <row r="118" spans="1:31" s="73" customFormat="1">
      <c r="A118" s="241"/>
      <c r="B118" s="245" t="s">
        <v>100</v>
      </c>
      <c r="C118" s="253">
        <v>0</v>
      </c>
      <c r="D118" s="254">
        <v>0</v>
      </c>
      <c r="E118" s="254">
        <v>0</v>
      </c>
      <c r="F118" s="254">
        <v>0</v>
      </c>
      <c r="G118" s="254">
        <v>0</v>
      </c>
      <c r="H118" s="254">
        <v>0</v>
      </c>
      <c r="I118" s="253">
        <v>0</v>
      </c>
      <c r="J118" s="253">
        <v>0</v>
      </c>
      <c r="K118" s="254">
        <v>-1.0358338524080602E-2</v>
      </c>
      <c r="L118" s="254">
        <v>3.7645398920931397E-3</v>
      </c>
      <c r="M118" s="254">
        <v>6.667963661585817E-2</v>
      </c>
      <c r="N118" s="253">
        <v>1.2769745607181384E-2</v>
      </c>
      <c r="O118" s="356">
        <v>0</v>
      </c>
      <c r="P118" s="254">
        <v>0</v>
      </c>
      <c r="Q118" s="253">
        <v>0</v>
      </c>
      <c r="R118" s="253">
        <v>0</v>
      </c>
      <c r="S118" s="253">
        <v>0</v>
      </c>
      <c r="T118" s="313">
        <v>0</v>
      </c>
      <c r="U118" s="313">
        <v>0</v>
      </c>
      <c r="V118" s="313">
        <v>0</v>
      </c>
      <c r="W118" s="313">
        <v>0</v>
      </c>
      <c r="X118" s="313">
        <v>0</v>
      </c>
      <c r="Y118" s="313">
        <v>0</v>
      </c>
      <c r="Z118" s="313">
        <v>0</v>
      </c>
      <c r="AA118" s="359">
        <v>0</v>
      </c>
      <c r="AB118" s="445"/>
      <c r="AC118" s="445"/>
      <c r="AD118" s="445"/>
      <c r="AE118" s="334"/>
    </row>
    <row r="119" spans="1:31" s="73" customFormat="1">
      <c r="A119" s="241"/>
      <c r="B119" s="242" t="s">
        <v>88</v>
      </c>
      <c r="C119" s="243">
        <v>16689.125</v>
      </c>
      <c r="D119" s="244">
        <v>7314.25</v>
      </c>
      <c r="E119" s="244">
        <v>6773.5</v>
      </c>
      <c r="F119" s="244">
        <v>452</v>
      </c>
      <c r="G119" s="244">
        <v>959.5</v>
      </c>
      <c r="H119" s="244">
        <v>86.333333333333329</v>
      </c>
      <c r="I119" s="243">
        <v>32274.708333333332</v>
      </c>
      <c r="J119" s="243"/>
      <c r="K119" s="244">
        <v>0</v>
      </c>
      <c r="L119" s="244">
        <v>0</v>
      </c>
      <c r="M119" s="244">
        <v>0</v>
      </c>
      <c r="N119" s="243">
        <v>0</v>
      </c>
      <c r="O119" s="314"/>
      <c r="P119" s="244"/>
      <c r="Q119" s="243"/>
      <c r="R119" s="243"/>
      <c r="S119" s="243"/>
      <c r="T119" s="312"/>
      <c r="U119" s="312"/>
      <c r="V119" s="312"/>
      <c r="W119" s="312"/>
      <c r="X119" s="312"/>
      <c r="Y119" s="312"/>
      <c r="Z119" s="312"/>
      <c r="AA119" s="360"/>
      <c r="AB119" s="444"/>
      <c r="AC119" s="444"/>
      <c r="AD119" s="444"/>
      <c r="AE119" s="334"/>
    </row>
    <row r="120" spans="1:31" s="73" customFormat="1">
      <c r="A120" s="241"/>
      <c r="B120" s="242" t="s">
        <v>90</v>
      </c>
      <c r="C120" s="243">
        <v>16793.041666666668</v>
      </c>
      <c r="D120" s="244">
        <v>6800.916666666667</v>
      </c>
      <c r="E120" s="244">
        <v>6605.666666666667</v>
      </c>
      <c r="F120" s="244">
        <v>473.83333333333331</v>
      </c>
      <c r="G120" s="244">
        <v>952.91666666666674</v>
      </c>
      <c r="H120" s="244">
        <v>107.54166666666666</v>
      </c>
      <c r="I120" s="243">
        <v>31733.916666666672</v>
      </c>
      <c r="J120" s="243"/>
      <c r="K120" s="244">
        <v>0</v>
      </c>
      <c r="L120" s="244">
        <v>0</v>
      </c>
      <c r="M120" s="244">
        <v>0</v>
      </c>
      <c r="N120" s="243">
        <v>0</v>
      </c>
      <c r="O120" s="314"/>
      <c r="P120" s="244"/>
      <c r="Q120" s="243"/>
      <c r="R120" s="243"/>
      <c r="S120" s="243"/>
      <c r="T120" s="312"/>
      <c r="U120" s="312"/>
      <c r="V120" s="312"/>
      <c r="W120" s="312"/>
      <c r="X120" s="312"/>
      <c r="Y120" s="312"/>
      <c r="Z120" s="312"/>
      <c r="AA120" s="360"/>
      <c r="AB120" s="444"/>
      <c r="AC120" s="444"/>
      <c r="AD120" s="444"/>
      <c r="AE120" s="334"/>
    </row>
    <row r="121" spans="1:31" s="73" customFormat="1">
      <c r="A121" s="241"/>
      <c r="B121" s="245" t="s">
        <v>92</v>
      </c>
      <c r="C121" s="253">
        <v>6.2266096435054496E-3</v>
      </c>
      <c r="D121" s="254">
        <v>-7.0182634355310941E-2</v>
      </c>
      <c r="E121" s="254">
        <v>-2.4777933613838198E-2</v>
      </c>
      <c r="F121" s="254">
        <v>4.8303834808259546E-2</v>
      </c>
      <c r="G121" s="254">
        <v>-6.8612124370330983E-3</v>
      </c>
      <c r="H121" s="254">
        <v>0.24565637065637061</v>
      </c>
      <c r="I121" s="253">
        <v>-1.6755896322326845E-2</v>
      </c>
      <c r="J121" s="253">
        <v>0</v>
      </c>
      <c r="K121" s="254">
        <v>0</v>
      </c>
      <c r="L121" s="254">
        <v>0</v>
      </c>
      <c r="M121" s="254">
        <v>0</v>
      </c>
      <c r="N121" s="253">
        <v>0</v>
      </c>
      <c r="O121" s="356">
        <v>0</v>
      </c>
      <c r="P121" s="254">
        <v>0</v>
      </c>
      <c r="Q121" s="253">
        <v>0</v>
      </c>
      <c r="R121" s="253">
        <v>0</v>
      </c>
      <c r="S121" s="253">
        <v>0</v>
      </c>
      <c r="T121" s="313">
        <v>0</v>
      </c>
      <c r="U121" s="313">
        <v>0</v>
      </c>
      <c r="V121" s="313">
        <v>0</v>
      </c>
      <c r="W121" s="313">
        <v>0</v>
      </c>
      <c r="X121" s="313">
        <v>0</v>
      </c>
      <c r="Y121" s="313">
        <v>0</v>
      </c>
      <c r="Z121" s="313">
        <v>0</v>
      </c>
      <c r="AA121" s="359">
        <v>0</v>
      </c>
      <c r="AB121" s="445"/>
      <c r="AC121" s="445"/>
      <c r="AD121" s="445"/>
      <c r="AE121" s="334"/>
    </row>
    <row r="122" spans="1:31" s="73" customFormat="1">
      <c r="A122" s="241"/>
      <c r="B122" s="242" t="s">
        <v>8</v>
      </c>
      <c r="C122" s="243">
        <v>72143.024999999994</v>
      </c>
      <c r="D122" s="244">
        <v>46107.183333333334</v>
      </c>
      <c r="E122" s="244">
        <v>56505.933333333334</v>
      </c>
      <c r="F122" s="244">
        <v>5398.0666666666666</v>
      </c>
      <c r="G122" s="244">
        <v>11923.4</v>
      </c>
      <c r="H122" s="244">
        <v>6641.0666666666675</v>
      </c>
      <c r="I122" s="243">
        <v>198718.67500000002</v>
      </c>
      <c r="J122" s="243"/>
      <c r="K122" s="244">
        <v>96489.743333333317</v>
      </c>
      <c r="L122" s="244">
        <v>82815.906666666677</v>
      </c>
      <c r="M122" s="244">
        <v>36177.028888888883</v>
      </c>
      <c r="N122" s="243">
        <v>215482.67888888888</v>
      </c>
      <c r="O122" s="314"/>
      <c r="P122" s="244"/>
      <c r="Q122" s="243"/>
      <c r="R122" s="243"/>
      <c r="S122" s="243"/>
      <c r="T122" s="312"/>
      <c r="U122" s="312"/>
      <c r="V122" s="312"/>
      <c r="W122" s="312"/>
      <c r="X122" s="312"/>
      <c r="Y122" s="312"/>
      <c r="Z122" s="312"/>
      <c r="AA122" s="360"/>
      <c r="AB122" s="444"/>
      <c r="AC122" s="444"/>
      <c r="AD122" s="444"/>
      <c r="AE122" s="334"/>
    </row>
    <row r="123" spans="1:31" s="73" customFormat="1">
      <c r="A123" s="241"/>
      <c r="B123" s="242" t="s">
        <v>94</v>
      </c>
      <c r="C123" s="243">
        <v>71298.94166666668</v>
      </c>
      <c r="D123" s="244">
        <v>45222.816666666666</v>
      </c>
      <c r="E123" s="244">
        <v>56682.5</v>
      </c>
      <c r="F123" s="244">
        <v>5434.5666666666666</v>
      </c>
      <c r="G123" s="244">
        <v>11212.55</v>
      </c>
      <c r="H123" s="244">
        <v>6191.6750000000002</v>
      </c>
      <c r="I123" s="243">
        <v>196043.05000000002</v>
      </c>
      <c r="J123" s="243"/>
      <c r="K123" s="244">
        <v>96115.597777777788</v>
      </c>
      <c r="L123" s="244">
        <v>78723.728888888872</v>
      </c>
      <c r="M123" s="244">
        <v>34876.800000000003</v>
      </c>
      <c r="N123" s="243">
        <v>209716.12666666665</v>
      </c>
      <c r="O123" s="314"/>
      <c r="P123" s="244"/>
      <c r="Q123" s="243"/>
      <c r="R123" s="243"/>
      <c r="S123" s="243"/>
      <c r="T123" s="312"/>
      <c r="U123" s="312"/>
      <c r="V123" s="312"/>
      <c r="W123" s="312"/>
      <c r="X123" s="312"/>
      <c r="Y123" s="312"/>
      <c r="Z123" s="312"/>
      <c r="AA123" s="360"/>
      <c r="AB123" s="444"/>
      <c r="AC123" s="444"/>
      <c r="AD123" s="444"/>
      <c r="AE123" s="334"/>
    </row>
    <row r="124" spans="1:31" s="73" customFormat="1">
      <c r="A124" s="246"/>
      <c r="B124" s="311" t="s">
        <v>96</v>
      </c>
      <c r="C124" s="253">
        <v>-1.1700137793408496E-2</v>
      </c>
      <c r="D124" s="254">
        <v>-1.9180669967911766E-2</v>
      </c>
      <c r="E124" s="254">
        <v>3.1247456019367703E-3</v>
      </c>
      <c r="F124" s="254">
        <v>6.761680107692878E-3</v>
      </c>
      <c r="G124" s="254">
        <v>-5.9618061962192027E-2</v>
      </c>
      <c r="H124" s="254">
        <v>-6.7668597414070122E-2</v>
      </c>
      <c r="I124" s="253">
        <v>-1.3464386273710811E-2</v>
      </c>
      <c r="J124" s="253">
        <v>0</v>
      </c>
      <c r="K124" s="254">
        <v>-3.8775681500468583E-3</v>
      </c>
      <c r="L124" s="254">
        <v>-4.9412944233633585E-2</v>
      </c>
      <c r="M124" s="254">
        <v>-3.594073169696424E-2</v>
      </c>
      <c r="N124" s="253">
        <v>-2.6761093986564014E-2</v>
      </c>
      <c r="O124" s="356">
        <v>0</v>
      </c>
      <c r="P124" s="254">
        <v>0</v>
      </c>
      <c r="Q124" s="253">
        <v>0</v>
      </c>
      <c r="R124" s="253">
        <v>0</v>
      </c>
      <c r="S124" s="253">
        <v>0</v>
      </c>
      <c r="T124" s="313">
        <v>0</v>
      </c>
      <c r="U124" s="313">
        <v>0</v>
      </c>
      <c r="V124" s="313">
        <v>0</v>
      </c>
      <c r="W124" s="313">
        <v>0</v>
      </c>
      <c r="X124" s="313">
        <v>0</v>
      </c>
      <c r="Y124" s="313">
        <v>0</v>
      </c>
      <c r="Z124" s="313">
        <v>0</v>
      </c>
      <c r="AA124" s="359">
        <v>0</v>
      </c>
      <c r="AB124" s="445"/>
      <c r="AC124" s="445"/>
      <c r="AD124" s="445"/>
      <c r="AE124" s="334"/>
    </row>
    <row r="125" spans="1:31" s="73" customFormat="1">
      <c r="A125" s="342" t="s">
        <v>452</v>
      </c>
      <c r="B125" s="340" t="s">
        <v>86</v>
      </c>
      <c r="C125" s="337">
        <v>36359.966666666667</v>
      </c>
      <c r="D125" s="341"/>
      <c r="E125" s="341">
        <v>19483.400000000001</v>
      </c>
      <c r="F125" s="341">
        <v>3262.6666666666665</v>
      </c>
      <c r="G125" s="341">
        <v>16300.4</v>
      </c>
      <c r="H125" s="341">
        <v>5744.1</v>
      </c>
      <c r="I125" s="337">
        <v>81150.53333333334</v>
      </c>
      <c r="J125" s="337">
        <v>8835.7333333333336</v>
      </c>
      <c r="K125" s="341">
        <v>28434.266666666663</v>
      </c>
      <c r="L125" s="341">
        <v>6122.3666666666668</v>
      </c>
      <c r="M125" s="341">
        <v>12909.900000000001</v>
      </c>
      <c r="N125" s="337">
        <v>56302.26666666667</v>
      </c>
      <c r="O125" s="337"/>
      <c r="P125" s="341"/>
      <c r="Q125" s="337">
        <v>0</v>
      </c>
      <c r="R125" s="337">
        <v>0</v>
      </c>
      <c r="S125" s="337">
        <v>0</v>
      </c>
      <c r="T125" s="349"/>
      <c r="U125" s="349"/>
      <c r="V125" s="349"/>
      <c r="W125" s="349"/>
      <c r="X125" s="349"/>
      <c r="Y125" s="349"/>
      <c r="Z125" s="349"/>
      <c r="AA125" s="357"/>
      <c r="AB125" s="444"/>
      <c r="AC125" s="444"/>
      <c r="AD125" s="444"/>
      <c r="AE125" s="334"/>
    </row>
    <row r="126" spans="1:31" s="73" customFormat="1">
      <c r="A126" s="241"/>
      <c r="B126" s="242" t="s">
        <v>84</v>
      </c>
      <c r="C126" s="243">
        <v>36749.800000000003</v>
      </c>
      <c r="D126" s="244"/>
      <c r="E126" s="244">
        <v>18667.233333333334</v>
      </c>
      <c r="F126" s="244">
        <v>3162.7</v>
      </c>
      <c r="G126" s="244">
        <v>15235.7</v>
      </c>
      <c r="H126" s="244">
        <v>6500.6</v>
      </c>
      <c r="I126" s="243">
        <v>80316.03333333334</v>
      </c>
      <c r="J126" s="243">
        <v>9498.9666666666672</v>
      </c>
      <c r="K126" s="244">
        <v>27029.933333333334</v>
      </c>
      <c r="L126" s="244">
        <v>5035.9666666666672</v>
      </c>
      <c r="M126" s="244">
        <v>12412.7</v>
      </c>
      <c r="N126" s="243">
        <v>53977.566666666666</v>
      </c>
      <c r="O126" s="243"/>
      <c r="P126" s="244"/>
      <c r="Q126" s="243">
        <v>0</v>
      </c>
      <c r="R126" s="243">
        <v>0</v>
      </c>
      <c r="S126" s="243">
        <v>0</v>
      </c>
      <c r="T126" s="312"/>
      <c r="U126" s="312"/>
      <c r="V126" s="312"/>
      <c r="W126" s="312"/>
      <c r="X126" s="312"/>
      <c r="Y126" s="312"/>
      <c r="Z126" s="312"/>
      <c r="AA126" s="358"/>
      <c r="AB126" s="444"/>
      <c r="AC126" s="444"/>
      <c r="AD126" s="444"/>
      <c r="AE126" s="334"/>
    </row>
    <row r="127" spans="1:31" s="73" customFormat="1">
      <c r="A127" s="241"/>
      <c r="B127" s="245" t="s">
        <v>98</v>
      </c>
      <c r="C127" s="253">
        <v>1.0721498644571614E-2</v>
      </c>
      <c r="D127" s="254">
        <v>0</v>
      </c>
      <c r="E127" s="254">
        <v>-4.1890361367454748E-2</v>
      </c>
      <c r="F127" s="254">
        <v>-3.0639558643236628E-2</v>
      </c>
      <c r="G127" s="254">
        <v>-6.5317415523545364E-2</v>
      </c>
      <c r="H127" s="734">
        <v>0.13170035340610364</v>
      </c>
      <c r="I127" s="253">
        <v>-1.0283358170577177E-2</v>
      </c>
      <c r="J127" s="253">
        <v>7.5062624494476995E-2</v>
      </c>
      <c r="K127" s="254">
        <v>-4.9388765667715315E-2</v>
      </c>
      <c r="L127" s="734">
        <v>-0.17744771901933343</v>
      </c>
      <c r="M127" s="254">
        <v>-3.8513079109830491E-2</v>
      </c>
      <c r="N127" s="253">
        <v>-4.1289634283521982E-2</v>
      </c>
      <c r="O127" s="356">
        <v>0</v>
      </c>
      <c r="P127" s="254">
        <v>0</v>
      </c>
      <c r="Q127" s="253">
        <v>0</v>
      </c>
      <c r="R127" s="253">
        <v>0</v>
      </c>
      <c r="S127" s="253">
        <v>0</v>
      </c>
      <c r="T127" s="313">
        <v>0</v>
      </c>
      <c r="U127" s="313">
        <v>0</v>
      </c>
      <c r="V127" s="313">
        <v>0</v>
      </c>
      <c r="W127" s="313">
        <v>0</v>
      </c>
      <c r="X127" s="313">
        <v>0</v>
      </c>
      <c r="Y127" s="313">
        <v>0</v>
      </c>
      <c r="Z127" s="313">
        <v>0</v>
      </c>
      <c r="AA127" s="359">
        <v>0</v>
      </c>
      <c r="AB127" s="445"/>
      <c r="AC127" s="445"/>
      <c r="AD127" s="445"/>
      <c r="AE127" s="334"/>
    </row>
    <row r="128" spans="1:31" s="73" customFormat="1">
      <c r="A128" s="241"/>
      <c r="B128" s="242" t="s">
        <v>82</v>
      </c>
      <c r="C128" s="243">
        <v>0</v>
      </c>
      <c r="D128" s="244"/>
      <c r="E128" s="244">
        <v>0</v>
      </c>
      <c r="F128" s="244">
        <v>0</v>
      </c>
      <c r="G128" s="244">
        <v>0</v>
      </c>
      <c r="H128" s="244">
        <v>0</v>
      </c>
      <c r="I128" s="243">
        <v>0</v>
      </c>
      <c r="J128" s="243">
        <v>0</v>
      </c>
      <c r="K128" s="244">
        <v>0</v>
      </c>
      <c r="L128" s="244">
        <v>0</v>
      </c>
      <c r="M128" s="244">
        <v>0</v>
      </c>
      <c r="N128" s="243">
        <v>0</v>
      </c>
      <c r="O128" s="314"/>
      <c r="P128" s="244"/>
      <c r="Q128" s="243">
        <v>4304.7606777777773</v>
      </c>
      <c r="R128" s="243">
        <v>16254.157633333331</v>
      </c>
      <c r="S128" s="243">
        <v>20558.918311111109</v>
      </c>
      <c r="T128" s="312"/>
      <c r="U128" s="312"/>
      <c r="V128" s="312"/>
      <c r="W128" s="312"/>
      <c r="X128" s="312"/>
      <c r="Y128" s="312"/>
      <c r="Z128" s="312"/>
      <c r="AA128" s="360"/>
      <c r="AB128" s="444"/>
      <c r="AC128" s="444"/>
      <c r="AD128" s="444"/>
      <c r="AE128" s="334"/>
    </row>
    <row r="129" spans="1:31" s="73" customFormat="1">
      <c r="A129" s="241"/>
      <c r="B129" s="242" t="s">
        <v>80</v>
      </c>
      <c r="C129" s="243">
        <v>0</v>
      </c>
      <c r="D129" s="244"/>
      <c r="E129" s="244">
        <v>0</v>
      </c>
      <c r="F129" s="244">
        <v>0</v>
      </c>
      <c r="G129" s="244">
        <v>0</v>
      </c>
      <c r="H129" s="244">
        <v>0</v>
      </c>
      <c r="I129" s="243">
        <v>0</v>
      </c>
      <c r="J129" s="243">
        <v>0</v>
      </c>
      <c r="K129" s="244">
        <v>0</v>
      </c>
      <c r="L129" s="244">
        <v>0</v>
      </c>
      <c r="M129" s="244">
        <v>0</v>
      </c>
      <c r="N129" s="243">
        <v>0</v>
      </c>
      <c r="O129" s="314"/>
      <c r="P129" s="244"/>
      <c r="Q129" s="243">
        <v>4046.5422222222219</v>
      </c>
      <c r="R129" s="243">
        <v>15930.953333333329</v>
      </c>
      <c r="S129" s="243">
        <v>19977.49555555555</v>
      </c>
      <c r="T129" s="312"/>
      <c r="U129" s="312"/>
      <c r="V129" s="312"/>
      <c r="W129" s="312"/>
      <c r="X129" s="312"/>
      <c r="Y129" s="312"/>
      <c r="Z129" s="312"/>
      <c r="AA129" s="360"/>
      <c r="AB129" s="444"/>
      <c r="AC129" s="444"/>
      <c r="AD129" s="444"/>
      <c r="AE129" s="334"/>
    </row>
    <row r="130" spans="1:31" s="73" customFormat="1">
      <c r="A130" s="241"/>
      <c r="B130" s="245" t="s">
        <v>100</v>
      </c>
      <c r="C130" s="253">
        <v>0</v>
      </c>
      <c r="D130" s="254">
        <v>0</v>
      </c>
      <c r="E130" s="254">
        <v>0</v>
      </c>
      <c r="F130" s="254">
        <v>0</v>
      </c>
      <c r="G130" s="254">
        <v>0</v>
      </c>
      <c r="H130" s="254">
        <v>0</v>
      </c>
      <c r="I130" s="253">
        <v>0</v>
      </c>
      <c r="J130" s="253">
        <v>0</v>
      </c>
      <c r="K130" s="254">
        <v>0</v>
      </c>
      <c r="L130" s="254">
        <v>0</v>
      </c>
      <c r="M130" s="254">
        <v>0</v>
      </c>
      <c r="N130" s="253">
        <v>0</v>
      </c>
      <c r="O130" s="356">
        <v>0</v>
      </c>
      <c r="P130" s="254">
        <v>0</v>
      </c>
      <c r="Q130" s="253">
        <v>-5.9984392834784524E-2</v>
      </c>
      <c r="R130" s="253">
        <v>-1.988440787218574E-2</v>
      </c>
      <c r="S130" s="253">
        <v>-2.8280804795129909E-2</v>
      </c>
      <c r="T130" s="313">
        <v>0</v>
      </c>
      <c r="U130" s="313">
        <v>0</v>
      </c>
      <c r="V130" s="313">
        <v>0</v>
      </c>
      <c r="W130" s="313">
        <v>0</v>
      </c>
      <c r="X130" s="313">
        <v>0</v>
      </c>
      <c r="Y130" s="313">
        <v>0</v>
      </c>
      <c r="Z130" s="313">
        <v>0</v>
      </c>
      <c r="AA130" s="359">
        <v>0</v>
      </c>
      <c r="AB130" s="445"/>
      <c r="AC130" s="445"/>
      <c r="AD130" s="445"/>
      <c r="AE130" s="334"/>
    </row>
    <row r="131" spans="1:31" s="73" customFormat="1">
      <c r="A131" s="241"/>
      <c r="B131" s="242" t="s">
        <v>88</v>
      </c>
      <c r="C131" s="243">
        <v>10016.375</v>
      </c>
      <c r="D131" s="244"/>
      <c r="E131" s="244">
        <v>2034.625</v>
      </c>
      <c r="F131" s="244">
        <v>257.45833333333331</v>
      </c>
      <c r="G131" s="244">
        <v>2075.833333333333</v>
      </c>
      <c r="H131" s="244">
        <v>0</v>
      </c>
      <c r="I131" s="243">
        <v>14384.291666666668</v>
      </c>
      <c r="J131" s="835">
        <v>2.25</v>
      </c>
      <c r="K131" s="244">
        <v>0</v>
      </c>
      <c r="L131" s="244">
        <v>0</v>
      </c>
      <c r="M131" s="244">
        <v>0</v>
      </c>
      <c r="N131" s="243">
        <v>2.25</v>
      </c>
      <c r="O131" s="314"/>
      <c r="P131" s="244"/>
      <c r="Q131" s="243">
        <v>0</v>
      </c>
      <c r="R131" s="243">
        <v>0</v>
      </c>
      <c r="S131" s="243">
        <v>0</v>
      </c>
      <c r="T131" s="312"/>
      <c r="U131" s="312"/>
      <c r="V131" s="312"/>
      <c r="W131" s="312"/>
      <c r="X131" s="312"/>
      <c r="Y131" s="312"/>
      <c r="Z131" s="312"/>
      <c r="AA131" s="360"/>
      <c r="AB131" s="444"/>
      <c r="AC131" s="444"/>
      <c r="AD131" s="444"/>
      <c r="AE131" s="334"/>
    </row>
    <row r="132" spans="1:31" s="73" customFormat="1">
      <c r="A132" s="241"/>
      <c r="B132" s="242" t="s">
        <v>90</v>
      </c>
      <c r="C132" s="243">
        <v>7483.875</v>
      </c>
      <c r="D132" s="244"/>
      <c r="E132" s="244">
        <v>2150.5833333333335</v>
      </c>
      <c r="F132" s="244">
        <v>255.875</v>
      </c>
      <c r="G132" s="244">
        <v>2304.3333333333335</v>
      </c>
      <c r="H132" s="244">
        <v>0</v>
      </c>
      <c r="I132" s="243">
        <v>12194.666666666668</v>
      </c>
      <c r="J132" s="243">
        <v>0</v>
      </c>
      <c r="K132" s="244">
        <v>0</v>
      </c>
      <c r="L132" s="244">
        <v>0</v>
      </c>
      <c r="M132" s="244">
        <v>0</v>
      </c>
      <c r="N132" s="243">
        <v>0</v>
      </c>
      <c r="O132" s="314"/>
      <c r="P132" s="244"/>
      <c r="Q132" s="243">
        <v>0</v>
      </c>
      <c r="R132" s="243">
        <v>0</v>
      </c>
      <c r="S132" s="243">
        <v>0</v>
      </c>
      <c r="T132" s="312"/>
      <c r="U132" s="312"/>
      <c r="V132" s="312"/>
      <c r="W132" s="312"/>
      <c r="X132" s="312"/>
      <c r="Y132" s="312"/>
      <c r="Z132" s="312"/>
      <c r="AA132" s="360"/>
      <c r="AB132" s="444"/>
      <c r="AC132" s="444"/>
      <c r="AD132" s="444"/>
      <c r="AE132" s="334"/>
    </row>
    <row r="133" spans="1:31" s="73" customFormat="1">
      <c r="A133" s="241"/>
      <c r="B133" s="245" t="s">
        <v>92</v>
      </c>
      <c r="C133" s="733">
        <v>-0.25283598108097988</v>
      </c>
      <c r="D133" s="254">
        <v>0</v>
      </c>
      <c r="E133" s="254">
        <v>5.699248428252552E-2</v>
      </c>
      <c r="F133" s="254">
        <v>-6.1498624372875142E-3</v>
      </c>
      <c r="G133" s="734">
        <v>0.1100762745885189</v>
      </c>
      <c r="H133" s="254">
        <v>0</v>
      </c>
      <c r="I133" s="253">
        <v>-0.15222334548972691</v>
      </c>
      <c r="J133" s="253">
        <v>-1</v>
      </c>
      <c r="K133" s="254">
        <v>0</v>
      </c>
      <c r="L133" s="254">
        <v>0</v>
      </c>
      <c r="M133" s="254">
        <v>0</v>
      </c>
      <c r="N133" s="253">
        <v>-1</v>
      </c>
      <c r="O133" s="356">
        <v>0</v>
      </c>
      <c r="P133" s="254">
        <v>0</v>
      </c>
      <c r="Q133" s="253">
        <v>0</v>
      </c>
      <c r="R133" s="253">
        <v>0</v>
      </c>
      <c r="S133" s="253">
        <v>0</v>
      </c>
      <c r="T133" s="313">
        <v>0</v>
      </c>
      <c r="U133" s="313">
        <v>0</v>
      </c>
      <c r="V133" s="313">
        <v>0</v>
      </c>
      <c r="W133" s="313">
        <v>0</v>
      </c>
      <c r="X133" s="313">
        <v>0</v>
      </c>
      <c r="Y133" s="313">
        <v>0</v>
      </c>
      <c r="Z133" s="313">
        <v>0</v>
      </c>
      <c r="AA133" s="359">
        <v>0</v>
      </c>
      <c r="AB133" s="445"/>
      <c r="AC133" s="445"/>
      <c r="AD133" s="445"/>
      <c r="AE133" s="334"/>
    </row>
    <row r="134" spans="1:31" s="73" customFormat="1">
      <c r="A134" s="241"/>
      <c r="B134" s="242" t="s">
        <v>8</v>
      </c>
      <c r="C134" s="243">
        <v>46376.341666666667</v>
      </c>
      <c r="D134" s="244"/>
      <c r="E134" s="244">
        <v>21518.025000000001</v>
      </c>
      <c r="F134" s="244">
        <v>3520.125</v>
      </c>
      <c r="G134" s="244">
        <v>18376.233333333334</v>
      </c>
      <c r="H134" s="244">
        <v>5744.1</v>
      </c>
      <c r="I134" s="243">
        <v>95534.825000000012</v>
      </c>
      <c r="J134" s="243">
        <v>8837.9833333333336</v>
      </c>
      <c r="K134" s="244">
        <v>28434.266666666663</v>
      </c>
      <c r="L134" s="244">
        <v>6122.3666666666668</v>
      </c>
      <c r="M134" s="244">
        <v>12909.900000000001</v>
      </c>
      <c r="N134" s="243">
        <v>56304.51666666667</v>
      </c>
      <c r="O134" s="314"/>
      <c r="P134" s="244"/>
      <c r="Q134" s="243">
        <v>4304.7606777777773</v>
      </c>
      <c r="R134" s="243">
        <v>16254.157633333331</v>
      </c>
      <c r="S134" s="243">
        <v>20558.918311111109</v>
      </c>
      <c r="T134" s="312"/>
      <c r="U134" s="312"/>
      <c r="V134" s="312"/>
      <c r="W134" s="312"/>
      <c r="X134" s="312"/>
      <c r="Y134" s="312"/>
      <c r="Z134" s="312"/>
      <c r="AA134" s="360"/>
      <c r="AB134" s="444"/>
      <c r="AC134" s="444"/>
      <c r="AD134" s="444"/>
      <c r="AE134" s="334"/>
    </row>
    <row r="135" spans="1:31" s="73" customFormat="1">
      <c r="A135" s="241"/>
      <c r="B135" s="242" t="s">
        <v>94</v>
      </c>
      <c r="C135" s="243">
        <v>44233.675000000003</v>
      </c>
      <c r="D135" s="244"/>
      <c r="E135" s="244">
        <v>20817.816666666666</v>
      </c>
      <c r="F135" s="244">
        <v>3418.5749999999998</v>
      </c>
      <c r="G135" s="244">
        <v>17540.033333333329</v>
      </c>
      <c r="H135" s="244">
        <v>6500.6</v>
      </c>
      <c r="I135" s="243">
        <v>92510.7</v>
      </c>
      <c r="J135" s="243">
        <v>9498.9666666666672</v>
      </c>
      <c r="K135" s="244">
        <v>27029.933333333334</v>
      </c>
      <c r="L135" s="244">
        <v>5035.9666666666672</v>
      </c>
      <c r="M135" s="244">
        <v>12412.7</v>
      </c>
      <c r="N135" s="243">
        <v>53977.566666666666</v>
      </c>
      <c r="O135" s="314"/>
      <c r="P135" s="244"/>
      <c r="Q135" s="243">
        <v>4046.5422222222219</v>
      </c>
      <c r="R135" s="243">
        <v>15930.953333333329</v>
      </c>
      <c r="S135" s="243">
        <v>19977.49555555555</v>
      </c>
      <c r="T135" s="312"/>
      <c r="U135" s="312"/>
      <c r="V135" s="312"/>
      <c r="W135" s="312"/>
      <c r="X135" s="312"/>
      <c r="Y135" s="312"/>
      <c r="Z135" s="312"/>
      <c r="AA135" s="360"/>
      <c r="AB135" s="444"/>
      <c r="AC135" s="444"/>
      <c r="AD135" s="444"/>
      <c r="AE135" s="334"/>
    </row>
    <row r="136" spans="1:31" s="73" customFormat="1">
      <c r="A136" s="246"/>
      <c r="B136" s="311" t="s">
        <v>96</v>
      </c>
      <c r="C136" s="253">
        <v>-4.6201718153347171E-2</v>
      </c>
      <c r="D136" s="254">
        <v>0</v>
      </c>
      <c r="E136" s="254">
        <v>-3.2540548369719605E-2</v>
      </c>
      <c r="F136" s="254">
        <v>-2.8848407371897356E-2</v>
      </c>
      <c r="G136" s="254">
        <v>-4.5504428727686543E-2</v>
      </c>
      <c r="H136" s="254">
        <v>0.13170035340610364</v>
      </c>
      <c r="I136" s="253">
        <v>-3.1654687178209462E-2</v>
      </c>
      <c r="J136" s="253">
        <v>7.4788931864169642E-2</v>
      </c>
      <c r="K136" s="254">
        <v>-4.9388765667715315E-2</v>
      </c>
      <c r="L136" s="254">
        <v>-0.17744771901933343</v>
      </c>
      <c r="M136" s="254">
        <v>-3.8513079109830491E-2</v>
      </c>
      <c r="N136" s="253">
        <v>-4.1327945567421857E-2</v>
      </c>
      <c r="O136" s="356">
        <v>0</v>
      </c>
      <c r="P136" s="254">
        <v>0</v>
      </c>
      <c r="Q136" s="253">
        <v>-5.9984392834784524E-2</v>
      </c>
      <c r="R136" s="253">
        <v>-1.988440787218574E-2</v>
      </c>
      <c r="S136" s="253">
        <v>-2.8280804795129909E-2</v>
      </c>
      <c r="T136" s="313">
        <v>0</v>
      </c>
      <c r="U136" s="313">
        <v>0</v>
      </c>
      <c r="V136" s="313">
        <v>0</v>
      </c>
      <c r="W136" s="313">
        <v>0</v>
      </c>
      <c r="X136" s="313">
        <v>0</v>
      </c>
      <c r="Y136" s="313">
        <v>0</v>
      </c>
      <c r="Z136" s="313">
        <v>0</v>
      </c>
      <c r="AA136" s="359">
        <v>0</v>
      </c>
      <c r="AB136" s="445"/>
      <c r="AC136" s="445"/>
      <c r="AD136" s="445"/>
      <c r="AE136" s="334"/>
    </row>
    <row r="137" spans="1:31" s="73" customFormat="1">
      <c r="A137" s="342" t="s">
        <v>854</v>
      </c>
      <c r="B137" s="340" t="s">
        <v>86</v>
      </c>
      <c r="C137" s="337">
        <v>37938.633333333331</v>
      </c>
      <c r="D137" s="341"/>
      <c r="E137" s="341">
        <v>14760.600000000002</v>
      </c>
      <c r="F137" s="341">
        <v>2907.9333333333334</v>
      </c>
      <c r="G137" s="341">
        <v>15491.533333333335</v>
      </c>
      <c r="H137" s="341">
        <v>12260.933333333334</v>
      </c>
      <c r="I137" s="337">
        <v>83359.633333333346</v>
      </c>
      <c r="J137" s="337"/>
      <c r="K137" s="341">
        <v>57517.322666666667</v>
      </c>
      <c r="L137" s="341">
        <v>17807.101000000002</v>
      </c>
      <c r="M137" s="341">
        <v>8309.9860000000008</v>
      </c>
      <c r="N137" s="337">
        <v>83634.409666666674</v>
      </c>
      <c r="O137" s="337"/>
      <c r="P137" s="341"/>
      <c r="Q137" s="337"/>
      <c r="R137" s="337"/>
      <c r="S137" s="337"/>
      <c r="T137" s="349"/>
      <c r="U137" s="349"/>
      <c r="V137" s="349"/>
      <c r="W137" s="349"/>
      <c r="X137" s="349"/>
      <c r="Y137" s="349"/>
      <c r="Z137" s="349"/>
      <c r="AA137" s="357"/>
      <c r="AB137" s="444"/>
      <c r="AC137" s="444"/>
      <c r="AD137" s="444"/>
      <c r="AE137" s="334"/>
    </row>
    <row r="138" spans="1:31" s="73" customFormat="1">
      <c r="A138" s="241"/>
      <c r="B138" s="242" t="s">
        <v>84</v>
      </c>
      <c r="C138" s="243">
        <v>39419.300000000003</v>
      </c>
      <c r="D138" s="244"/>
      <c r="E138" s="244">
        <v>15026.516666666666</v>
      </c>
      <c r="F138" s="244">
        <v>3024</v>
      </c>
      <c r="G138" s="244">
        <v>15258.5</v>
      </c>
      <c r="H138" s="244">
        <v>12117.800333333333</v>
      </c>
      <c r="I138" s="243">
        <v>84846.116999999998</v>
      </c>
      <c r="J138" s="243"/>
      <c r="K138" s="244">
        <v>57001.922666666665</v>
      </c>
      <c r="L138" s="244">
        <v>16852.201000000001</v>
      </c>
      <c r="M138" s="244">
        <v>8725.2860000000001</v>
      </c>
      <c r="N138" s="243">
        <v>82579.409666666674</v>
      </c>
      <c r="O138" s="243"/>
      <c r="P138" s="244"/>
      <c r="Q138" s="243"/>
      <c r="R138" s="243"/>
      <c r="S138" s="243"/>
      <c r="T138" s="312"/>
      <c r="U138" s="312"/>
      <c r="V138" s="312"/>
      <c r="W138" s="312"/>
      <c r="X138" s="312"/>
      <c r="Y138" s="312"/>
      <c r="Z138" s="312"/>
      <c r="AA138" s="358"/>
      <c r="AB138" s="444"/>
      <c r="AC138" s="444"/>
      <c r="AD138" s="444"/>
      <c r="AE138" s="334"/>
    </row>
    <row r="139" spans="1:31" s="73" customFormat="1">
      <c r="A139" s="241"/>
      <c r="B139" s="245" t="s">
        <v>98</v>
      </c>
      <c r="C139" s="253">
        <v>3.9027938978648986E-2</v>
      </c>
      <c r="D139" s="254">
        <v>0</v>
      </c>
      <c r="E139" s="254">
        <v>1.8015301997660271E-2</v>
      </c>
      <c r="F139" s="254">
        <v>3.9913799032531672E-2</v>
      </c>
      <c r="G139" s="254">
        <v>-1.5042625434108179E-2</v>
      </c>
      <c r="H139" s="254">
        <v>-1.1673907369749036E-2</v>
      </c>
      <c r="I139" s="253">
        <v>1.7832176165202267E-2</v>
      </c>
      <c r="J139" s="253">
        <v>0</v>
      </c>
      <c r="K139" s="254">
        <v>-8.9607787029122987E-3</v>
      </c>
      <c r="L139" s="254">
        <v>-5.3624674785637559E-2</v>
      </c>
      <c r="M139" s="254">
        <v>4.9976016806767089E-2</v>
      </c>
      <c r="N139" s="253">
        <v>-1.26144251415752E-2</v>
      </c>
      <c r="O139" s="356">
        <v>0</v>
      </c>
      <c r="P139" s="254">
        <v>0</v>
      </c>
      <c r="Q139" s="253">
        <v>0</v>
      </c>
      <c r="R139" s="253">
        <v>0</v>
      </c>
      <c r="S139" s="253">
        <v>0</v>
      </c>
      <c r="T139" s="313">
        <v>0</v>
      </c>
      <c r="U139" s="313">
        <v>0</v>
      </c>
      <c r="V139" s="313">
        <v>0</v>
      </c>
      <c r="W139" s="313">
        <v>0</v>
      </c>
      <c r="X139" s="313">
        <v>0</v>
      </c>
      <c r="Y139" s="313">
        <v>0</v>
      </c>
      <c r="Z139" s="313">
        <v>0</v>
      </c>
      <c r="AA139" s="359">
        <v>0</v>
      </c>
      <c r="AB139" s="445"/>
      <c r="AC139" s="445"/>
      <c r="AD139" s="445"/>
      <c r="AE139" s="334"/>
    </row>
    <row r="140" spans="1:31" s="73" customFormat="1">
      <c r="A140" s="241"/>
      <c r="B140" s="242" t="s">
        <v>82</v>
      </c>
      <c r="C140" s="243">
        <v>0</v>
      </c>
      <c r="D140" s="244"/>
      <c r="E140" s="244">
        <v>0</v>
      </c>
      <c r="F140" s="244">
        <v>0</v>
      </c>
      <c r="G140" s="244">
        <v>0</v>
      </c>
      <c r="H140" s="244">
        <v>0</v>
      </c>
      <c r="I140" s="243">
        <v>0</v>
      </c>
      <c r="J140" s="243"/>
      <c r="K140" s="244">
        <v>0</v>
      </c>
      <c r="L140" s="244">
        <v>0</v>
      </c>
      <c r="M140" s="244">
        <v>0</v>
      </c>
      <c r="N140" s="243">
        <v>0</v>
      </c>
      <c r="O140" s="314"/>
      <c r="P140" s="244"/>
      <c r="Q140" s="243"/>
      <c r="R140" s="243"/>
      <c r="S140" s="243"/>
      <c r="T140" s="312"/>
      <c r="U140" s="312"/>
      <c r="V140" s="312"/>
      <c r="W140" s="312"/>
      <c r="X140" s="312"/>
      <c r="Y140" s="312"/>
      <c r="Z140" s="312"/>
      <c r="AA140" s="360"/>
      <c r="AB140" s="444"/>
      <c r="AC140" s="444"/>
      <c r="AD140" s="444"/>
      <c r="AE140" s="334"/>
    </row>
    <row r="141" spans="1:31" s="73" customFormat="1">
      <c r="A141" s="241"/>
      <c r="B141" s="242" t="s">
        <v>80</v>
      </c>
      <c r="C141" s="243">
        <v>0</v>
      </c>
      <c r="D141" s="244"/>
      <c r="E141" s="244">
        <v>0</v>
      </c>
      <c r="F141" s="244">
        <v>0</v>
      </c>
      <c r="G141" s="244">
        <v>0</v>
      </c>
      <c r="H141" s="244">
        <v>0</v>
      </c>
      <c r="I141" s="243">
        <v>0</v>
      </c>
      <c r="J141" s="243"/>
      <c r="K141" s="244">
        <v>0</v>
      </c>
      <c r="L141" s="244">
        <v>0</v>
      </c>
      <c r="M141" s="244">
        <v>0</v>
      </c>
      <c r="N141" s="243">
        <v>0</v>
      </c>
      <c r="O141" s="314"/>
      <c r="P141" s="244"/>
      <c r="Q141" s="243"/>
      <c r="R141" s="243"/>
      <c r="S141" s="243"/>
      <c r="T141" s="312"/>
      <c r="U141" s="312"/>
      <c r="V141" s="312"/>
      <c r="W141" s="312"/>
      <c r="X141" s="312"/>
      <c r="Y141" s="312"/>
      <c r="Z141" s="312"/>
      <c r="AA141" s="360"/>
      <c r="AB141" s="444"/>
      <c r="AC141" s="444"/>
      <c r="AD141" s="444"/>
      <c r="AE141" s="334"/>
    </row>
    <row r="142" spans="1:31" s="73" customFormat="1">
      <c r="A142" s="241"/>
      <c r="B142" s="245" t="s">
        <v>100</v>
      </c>
      <c r="C142" s="253">
        <v>0</v>
      </c>
      <c r="D142" s="254">
        <v>0</v>
      </c>
      <c r="E142" s="254">
        <v>0</v>
      </c>
      <c r="F142" s="254">
        <v>0</v>
      </c>
      <c r="G142" s="254">
        <v>0</v>
      </c>
      <c r="H142" s="254">
        <v>0</v>
      </c>
      <c r="I142" s="253">
        <v>0</v>
      </c>
      <c r="J142" s="253">
        <v>0</v>
      </c>
      <c r="K142" s="254">
        <v>0</v>
      </c>
      <c r="L142" s="254">
        <v>0</v>
      </c>
      <c r="M142" s="254">
        <v>0</v>
      </c>
      <c r="N142" s="253">
        <v>0</v>
      </c>
      <c r="O142" s="356">
        <v>0</v>
      </c>
      <c r="P142" s="254">
        <v>0</v>
      </c>
      <c r="Q142" s="253">
        <v>0</v>
      </c>
      <c r="R142" s="253">
        <v>0</v>
      </c>
      <c r="S142" s="253">
        <v>0</v>
      </c>
      <c r="T142" s="313">
        <v>0</v>
      </c>
      <c r="U142" s="313">
        <v>0</v>
      </c>
      <c r="V142" s="313">
        <v>0</v>
      </c>
      <c r="W142" s="313">
        <v>0</v>
      </c>
      <c r="X142" s="313">
        <v>0</v>
      </c>
      <c r="Y142" s="313">
        <v>0</v>
      </c>
      <c r="Z142" s="313">
        <v>0</v>
      </c>
      <c r="AA142" s="359">
        <v>0</v>
      </c>
      <c r="AB142" s="445"/>
      <c r="AC142" s="445"/>
      <c r="AD142" s="445"/>
      <c r="AE142" s="334"/>
    </row>
    <row r="143" spans="1:31" s="73" customFormat="1">
      <c r="A143" s="241"/>
      <c r="B143" s="242" t="s">
        <v>88</v>
      </c>
      <c r="C143" s="243">
        <v>8145.541666666667</v>
      </c>
      <c r="D143" s="244"/>
      <c r="E143" s="244">
        <v>1568.1666666666665</v>
      </c>
      <c r="F143" s="244">
        <v>669.25</v>
      </c>
      <c r="G143" s="244">
        <v>1030.375</v>
      </c>
      <c r="H143" s="244">
        <v>177.20833333333331</v>
      </c>
      <c r="I143" s="243">
        <v>11590.541666666668</v>
      </c>
      <c r="J143" s="243"/>
      <c r="K143" s="244">
        <v>0</v>
      </c>
      <c r="L143" s="244">
        <v>0</v>
      </c>
      <c r="M143" s="244">
        <v>0</v>
      </c>
      <c r="N143" s="243">
        <v>0</v>
      </c>
      <c r="O143" s="314"/>
      <c r="P143" s="244"/>
      <c r="Q143" s="243"/>
      <c r="R143" s="243"/>
      <c r="S143" s="243"/>
      <c r="T143" s="312"/>
      <c r="U143" s="312"/>
      <c r="V143" s="312"/>
      <c r="W143" s="312"/>
      <c r="X143" s="312"/>
      <c r="Y143" s="312"/>
      <c r="Z143" s="312"/>
      <c r="AA143" s="360"/>
      <c r="AB143" s="444"/>
      <c r="AC143" s="444"/>
      <c r="AD143" s="444"/>
      <c r="AE143" s="334"/>
    </row>
    <row r="144" spans="1:31" s="73" customFormat="1">
      <c r="A144" s="241"/>
      <c r="B144" s="242" t="s">
        <v>90</v>
      </c>
      <c r="C144" s="243">
        <v>8018.458333333333</v>
      </c>
      <c r="D144" s="244"/>
      <c r="E144" s="244">
        <v>1530.1875</v>
      </c>
      <c r="F144" s="244">
        <v>580.95833333333337</v>
      </c>
      <c r="G144" s="244">
        <v>1016.8333333333333</v>
      </c>
      <c r="H144" s="244">
        <v>203.04166666666669</v>
      </c>
      <c r="I144" s="243">
        <v>11349.479166666666</v>
      </c>
      <c r="J144" s="243"/>
      <c r="K144" s="244">
        <v>0</v>
      </c>
      <c r="L144" s="244">
        <v>0</v>
      </c>
      <c r="M144" s="244">
        <v>0</v>
      </c>
      <c r="N144" s="243">
        <v>0</v>
      </c>
      <c r="O144" s="314"/>
      <c r="P144" s="244"/>
      <c r="Q144" s="243"/>
      <c r="R144" s="243"/>
      <c r="S144" s="243"/>
      <c r="T144" s="312"/>
      <c r="U144" s="312"/>
      <c r="V144" s="312"/>
      <c r="W144" s="312"/>
      <c r="X144" s="312"/>
      <c r="Y144" s="312"/>
      <c r="Z144" s="312"/>
      <c r="AA144" s="360"/>
      <c r="AB144" s="444"/>
      <c r="AC144" s="444"/>
      <c r="AD144" s="444"/>
      <c r="AE144" s="334"/>
    </row>
    <row r="145" spans="1:31" s="73" customFormat="1">
      <c r="A145" s="241"/>
      <c r="B145" s="245" t="s">
        <v>92</v>
      </c>
      <c r="C145" s="253">
        <v>-1.5601581642309518E-2</v>
      </c>
      <c r="D145" s="254">
        <v>0</v>
      </c>
      <c r="E145" s="254">
        <v>-2.4218833032203114E-2</v>
      </c>
      <c r="F145" s="734">
        <v>-0.1319262856431328</v>
      </c>
      <c r="G145" s="254">
        <v>-1.314246431315467E-2</v>
      </c>
      <c r="H145" s="734">
        <v>0.14577944980014132</v>
      </c>
      <c r="I145" s="253">
        <v>-2.079820830921749E-2</v>
      </c>
      <c r="J145" s="253">
        <v>0</v>
      </c>
      <c r="K145" s="254">
        <v>0</v>
      </c>
      <c r="L145" s="254">
        <v>0</v>
      </c>
      <c r="M145" s="254">
        <v>0</v>
      </c>
      <c r="N145" s="253">
        <v>0</v>
      </c>
      <c r="O145" s="356">
        <v>0</v>
      </c>
      <c r="P145" s="254">
        <v>0</v>
      </c>
      <c r="Q145" s="253">
        <v>0</v>
      </c>
      <c r="R145" s="253">
        <v>0</v>
      </c>
      <c r="S145" s="253">
        <v>0</v>
      </c>
      <c r="T145" s="313">
        <v>0</v>
      </c>
      <c r="U145" s="313">
        <v>0</v>
      </c>
      <c r="V145" s="313">
        <v>0</v>
      </c>
      <c r="W145" s="313">
        <v>0</v>
      </c>
      <c r="X145" s="313">
        <v>0</v>
      </c>
      <c r="Y145" s="313">
        <v>0</v>
      </c>
      <c r="Z145" s="313">
        <v>0</v>
      </c>
      <c r="AA145" s="359">
        <v>0</v>
      </c>
      <c r="AB145" s="445"/>
      <c r="AC145" s="445"/>
      <c r="AD145" s="445"/>
      <c r="AE145" s="334"/>
    </row>
    <row r="146" spans="1:31" s="73" customFormat="1">
      <c r="A146" s="241"/>
      <c r="B146" s="242" t="s">
        <v>8</v>
      </c>
      <c r="C146" s="243">
        <v>46084.175000000003</v>
      </c>
      <c r="D146" s="244"/>
      <c r="E146" s="244">
        <v>16328.766666666666</v>
      </c>
      <c r="F146" s="244">
        <v>3577.1833333333334</v>
      </c>
      <c r="G146" s="244">
        <v>16521.908333333333</v>
      </c>
      <c r="H146" s="244">
        <v>12438.141666666666</v>
      </c>
      <c r="I146" s="243">
        <v>94950.174999999988</v>
      </c>
      <c r="J146" s="243"/>
      <c r="K146" s="244">
        <v>57517.322666666667</v>
      </c>
      <c r="L146" s="244">
        <v>17807.101000000002</v>
      </c>
      <c r="M146" s="244">
        <v>8309.9860000000008</v>
      </c>
      <c r="N146" s="243">
        <v>83634.409666666674</v>
      </c>
      <c r="O146" s="314"/>
      <c r="P146" s="244"/>
      <c r="Q146" s="243"/>
      <c r="R146" s="243"/>
      <c r="S146" s="243"/>
      <c r="T146" s="312"/>
      <c r="U146" s="312"/>
      <c r="V146" s="312"/>
      <c r="W146" s="312"/>
      <c r="X146" s="312"/>
      <c r="Y146" s="312"/>
      <c r="Z146" s="312"/>
      <c r="AA146" s="360"/>
      <c r="AB146" s="444"/>
      <c r="AC146" s="444"/>
      <c r="AD146" s="444"/>
      <c r="AE146" s="334"/>
    </row>
    <row r="147" spans="1:31" s="73" customFormat="1">
      <c r="A147" s="241"/>
      <c r="B147" s="242" t="s">
        <v>94</v>
      </c>
      <c r="C147" s="243">
        <v>47437.758333333331</v>
      </c>
      <c r="D147" s="244"/>
      <c r="E147" s="244">
        <v>16556.704166666666</v>
      </c>
      <c r="F147" s="244">
        <v>3604.9583333333335</v>
      </c>
      <c r="G147" s="244">
        <v>16275.333333333334</v>
      </c>
      <c r="H147" s="244">
        <v>12320.842000000001</v>
      </c>
      <c r="I147" s="243">
        <v>96195.596166666655</v>
      </c>
      <c r="J147" s="243"/>
      <c r="K147" s="244">
        <v>57001.922666666665</v>
      </c>
      <c r="L147" s="244">
        <v>16852.201000000001</v>
      </c>
      <c r="M147" s="244">
        <v>8725.2860000000001</v>
      </c>
      <c r="N147" s="243">
        <v>82579.409666666674</v>
      </c>
      <c r="O147" s="314"/>
      <c r="P147" s="244"/>
      <c r="Q147" s="243"/>
      <c r="R147" s="243"/>
      <c r="S147" s="243"/>
      <c r="T147" s="312"/>
      <c r="U147" s="312"/>
      <c r="V147" s="312"/>
      <c r="W147" s="312"/>
      <c r="X147" s="312"/>
      <c r="Y147" s="312"/>
      <c r="Z147" s="312"/>
      <c r="AA147" s="360"/>
      <c r="AB147" s="444"/>
      <c r="AC147" s="444"/>
      <c r="AD147" s="444"/>
      <c r="AE147" s="334"/>
    </row>
    <row r="148" spans="1:31" s="73" customFormat="1">
      <c r="A148" s="246"/>
      <c r="B148" s="311" t="s">
        <v>96</v>
      </c>
      <c r="C148" s="253">
        <v>2.9371977112171984E-2</v>
      </c>
      <c r="D148" s="254">
        <v>0</v>
      </c>
      <c r="E148" s="254">
        <v>1.3959260038010627E-2</v>
      </c>
      <c r="F148" s="254">
        <v>7.7644888203475051E-3</v>
      </c>
      <c r="G148" s="254">
        <v>-1.4924123474437159E-2</v>
      </c>
      <c r="H148" s="254">
        <v>-9.4306424392174779E-3</v>
      </c>
      <c r="I148" s="253">
        <v>1.3116575790056912E-2</v>
      </c>
      <c r="J148" s="253">
        <v>0</v>
      </c>
      <c r="K148" s="254">
        <v>-8.9607787029122987E-3</v>
      </c>
      <c r="L148" s="254">
        <v>-5.3624674785637559E-2</v>
      </c>
      <c r="M148" s="254">
        <v>4.9976016806767089E-2</v>
      </c>
      <c r="N148" s="253">
        <v>-1.26144251415752E-2</v>
      </c>
      <c r="O148" s="356">
        <v>0</v>
      </c>
      <c r="P148" s="254">
        <v>0</v>
      </c>
      <c r="Q148" s="253">
        <v>0</v>
      </c>
      <c r="R148" s="253">
        <v>0</v>
      </c>
      <c r="S148" s="253">
        <v>0</v>
      </c>
      <c r="T148" s="313">
        <v>0</v>
      </c>
      <c r="U148" s="313">
        <v>0</v>
      </c>
      <c r="V148" s="313">
        <v>0</v>
      </c>
      <c r="W148" s="313">
        <v>0</v>
      </c>
      <c r="X148" s="313">
        <v>0</v>
      </c>
      <c r="Y148" s="313">
        <v>0</v>
      </c>
      <c r="Z148" s="313">
        <v>0</v>
      </c>
      <c r="AA148" s="359">
        <v>0</v>
      </c>
      <c r="AB148" s="445"/>
      <c r="AC148" s="445"/>
      <c r="AD148" s="445"/>
      <c r="AE148" s="334"/>
    </row>
    <row r="149" spans="1:31" s="73" customFormat="1">
      <c r="A149" s="342" t="s">
        <v>652</v>
      </c>
      <c r="B149" s="340" t="s">
        <v>86</v>
      </c>
      <c r="C149" s="337">
        <v>34372.1</v>
      </c>
      <c r="D149" s="341">
        <v>6188.5666666666666</v>
      </c>
      <c r="E149" s="341">
        <v>57744.666666666664</v>
      </c>
      <c r="F149" s="341"/>
      <c r="G149" s="341">
        <v>6917.4666666666662</v>
      </c>
      <c r="H149" s="341"/>
      <c r="I149" s="337">
        <v>105222.79999999999</v>
      </c>
      <c r="J149" s="337"/>
      <c r="K149" s="341">
        <v>37019.933333333334</v>
      </c>
      <c r="L149" s="341">
        <v>29790.466666666667</v>
      </c>
      <c r="M149" s="341"/>
      <c r="N149" s="337">
        <v>66810.399999999994</v>
      </c>
      <c r="O149" s="337"/>
      <c r="P149" s="341"/>
      <c r="Q149" s="337">
        <v>0</v>
      </c>
      <c r="R149" s="337">
        <v>0</v>
      </c>
      <c r="S149" s="337">
        <v>0</v>
      </c>
      <c r="T149" s="349"/>
      <c r="U149" s="349"/>
      <c r="V149" s="349"/>
      <c r="W149" s="349"/>
      <c r="X149" s="349"/>
      <c r="Y149" s="349"/>
      <c r="Z149" s="349"/>
      <c r="AA149" s="357"/>
      <c r="AB149" s="444"/>
      <c r="AC149" s="444"/>
      <c r="AD149" s="444"/>
      <c r="AE149" s="334"/>
    </row>
    <row r="150" spans="1:31" s="73" customFormat="1">
      <c r="A150" s="241"/>
      <c r="B150" s="242" t="s">
        <v>84</v>
      </c>
      <c r="C150" s="243">
        <v>34465.566666666666</v>
      </c>
      <c r="D150" s="244">
        <v>6034.166666666667</v>
      </c>
      <c r="E150" s="244">
        <v>57887.23333333333</v>
      </c>
      <c r="F150" s="244"/>
      <c r="G150" s="244">
        <v>6755.8</v>
      </c>
      <c r="H150" s="244"/>
      <c r="I150" s="243">
        <v>105142.76666666666</v>
      </c>
      <c r="J150" s="243"/>
      <c r="K150" s="244">
        <v>34985.633333333331</v>
      </c>
      <c r="L150" s="244">
        <v>28006.433333333327</v>
      </c>
      <c r="M150" s="244"/>
      <c r="N150" s="243">
        <v>62992.066666666658</v>
      </c>
      <c r="O150" s="243"/>
      <c r="P150" s="244"/>
      <c r="Q150" s="243">
        <v>0</v>
      </c>
      <c r="R150" s="243">
        <v>0</v>
      </c>
      <c r="S150" s="243">
        <v>0</v>
      </c>
      <c r="T150" s="312"/>
      <c r="U150" s="312"/>
      <c r="V150" s="312"/>
      <c r="W150" s="312"/>
      <c r="X150" s="312"/>
      <c r="Y150" s="312"/>
      <c r="Z150" s="312"/>
      <c r="AA150" s="358"/>
      <c r="AB150" s="444"/>
      <c r="AC150" s="444"/>
      <c r="AD150" s="444"/>
      <c r="AE150" s="334"/>
    </row>
    <row r="151" spans="1:31" s="73" customFormat="1">
      <c r="A151" s="241"/>
      <c r="B151" s="245" t="s">
        <v>98</v>
      </c>
      <c r="C151" s="253">
        <v>2.7192597096676418E-3</v>
      </c>
      <c r="D151" s="254">
        <v>-2.4949234340746588E-2</v>
      </c>
      <c r="E151" s="254">
        <v>2.4689148781416874E-3</v>
      </c>
      <c r="F151" s="254">
        <v>0</v>
      </c>
      <c r="G151" s="254">
        <v>-2.3370790848287342E-2</v>
      </c>
      <c r="H151" s="254">
        <v>0</v>
      </c>
      <c r="I151" s="253">
        <v>-7.6060828388235715E-4</v>
      </c>
      <c r="J151" s="253">
        <v>0</v>
      </c>
      <c r="K151" s="734">
        <v>-5.495147659189021E-2</v>
      </c>
      <c r="L151" s="734">
        <v>-5.9886048556921125E-2</v>
      </c>
      <c r="M151" s="254">
        <v>0</v>
      </c>
      <c r="N151" s="253">
        <v>-5.7151780760680219E-2</v>
      </c>
      <c r="O151" s="356">
        <v>0</v>
      </c>
      <c r="P151" s="254">
        <v>0</v>
      </c>
      <c r="Q151" s="253">
        <v>0</v>
      </c>
      <c r="R151" s="253">
        <v>0</v>
      </c>
      <c r="S151" s="253">
        <v>0</v>
      </c>
      <c r="T151" s="313">
        <v>0</v>
      </c>
      <c r="U151" s="313">
        <v>0</v>
      </c>
      <c r="V151" s="313">
        <v>0</v>
      </c>
      <c r="W151" s="313">
        <v>0</v>
      </c>
      <c r="X151" s="313">
        <v>0</v>
      </c>
      <c r="Y151" s="313">
        <v>0</v>
      </c>
      <c r="Z151" s="313">
        <v>0</v>
      </c>
      <c r="AA151" s="359">
        <v>0</v>
      </c>
      <c r="AB151" s="445"/>
      <c r="AC151" s="445"/>
      <c r="AD151" s="445"/>
      <c r="AE151" s="334"/>
    </row>
    <row r="152" spans="1:31" s="73" customFormat="1">
      <c r="A152" s="241"/>
      <c r="B152" s="242" t="s">
        <v>82</v>
      </c>
      <c r="C152" s="243">
        <v>0</v>
      </c>
      <c r="D152" s="244">
        <v>0</v>
      </c>
      <c r="E152" s="244">
        <v>0</v>
      </c>
      <c r="F152" s="244"/>
      <c r="G152" s="244">
        <v>0</v>
      </c>
      <c r="H152" s="244"/>
      <c r="I152" s="243">
        <v>0</v>
      </c>
      <c r="J152" s="243"/>
      <c r="K152" s="244">
        <v>0</v>
      </c>
      <c r="L152" s="244">
        <v>0</v>
      </c>
      <c r="M152" s="244"/>
      <c r="N152" s="243">
        <v>0</v>
      </c>
      <c r="O152" s="314"/>
      <c r="P152" s="244"/>
      <c r="Q152" s="243">
        <v>1072.3011111111111</v>
      </c>
      <c r="R152" s="243">
        <v>10626.471111111108</v>
      </c>
      <c r="S152" s="243">
        <v>11698.77222222222</v>
      </c>
      <c r="T152" s="312"/>
      <c r="U152" s="312"/>
      <c r="V152" s="312"/>
      <c r="W152" s="312"/>
      <c r="X152" s="312"/>
      <c r="Y152" s="312"/>
      <c r="Z152" s="312"/>
      <c r="AA152" s="360"/>
      <c r="AB152" s="444"/>
      <c r="AC152" s="444"/>
      <c r="AD152" s="444"/>
      <c r="AE152" s="334"/>
    </row>
    <row r="153" spans="1:31" s="73" customFormat="1">
      <c r="A153" s="241"/>
      <c r="B153" s="242" t="s">
        <v>80</v>
      </c>
      <c r="C153" s="243">
        <v>0</v>
      </c>
      <c r="D153" s="244">
        <v>0</v>
      </c>
      <c r="E153" s="244">
        <v>0</v>
      </c>
      <c r="F153" s="244"/>
      <c r="G153" s="244">
        <v>0</v>
      </c>
      <c r="H153" s="244"/>
      <c r="I153" s="243">
        <v>0</v>
      </c>
      <c r="J153" s="243"/>
      <c r="K153" s="244">
        <v>0</v>
      </c>
      <c r="L153" s="244">
        <v>0</v>
      </c>
      <c r="M153" s="244"/>
      <c r="N153" s="243">
        <v>0</v>
      </c>
      <c r="O153" s="314"/>
      <c r="P153" s="244"/>
      <c r="Q153" s="243">
        <v>1041.53</v>
      </c>
      <c r="R153" s="243">
        <v>10292.814444444444</v>
      </c>
      <c r="S153" s="243">
        <v>11334.344444444445</v>
      </c>
      <c r="T153" s="312"/>
      <c r="U153" s="312"/>
      <c r="V153" s="312"/>
      <c r="W153" s="312"/>
      <c r="X153" s="312"/>
      <c r="Y153" s="312"/>
      <c r="Z153" s="312"/>
      <c r="AA153" s="360"/>
      <c r="AB153" s="444"/>
      <c r="AC153" s="444"/>
      <c r="AD153" s="444"/>
      <c r="AE153" s="334"/>
    </row>
    <row r="154" spans="1:31" s="73" customFormat="1">
      <c r="A154" s="241"/>
      <c r="B154" s="245" t="s">
        <v>100</v>
      </c>
      <c r="C154" s="253">
        <v>0</v>
      </c>
      <c r="D154" s="254">
        <v>0</v>
      </c>
      <c r="E154" s="254">
        <v>0</v>
      </c>
      <c r="F154" s="254">
        <v>0</v>
      </c>
      <c r="G154" s="254">
        <v>0</v>
      </c>
      <c r="H154" s="254">
        <v>0</v>
      </c>
      <c r="I154" s="253">
        <v>0</v>
      </c>
      <c r="J154" s="253">
        <v>0</v>
      </c>
      <c r="K154" s="254">
        <v>0</v>
      </c>
      <c r="L154" s="254">
        <v>0</v>
      </c>
      <c r="M154" s="254">
        <v>0</v>
      </c>
      <c r="N154" s="253">
        <v>0</v>
      </c>
      <c r="O154" s="356">
        <v>0</v>
      </c>
      <c r="P154" s="254">
        <v>0</v>
      </c>
      <c r="Q154" s="253">
        <v>-2.8696334259344702E-2</v>
      </c>
      <c r="R154" s="253">
        <v>-3.139863301541284E-2</v>
      </c>
      <c r="S154" s="253">
        <v>-3.1150942240377493E-2</v>
      </c>
      <c r="T154" s="313">
        <v>0</v>
      </c>
      <c r="U154" s="313">
        <v>0</v>
      </c>
      <c r="V154" s="313">
        <v>0</v>
      </c>
      <c r="W154" s="313">
        <v>0</v>
      </c>
      <c r="X154" s="313">
        <v>0</v>
      </c>
      <c r="Y154" s="313">
        <v>0</v>
      </c>
      <c r="Z154" s="313">
        <v>0</v>
      </c>
      <c r="AA154" s="359">
        <v>0</v>
      </c>
      <c r="AB154" s="445"/>
      <c r="AC154" s="445"/>
      <c r="AD154" s="445"/>
      <c r="AE154" s="334"/>
    </row>
    <row r="155" spans="1:31" s="73" customFormat="1">
      <c r="A155" s="241"/>
      <c r="B155" s="242" t="s">
        <v>88</v>
      </c>
      <c r="C155" s="243">
        <v>8505.7083333333339</v>
      </c>
      <c r="D155" s="244">
        <v>1498.9583333333333</v>
      </c>
      <c r="E155" s="244">
        <v>6474.4166666666661</v>
      </c>
      <c r="F155" s="244"/>
      <c r="G155" s="244">
        <v>308.20833333333331</v>
      </c>
      <c r="H155" s="244"/>
      <c r="I155" s="243">
        <v>16787.291666666668</v>
      </c>
      <c r="J155" s="243"/>
      <c r="K155" s="244">
        <v>0</v>
      </c>
      <c r="L155" s="244">
        <v>0</v>
      </c>
      <c r="M155" s="244"/>
      <c r="N155" s="243">
        <v>0</v>
      </c>
      <c r="O155" s="314"/>
      <c r="P155" s="244"/>
      <c r="Q155" s="243">
        <v>0</v>
      </c>
      <c r="R155" s="243">
        <v>0</v>
      </c>
      <c r="S155" s="243">
        <v>0</v>
      </c>
      <c r="T155" s="312"/>
      <c r="U155" s="312"/>
      <c r="V155" s="312"/>
      <c r="W155" s="312"/>
      <c r="X155" s="312"/>
      <c r="Y155" s="312"/>
      <c r="Z155" s="312"/>
      <c r="AA155" s="360"/>
      <c r="AB155" s="444"/>
      <c r="AC155" s="444"/>
      <c r="AD155" s="444"/>
      <c r="AE155" s="334"/>
    </row>
    <row r="156" spans="1:31" s="73" customFormat="1">
      <c r="A156" s="241"/>
      <c r="B156" s="242" t="s">
        <v>90</v>
      </c>
      <c r="C156" s="243">
        <v>8463.375</v>
      </c>
      <c r="D156" s="244">
        <v>1462.0833333333333</v>
      </c>
      <c r="E156" s="244">
        <v>6419.1250000000009</v>
      </c>
      <c r="F156" s="244"/>
      <c r="G156" s="244">
        <v>283.04166666666669</v>
      </c>
      <c r="H156" s="244"/>
      <c r="I156" s="243">
        <v>16627.625000000004</v>
      </c>
      <c r="J156" s="243"/>
      <c r="K156" s="244">
        <v>0</v>
      </c>
      <c r="L156" s="244">
        <v>0</v>
      </c>
      <c r="M156" s="244"/>
      <c r="N156" s="243">
        <v>0</v>
      </c>
      <c r="O156" s="314"/>
      <c r="P156" s="244"/>
      <c r="Q156" s="243">
        <v>0</v>
      </c>
      <c r="R156" s="243">
        <v>0</v>
      </c>
      <c r="S156" s="243">
        <v>0</v>
      </c>
      <c r="T156" s="312"/>
      <c r="U156" s="312"/>
      <c r="V156" s="312"/>
      <c r="W156" s="312"/>
      <c r="X156" s="312"/>
      <c r="Y156" s="312"/>
      <c r="Z156" s="312"/>
      <c r="AA156" s="360"/>
      <c r="AB156" s="444"/>
      <c r="AC156" s="444"/>
      <c r="AD156" s="444"/>
      <c r="AE156" s="334"/>
    </row>
    <row r="157" spans="1:31" s="73" customFormat="1">
      <c r="A157" s="241"/>
      <c r="B157" s="245" t="s">
        <v>92</v>
      </c>
      <c r="C157" s="253">
        <v>-4.9770497264092963E-3</v>
      </c>
      <c r="D157" s="254">
        <v>-2.4600416956219597E-2</v>
      </c>
      <c r="E157" s="254">
        <v>-8.5400229106867009E-3</v>
      </c>
      <c r="F157" s="254">
        <v>0</v>
      </c>
      <c r="G157" s="254">
        <v>-8.1654724888468186E-2</v>
      </c>
      <c r="H157" s="254">
        <v>0</v>
      </c>
      <c r="I157" s="253">
        <v>-9.5111629580908897E-3</v>
      </c>
      <c r="J157" s="253">
        <v>0</v>
      </c>
      <c r="K157" s="254">
        <v>0</v>
      </c>
      <c r="L157" s="254">
        <v>0</v>
      </c>
      <c r="M157" s="254">
        <v>0</v>
      </c>
      <c r="N157" s="253">
        <v>0</v>
      </c>
      <c r="O157" s="356">
        <v>0</v>
      </c>
      <c r="P157" s="254">
        <v>0</v>
      </c>
      <c r="Q157" s="253">
        <v>0</v>
      </c>
      <c r="R157" s="253">
        <v>0</v>
      </c>
      <c r="S157" s="253">
        <v>0</v>
      </c>
      <c r="T157" s="313">
        <v>0</v>
      </c>
      <c r="U157" s="313">
        <v>0</v>
      </c>
      <c r="V157" s="313">
        <v>0</v>
      </c>
      <c r="W157" s="313">
        <v>0</v>
      </c>
      <c r="X157" s="313">
        <v>0</v>
      </c>
      <c r="Y157" s="313">
        <v>0</v>
      </c>
      <c r="Z157" s="313">
        <v>0</v>
      </c>
      <c r="AA157" s="359">
        <v>0</v>
      </c>
      <c r="AB157" s="445"/>
      <c r="AC157" s="445"/>
      <c r="AD157" s="445"/>
      <c r="AE157" s="334"/>
    </row>
    <row r="158" spans="1:31" s="73" customFormat="1">
      <c r="A158" s="241"/>
      <c r="B158" s="242" t="s">
        <v>8</v>
      </c>
      <c r="C158" s="243">
        <v>42877.808333333334</v>
      </c>
      <c r="D158" s="244">
        <v>7687.5249999999996</v>
      </c>
      <c r="E158" s="244">
        <v>64219.083333333336</v>
      </c>
      <c r="F158" s="244"/>
      <c r="G158" s="244">
        <v>7225.6749999999993</v>
      </c>
      <c r="H158" s="244"/>
      <c r="I158" s="243">
        <v>122010.09166666667</v>
      </c>
      <c r="J158" s="243"/>
      <c r="K158" s="244">
        <v>37019.933333333334</v>
      </c>
      <c r="L158" s="244">
        <v>29790.466666666667</v>
      </c>
      <c r="M158" s="244"/>
      <c r="N158" s="243">
        <v>66810.399999999994</v>
      </c>
      <c r="O158" s="314"/>
      <c r="P158" s="244"/>
      <c r="Q158" s="243">
        <v>1072.3011111111111</v>
      </c>
      <c r="R158" s="243">
        <v>10626.471111111108</v>
      </c>
      <c r="S158" s="243">
        <v>11698.77222222222</v>
      </c>
      <c r="T158" s="312"/>
      <c r="U158" s="312"/>
      <c r="V158" s="312"/>
      <c r="W158" s="312"/>
      <c r="X158" s="312"/>
      <c r="Y158" s="312"/>
      <c r="Z158" s="312"/>
      <c r="AA158" s="360"/>
      <c r="AB158" s="444"/>
      <c r="AC158" s="444"/>
      <c r="AD158" s="444"/>
      <c r="AE158" s="334"/>
    </row>
    <row r="159" spans="1:31" s="73" customFormat="1">
      <c r="A159" s="241"/>
      <c r="B159" s="242" t="s">
        <v>94</v>
      </c>
      <c r="C159" s="243">
        <v>42928.941666666666</v>
      </c>
      <c r="D159" s="244">
        <v>7496.25</v>
      </c>
      <c r="E159" s="244">
        <v>64306.358333333323</v>
      </c>
      <c r="F159" s="244"/>
      <c r="G159" s="244">
        <v>7038.8416666666672</v>
      </c>
      <c r="H159" s="244"/>
      <c r="I159" s="243">
        <v>121770.39166666666</v>
      </c>
      <c r="J159" s="243"/>
      <c r="K159" s="244">
        <v>34985.633333333331</v>
      </c>
      <c r="L159" s="244">
        <v>28006.433333333327</v>
      </c>
      <c r="M159" s="244"/>
      <c r="N159" s="243">
        <v>62992.066666666658</v>
      </c>
      <c r="O159" s="314"/>
      <c r="P159" s="244"/>
      <c r="Q159" s="243">
        <v>1041.53</v>
      </c>
      <c r="R159" s="243">
        <v>10292.814444444444</v>
      </c>
      <c r="S159" s="243">
        <v>11334.344444444445</v>
      </c>
      <c r="T159" s="312"/>
      <c r="U159" s="312"/>
      <c r="V159" s="312"/>
      <c r="W159" s="312"/>
      <c r="X159" s="312"/>
      <c r="Y159" s="312"/>
      <c r="Z159" s="312"/>
      <c r="AA159" s="360"/>
      <c r="AB159" s="444"/>
      <c r="AC159" s="444"/>
      <c r="AD159" s="444"/>
      <c r="AE159" s="334"/>
    </row>
    <row r="160" spans="1:31" s="73" customFormat="1">
      <c r="A160" s="246"/>
      <c r="B160" s="311" t="s">
        <v>96</v>
      </c>
      <c r="C160" s="253">
        <v>1.1925360768400141E-3</v>
      </c>
      <c r="D160" s="254">
        <v>-2.4881219898471828E-2</v>
      </c>
      <c r="E160" s="254">
        <v>1.3590197098731591E-3</v>
      </c>
      <c r="F160" s="254">
        <v>0</v>
      </c>
      <c r="G160" s="254">
        <v>-2.5856869196764613E-2</v>
      </c>
      <c r="H160" s="254">
        <v>0</v>
      </c>
      <c r="I160" s="253">
        <v>-1.9645915901355189E-3</v>
      </c>
      <c r="J160" s="253">
        <v>0</v>
      </c>
      <c r="K160" s="254">
        <v>-5.495147659189021E-2</v>
      </c>
      <c r="L160" s="254">
        <v>-5.9886048556921125E-2</v>
      </c>
      <c r="M160" s="254">
        <v>0</v>
      </c>
      <c r="N160" s="253">
        <v>-5.7151780760680219E-2</v>
      </c>
      <c r="O160" s="356">
        <v>0</v>
      </c>
      <c r="P160" s="254">
        <v>0</v>
      </c>
      <c r="Q160" s="253">
        <v>-2.8696334259344702E-2</v>
      </c>
      <c r="R160" s="253">
        <v>-3.139863301541284E-2</v>
      </c>
      <c r="S160" s="253">
        <v>-3.1150942240377493E-2</v>
      </c>
      <c r="T160" s="313">
        <v>0</v>
      </c>
      <c r="U160" s="313">
        <v>0</v>
      </c>
      <c r="V160" s="313">
        <v>0</v>
      </c>
      <c r="W160" s="313">
        <v>0</v>
      </c>
      <c r="X160" s="313">
        <v>0</v>
      </c>
      <c r="Y160" s="313">
        <v>0</v>
      </c>
      <c r="Z160" s="313">
        <v>0</v>
      </c>
      <c r="AA160" s="359">
        <v>0</v>
      </c>
      <c r="AB160" s="445"/>
      <c r="AC160" s="445"/>
      <c r="AD160" s="445"/>
      <c r="AE160" s="334"/>
    </row>
    <row r="161" spans="1:37" s="73" customFormat="1">
      <c r="A161" s="342" t="s">
        <v>533</v>
      </c>
      <c r="B161" s="340" t="s">
        <v>86</v>
      </c>
      <c r="C161" s="337">
        <v>175886.23333333337</v>
      </c>
      <c r="D161" s="341">
        <v>44420.633333333331</v>
      </c>
      <c r="E161" s="341">
        <v>142673.56666666665</v>
      </c>
      <c r="F161" s="341">
        <v>4070.5333333333333</v>
      </c>
      <c r="G161" s="341">
        <v>11297.633333333335</v>
      </c>
      <c r="H161" s="341">
        <v>1805.5333333333333</v>
      </c>
      <c r="I161" s="337">
        <v>380154.13333333336</v>
      </c>
      <c r="J161" s="337">
        <v>25594.699999999997</v>
      </c>
      <c r="K161" s="341">
        <v>378903.30000000005</v>
      </c>
      <c r="L161" s="341">
        <v>82406.299999999988</v>
      </c>
      <c r="M161" s="341">
        <v>11892.766666666668</v>
      </c>
      <c r="N161" s="337">
        <v>498797.06666666671</v>
      </c>
      <c r="O161" s="337">
        <v>84649.8</v>
      </c>
      <c r="P161" s="341">
        <v>84649.8</v>
      </c>
      <c r="Q161" s="337"/>
      <c r="R161" s="337"/>
      <c r="S161" s="337"/>
      <c r="T161" s="349">
        <v>1051.4666666666667</v>
      </c>
      <c r="U161" s="349">
        <v>1051.4666666666667</v>
      </c>
      <c r="V161" s="349">
        <v>68868.066666666666</v>
      </c>
      <c r="W161" s="349">
        <v>68868.066666666666</v>
      </c>
      <c r="X161" s="349">
        <v>13715.599999999999</v>
      </c>
      <c r="Y161" s="349">
        <v>13715.599999999999</v>
      </c>
      <c r="Z161" s="349">
        <v>2066.1333333333332</v>
      </c>
      <c r="AA161" s="357">
        <v>2066.1333333333332</v>
      </c>
      <c r="AB161" s="444"/>
      <c r="AC161" s="444"/>
      <c r="AD161" s="444"/>
      <c r="AE161" s="334"/>
    </row>
    <row r="162" spans="1:37" s="73" customFormat="1">
      <c r="A162" s="241"/>
      <c r="B162" s="242" t="s">
        <v>84</v>
      </c>
      <c r="C162" s="243">
        <v>178739.6</v>
      </c>
      <c r="D162" s="244">
        <v>44336.4</v>
      </c>
      <c r="E162" s="244">
        <v>144902.46666666667</v>
      </c>
      <c r="F162" s="244">
        <v>4268.6333333333332</v>
      </c>
      <c r="G162" s="244">
        <v>11772.633333333333</v>
      </c>
      <c r="H162" s="244">
        <v>1800.5</v>
      </c>
      <c r="I162" s="243">
        <v>385820.2333333334</v>
      </c>
      <c r="J162" s="243">
        <v>24786.933333333334</v>
      </c>
      <c r="K162" s="244">
        <v>365243.16666666663</v>
      </c>
      <c r="L162" s="244">
        <v>77561.766666666677</v>
      </c>
      <c r="M162" s="244">
        <v>11588.999999999998</v>
      </c>
      <c r="N162" s="243">
        <v>479180.86666666664</v>
      </c>
      <c r="O162" s="243">
        <v>6234.6333333333332</v>
      </c>
      <c r="P162" s="244">
        <v>6234.6333333333332</v>
      </c>
      <c r="Q162" s="243"/>
      <c r="R162" s="243"/>
      <c r="S162" s="243"/>
      <c r="T162" s="312">
        <v>1112.4333333333334</v>
      </c>
      <c r="U162" s="312">
        <v>1112.4333333333334</v>
      </c>
      <c r="V162" s="312">
        <v>128087.66666666667</v>
      </c>
      <c r="W162" s="312">
        <v>128087.66666666667</v>
      </c>
      <c r="X162" s="312">
        <v>9484.0666666666657</v>
      </c>
      <c r="Y162" s="312">
        <v>9484.0666666666657</v>
      </c>
      <c r="Z162" s="312">
        <v>2425.1</v>
      </c>
      <c r="AA162" s="358">
        <v>2425.1</v>
      </c>
      <c r="AB162" s="444"/>
      <c r="AC162" s="444"/>
      <c r="AD162" s="444"/>
      <c r="AE162" s="334"/>
    </row>
    <row r="163" spans="1:37" s="73" customFormat="1">
      <c r="A163" s="241"/>
      <c r="B163" s="245" t="s">
        <v>98</v>
      </c>
      <c r="C163" s="253">
        <v>1.6222797046651399E-2</v>
      </c>
      <c r="D163" s="254">
        <v>-1.8962659244689578E-3</v>
      </c>
      <c r="E163" s="254">
        <v>1.5622375272971776E-2</v>
      </c>
      <c r="F163" s="254">
        <v>4.8666841363949012E-2</v>
      </c>
      <c r="G163" s="254">
        <v>4.2044203948319391E-2</v>
      </c>
      <c r="H163" s="254">
        <v>-2.7877266181737452E-3</v>
      </c>
      <c r="I163" s="253">
        <v>1.4904743900368618E-2</v>
      </c>
      <c r="J163" s="253">
        <v>-3.1559919306210382E-2</v>
      </c>
      <c r="K163" s="254">
        <v>-3.6051766594097798E-2</v>
      </c>
      <c r="L163" s="734">
        <v>-5.8788385515832063E-2</v>
      </c>
      <c r="M163" s="254">
        <v>-2.5542136256492324E-2</v>
      </c>
      <c r="N163" s="253">
        <v>-3.9327015555825497E-2</v>
      </c>
      <c r="O163" s="817">
        <v>-0.92634792600415672</v>
      </c>
      <c r="P163" s="734">
        <v>-0.92634792600415672</v>
      </c>
      <c r="Q163" s="253">
        <v>0</v>
      </c>
      <c r="R163" s="253">
        <v>0</v>
      </c>
      <c r="S163" s="253">
        <v>0</v>
      </c>
      <c r="T163" s="313">
        <v>5.7982500634035025E-2</v>
      </c>
      <c r="U163" s="313">
        <v>5.7982500634035025E-2</v>
      </c>
      <c r="V163" s="313">
        <v>0.8598992663266285</v>
      </c>
      <c r="W163" s="313">
        <v>0.8598992663266285</v>
      </c>
      <c r="X163" s="313">
        <v>-0.30851973908056035</v>
      </c>
      <c r="Y163" s="313">
        <v>-0.30851973908056035</v>
      </c>
      <c r="Z163" s="313">
        <v>0.17373838409912237</v>
      </c>
      <c r="AA163" s="359">
        <v>0.17373838409912237</v>
      </c>
      <c r="AB163" s="445"/>
      <c r="AC163" s="445"/>
      <c r="AD163" s="445"/>
      <c r="AE163" s="334"/>
    </row>
    <row r="164" spans="1:37" s="73" customFormat="1">
      <c r="A164" s="241"/>
      <c r="B164" s="242" t="s">
        <v>82</v>
      </c>
      <c r="C164" s="243">
        <v>0</v>
      </c>
      <c r="D164" s="244">
        <v>0</v>
      </c>
      <c r="E164" s="244">
        <v>0</v>
      </c>
      <c r="F164" s="244">
        <v>0</v>
      </c>
      <c r="G164" s="244">
        <v>0</v>
      </c>
      <c r="H164" s="244">
        <v>0</v>
      </c>
      <c r="I164" s="243">
        <v>0</v>
      </c>
      <c r="J164" s="243">
        <v>470.8944444444445</v>
      </c>
      <c r="K164" s="244">
        <v>13117.441111111111</v>
      </c>
      <c r="L164" s="244">
        <v>4934.9777777777781</v>
      </c>
      <c r="M164" s="244">
        <v>535.29555555555555</v>
      </c>
      <c r="N164" s="243">
        <v>19058.608888888888</v>
      </c>
      <c r="O164" s="314">
        <v>4426.0055555555555</v>
      </c>
      <c r="P164" s="244">
        <v>4426.0055555555555</v>
      </c>
      <c r="Q164" s="243"/>
      <c r="R164" s="243"/>
      <c r="S164" s="243"/>
      <c r="T164" s="312">
        <v>0</v>
      </c>
      <c r="U164" s="312">
        <v>0</v>
      </c>
      <c r="V164" s="312">
        <v>3439.1888888888889</v>
      </c>
      <c r="W164" s="312">
        <v>3439.1888888888889</v>
      </c>
      <c r="X164" s="312">
        <v>655.28222222222223</v>
      </c>
      <c r="Y164" s="312">
        <v>655.28222222222223</v>
      </c>
      <c r="Z164" s="312">
        <v>331.53444444444443</v>
      </c>
      <c r="AA164" s="360">
        <v>331.53444444444443</v>
      </c>
      <c r="AB164" s="444"/>
      <c r="AC164" s="444"/>
      <c r="AD164" s="444"/>
      <c r="AE164" s="334"/>
    </row>
    <row r="165" spans="1:37" s="73" customFormat="1">
      <c r="A165" s="241"/>
      <c r="B165" s="242" t="s">
        <v>80</v>
      </c>
      <c r="C165" s="243">
        <v>0</v>
      </c>
      <c r="D165" s="244">
        <v>0</v>
      </c>
      <c r="E165" s="244">
        <v>0</v>
      </c>
      <c r="F165" s="244">
        <v>0</v>
      </c>
      <c r="G165" s="244">
        <v>0</v>
      </c>
      <c r="H165" s="244">
        <v>0</v>
      </c>
      <c r="I165" s="243">
        <v>0</v>
      </c>
      <c r="J165" s="243">
        <v>700.74333333333334</v>
      </c>
      <c r="K165" s="244">
        <v>13315.422222222216</v>
      </c>
      <c r="L165" s="244">
        <v>4539.9011111111122</v>
      </c>
      <c r="M165" s="244">
        <v>469.93111111111108</v>
      </c>
      <c r="N165" s="243">
        <v>19025.997777777775</v>
      </c>
      <c r="O165" s="314">
        <v>299.22333333333336</v>
      </c>
      <c r="P165" s="244">
        <v>299.22333333333336</v>
      </c>
      <c r="Q165" s="243"/>
      <c r="R165" s="243"/>
      <c r="S165" s="243"/>
      <c r="T165" s="312">
        <v>0</v>
      </c>
      <c r="U165" s="312">
        <v>0</v>
      </c>
      <c r="V165" s="312">
        <v>5018.3599999999997</v>
      </c>
      <c r="W165" s="312">
        <v>5018.3599999999997</v>
      </c>
      <c r="X165" s="312">
        <v>287.66222222222223</v>
      </c>
      <c r="Y165" s="312">
        <v>287.66222222222223</v>
      </c>
      <c r="Z165" s="312">
        <v>69.914444444444442</v>
      </c>
      <c r="AA165" s="360">
        <v>69.914444444444442</v>
      </c>
      <c r="AB165" s="444"/>
      <c r="AC165" s="444"/>
      <c r="AD165" s="444"/>
      <c r="AE165" s="334"/>
    </row>
    <row r="166" spans="1:37" s="73" customFormat="1">
      <c r="A166" s="241"/>
      <c r="B166" s="245" t="s">
        <v>100</v>
      </c>
      <c r="C166" s="253">
        <v>0</v>
      </c>
      <c r="D166" s="254">
        <v>0</v>
      </c>
      <c r="E166" s="254">
        <v>0</v>
      </c>
      <c r="F166" s="254">
        <v>0</v>
      </c>
      <c r="G166" s="254">
        <v>0</v>
      </c>
      <c r="H166" s="254">
        <v>0</v>
      </c>
      <c r="I166" s="253">
        <v>0</v>
      </c>
      <c r="J166" s="733">
        <v>0.48811127759228873</v>
      </c>
      <c r="K166" s="254">
        <v>1.509296740378771E-2</v>
      </c>
      <c r="L166" s="254">
        <v>-8.0056422633896646E-2</v>
      </c>
      <c r="M166" s="254">
        <v>-0.12210907369967998</v>
      </c>
      <c r="N166" s="253">
        <v>-1.7110960879270515E-3</v>
      </c>
      <c r="O166" s="817">
        <v>-0.93239427073069392</v>
      </c>
      <c r="P166" s="734">
        <v>-0.93239427073069392</v>
      </c>
      <c r="Q166" s="253">
        <v>0</v>
      </c>
      <c r="R166" s="253">
        <v>0</v>
      </c>
      <c r="S166" s="253">
        <v>0</v>
      </c>
      <c r="T166" s="313">
        <v>0</v>
      </c>
      <c r="U166" s="313">
        <v>0</v>
      </c>
      <c r="V166" s="313">
        <v>0.45916963625144164</v>
      </c>
      <c r="W166" s="313">
        <v>0.45916963625144164</v>
      </c>
      <c r="X166" s="313">
        <v>-0.56101018390718838</v>
      </c>
      <c r="Y166" s="313">
        <v>-0.56101018390718838</v>
      </c>
      <c r="Z166" s="313">
        <v>-0.7891186100991685</v>
      </c>
      <c r="AA166" s="359">
        <v>-0.7891186100991685</v>
      </c>
      <c r="AB166" s="445"/>
      <c r="AC166" s="445"/>
      <c r="AD166" s="445"/>
      <c r="AE166" s="334"/>
    </row>
    <row r="167" spans="1:37" s="73" customFormat="1">
      <c r="A167" s="241"/>
      <c r="B167" s="242" t="s">
        <v>88</v>
      </c>
      <c r="C167" s="243">
        <v>46534.666666666664</v>
      </c>
      <c r="D167" s="244">
        <v>9660.0416666666679</v>
      </c>
      <c r="E167" s="244">
        <v>27744.25</v>
      </c>
      <c r="F167" s="244">
        <v>1930.2083333333333</v>
      </c>
      <c r="G167" s="244">
        <v>846.91666666666663</v>
      </c>
      <c r="H167" s="244">
        <v>50.458333333333336</v>
      </c>
      <c r="I167" s="243">
        <v>86766.541666666657</v>
      </c>
      <c r="J167" s="243">
        <v>0</v>
      </c>
      <c r="K167" s="244">
        <v>0</v>
      </c>
      <c r="L167" s="244">
        <v>0</v>
      </c>
      <c r="M167" s="244">
        <v>0</v>
      </c>
      <c r="N167" s="243">
        <v>0</v>
      </c>
      <c r="O167" s="314">
        <v>0</v>
      </c>
      <c r="P167" s="244">
        <v>0</v>
      </c>
      <c r="Q167" s="243"/>
      <c r="R167" s="243"/>
      <c r="S167" s="243"/>
      <c r="T167" s="312">
        <v>160.5</v>
      </c>
      <c r="U167" s="312">
        <v>160.5</v>
      </c>
      <c r="V167" s="312">
        <v>0</v>
      </c>
      <c r="W167" s="312">
        <v>0</v>
      </c>
      <c r="X167" s="312">
        <v>0</v>
      </c>
      <c r="Y167" s="312">
        <v>0</v>
      </c>
      <c r="Z167" s="312">
        <v>0</v>
      </c>
      <c r="AA167" s="360">
        <v>0</v>
      </c>
      <c r="AB167" s="444"/>
      <c r="AC167" s="444"/>
      <c r="AD167" s="444"/>
      <c r="AE167" s="334"/>
    </row>
    <row r="168" spans="1:37" s="73" customFormat="1">
      <c r="A168" s="241"/>
      <c r="B168" s="242" t="s">
        <v>90</v>
      </c>
      <c r="C168" s="243">
        <v>46131.041666666664</v>
      </c>
      <c r="D168" s="244">
        <v>9504.1666666666679</v>
      </c>
      <c r="E168" s="244">
        <v>28472.75</v>
      </c>
      <c r="F168" s="244">
        <v>1871.7083333333333</v>
      </c>
      <c r="G168" s="244">
        <v>933.58333333333337</v>
      </c>
      <c r="H168" s="244">
        <v>62</v>
      </c>
      <c r="I168" s="243">
        <v>86975.249999999985</v>
      </c>
      <c r="J168" s="243">
        <v>0</v>
      </c>
      <c r="K168" s="244">
        <v>0</v>
      </c>
      <c r="L168" s="244">
        <v>0</v>
      </c>
      <c r="M168" s="244">
        <v>0</v>
      </c>
      <c r="N168" s="243">
        <v>0</v>
      </c>
      <c r="O168" s="314">
        <v>0</v>
      </c>
      <c r="P168" s="244">
        <v>0</v>
      </c>
      <c r="Q168" s="243"/>
      <c r="R168" s="243"/>
      <c r="S168" s="243"/>
      <c r="T168" s="312">
        <v>172.875</v>
      </c>
      <c r="U168" s="312">
        <v>172.875</v>
      </c>
      <c r="V168" s="312">
        <v>0</v>
      </c>
      <c r="W168" s="312">
        <v>0</v>
      </c>
      <c r="X168" s="312">
        <v>0</v>
      </c>
      <c r="Y168" s="312">
        <v>0</v>
      </c>
      <c r="Z168" s="312">
        <v>0</v>
      </c>
      <c r="AA168" s="360">
        <v>0</v>
      </c>
      <c r="AB168" s="444"/>
      <c r="AC168" s="444"/>
      <c r="AD168" s="444"/>
      <c r="AE168" s="334"/>
    </row>
    <row r="169" spans="1:37" s="73" customFormat="1">
      <c r="A169" s="241"/>
      <c r="B169" s="245" t="s">
        <v>92</v>
      </c>
      <c r="C169" s="253">
        <v>-8.6736411564138569E-3</v>
      </c>
      <c r="D169" s="254">
        <v>-1.6136058764411813E-2</v>
      </c>
      <c r="E169" s="254">
        <v>2.6257693035493843E-2</v>
      </c>
      <c r="F169" s="254">
        <v>-3.0307609282245008E-2</v>
      </c>
      <c r="G169" s="254">
        <v>0.10233198858604751</v>
      </c>
      <c r="H169" s="254">
        <v>0.22873658133773736</v>
      </c>
      <c r="I169" s="253">
        <v>2.4054010834627278E-3</v>
      </c>
      <c r="J169" s="253">
        <v>0</v>
      </c>
      <c r="K169" s="254">
        <v>0</v>
      </c>
      <c r="L169" s="254">
        <v>0</v>
      </c>
      <c r="M169" s="254">
        <v>0</v>
      </c>
      <c r="N169" s="253">
        <v>0</v>
      </c>
      <c r="O169" s="356">
        <v>0</v>
      </c>
      <c r="P169" s="254">
        <v>0</v>
      </c>
      <c r="Q169" s="253">
        <v>0</v>
      </c>
      <c r="R169" s="253">
        <v>0</v>
      </c>
      <c r="S169" s="253">
        <v>0</v>
      </c>
      <c r="T169" s="313">
        <v>7.7102803738317752E-2</v>
      </c>
      <c r="U169" s="313">
        <v>7.7102803738317752E-2</v>
      </c>
      <c r="V169" s="313">
        <v>0</v>
      </c>
      <c r="W169" s="313">
        <v>0</v>
      </c>
      <c r="X169" s="313">
        <v>0</v>
      </c>
      <c r="Y169" s="313">
        <v>0</v>
      </c>
      <c r="Z169" s="313">
        <v>0</v>
      </c>
      <c r="AA169" s="359">
        <v>0</v>
      </c>
      <c r="AB169" s="445"/>
      <c r="AC169" s="445"/>
      <c r="AD169" s="445"/>
      <c r="AE169" s="334"/>
      <c r="AF169" s="73">
        <v>7</v>
      </c>
      <c r="AG169" s="73" t="s">
        <v>197</v>
      </c>
      <c r="AH169" s="73" t="s">
        <v>5</v>
      </c>
      <c r="AI169" s="73" t="s">
        <v>6</v>
      </c>
      <c r="AJ169" s="73">
        <v>11</v>
      </c>
      <c r="AK169" s="73" t="s">
        <v>143</v>
      </c>
    </row>
    <row r="170" spans="1:37" s="73" customFormat="1">
      <c r="A170" s="241"/>
      <c r="B170" s="242" t="s">
        <v>8</v>
      </c>
      <c r="C170" s="243">
        <v>222420.89999999997</v>
      </c>
      <c r="D170" s="244">
        <v>54080.675000000003</v>
      </c>
      <c r="E170" s="244">
        <v>170417.81666666668</v>
      </c>
      <c r="F170" s="244">
        <v>6000.7416666666668</v>
      </c>
      <c r="G170" s="244">
        <v>12144.550000000001</v>
      </c>
      <c r="H170" s="244">
        <v>1855.9916666666666</v>
      </c>
      <c r="I170" s="243">
        <v>466920.67499999987</v>
      </c>
      <c r="J170" s="243">
        <v>26065.594444444443</v>
      </c>
      <c r="K170" s="244">
        <v>392020.74111111107</v>
      </c>
      <c r="L170" s="244">
        <v>87341.277777777766</v>
      </c>
      <c r="M170" s="244">
        <v>12428.062222222223</v>
      </c>
      <c r="N170" s="243">
        <v>517855.6755555555</v>
      </c>
      <c r="O170" s="314">
        <v>89075.805555555562</v>
      </c>
      <c r="P170" s="244">
        <v>89075.805555555562</v>
      </c>
      <c r="Q170" s="243"/>
      <c r="R170" s="243"/>
      <c r="S170" s="243"/>
      <c r="T170" s="312">
        <v>1211.9666666666667</v>
      </c>
      <c r="U170" s="312">
        <v>1211.9666666666667</v>
      </c>
      <c r="V170" s="312">
        <v>72307.255555555545</v>
      </c>
      <c r="W170" s="312">
        <v>72307.255555555545</v>
      </c>
      <c r="X170" s="312">
        <v>14370.882222222222</v>
      </c>
      <c r="Y170" s="312">
        <v>14370.882222222222</v>
      </c>
      <c r="Z170" s="312">
        <v>2397.6677777777777</v>
      </c>
      <c r="AA170" s="360">
        <v>2397.6677777777777</v>
      </c>
      <c r="AB170" s="444"/>
      <c r="AC170" s="444"/>
      <c r="AD170" s="444"/>
      <c r="AE170" s="334" t="s">
        <v>198</v>
      </c>
      <c r="AF170" s="73">
        <f>+GETPIVOTDATA("Grand Total FTE - Old",$A$2,"State","TX","Category","7","Category2","Two-Year")</f>
        <v>26065.594444444443</v>
      </c>
      <c r="AG170" s="73">
        <f>+GETPIVOTDATA("Grand Total FTE - Old",$A$2,"State","TX","Category","8","Category2","Two-Year")-GETPIVOTDATA("Grand Total FTE - Old",$A$2,"State","TX","Category","08b","Category2","08b")</f>
        <v>319713.48555555556</v>
      </c>
      <c r="AH170" s="73">
        <f>+GETPIVOTDATA("Grand Total FTE - Old",$A$2,"State","TX","Category","9","Category2","Two-Year")-GETPIVOTDATA("Grand Total FTE - Old",$A$2,"State","TX","Category","09b","Category2","09b")</f>
        <v>72970.395555555544</v>
      </c>
      <c r="AI170" s="73">
        <f>+GETPIVOTDATA("Grand Total FTE - Old",$A$2,"State","TX","Category","10","Category2","Two-Year")-GETPIVOTDATA("Grand Total FTE - Old",$A$2,"State","TX","Category","10b","Category2","10b")</f>
        <v>10030.394444444446</v>
      </c>
      <c r="AJ170" s="73">
        <f>+GETPIVOTDATA("Grand Total FTE - Old",$A$2,"State","TX","Category","11","Category2","11")</f>
        <v>89075.805555555562</v>
      </c>
      <c r="AK170" s="73">
        <f>SUM(AF170:AJ170)</f>
        <v>517855.67555555556</v>
      </c>
    </row>
    <row r="171" spans="1:37" s="73" customFormat="1">
      <c r="A171" s="241"/>
      <c r="B171" s="242" t="s">
        <v>94</v>
      </c>
      <c r="C171" s="243">
        <v>224870.64166666666</v>
      </c>
      <c r="D171" s="244">
        <v>53840.566666666666</v>
      </c>
      <c r="E171" s="244">
        <v>173375.21666666665</v>
      </c>
      <c r="F171" s="244">
        <v>6140.3416666666672</v>
      </c>
      <c r="G171" s="244">
        <v>12706.216666666667</v>
      </c>
      <c r="H171" s="244">
        <v>1862.5</v>
      </c>
      <c r="I171" s="243">
        <v>472795.48333333328</v>
      </c>
      <c r="J171" s="243">
        <v>25487.676666666666</v>
      </c>
      <c r="K171" s="244">
        <v>378558.58888888895</v>
      </c>
      <c r="L171" s="244">
        <v>82101.667777777766</v>
      </c>
      <c r="M171" s="244">
        <v>12058.931111111113</v>
      </c>
      <c r="N171" s="243">
        <v>498206.86444444448</v>
      </c>
      <c r="O171" s="314">
        <v>6533.8566666666666</v>
      </c>
      <c r="P171" s="244">
        <v>6533.8566666666666</v>
      </c>
      <c r="Q171" s="243"/>
      <c r="R171" s="243"/>
      <c r="S171" s="243"/>
      <c r="T171" s="312">
        <v>1285.3083333333334</v>
      </c>
      <c r="U171" s="312">
        <v>1285.3083333333334</v>
      </c>
      <c r="V171" s="312">
        <v>133106.02666666667</v>
      </c>
      <c r="W171" s="312">
        <v>133106.02666666667</v>
      </c>
      <c r="X171" s="312">
        <v>9771.7288888888888</v>
      </c>
      <c r="Y171" s="312">
        <v>9771.7288888888888</v>
      </c>
      <c r="Z171" s="312">
        <v>2495.0144444444445</v>
      </c>
      <c r="AA171" s="360">
        <v>2495.0144444444445</v>
      </c>
      <c r="AB171" s="444"/>
      <c r="AC171" s="444"/>
      <c r="AD171" s="444"/>
      <c r="AE171" s="334" t="s">
        <v>199</v>
      </c>
      <c r="AF171" s="73">
        <f>+GETPIVOTDATA("Grand Total FTE - New",$A$2,"State","TX","Category","7","Category2","Two-Year")</f>
        <v>25487.676666666666</v>
      </c>
      <c r="AG171" s="73">
        <f>+GETPIVOTDATA("Grand Total FTE - New",$A$2,"State","TX","Category","8","Category2","Two-Year")-GETPIVOTDATA("Grand Total FTE - New",$A$2,"State","TX","Category","08b","Category2","08b")</f>
        <v>245452.56222222227</v>
      </c>
      <c r="AH171" s="73">
        <f>+GETPIVOTDATA("Grand Total FTE - New",$A$2,"State","TX","Category","9","Category2","Two-Year")-GETPIVOTDATA("Grand Total FTE - New",$A$2,"State","TX","Category","09b","Category2","09b")</f>
        <v>72329.938888888879</v>
      </c>
      <c r="AI171" s="73">
        <f>+GETPIVOTDATA("Grand Total FTE - New",$A$2,"State","TX","Category","10","Category2","Two-Year")-GETPIVOTDATA("Grand Total FTE - New",$A$2,"State","TX","Category","10b","Category2","10b")</f>
        <v>9563.9166666666679</v>
      </c>
      <c r="AJ171" s="73">
        <f>+GETPIVOTDATA("Grand Total FTE - New",$A$2,"State","TX","Category","11","Category2","11")</f>
        <v>6533.8566666666666</v>
      </c>
      <c r="AK171" s="73">
        <f>SUM(AF171:AJ171)</f>
        <v>359367.95111111121</v>
      </c>
    </row>
    <row r="172" spans="1:37" s="73" customFormat="1">
      <c r="A172" s="246"/>
      <c r="B172" s="311" t="s">
        <v>96</v>
      </c>
      <c r="C172" s="253">
        <v>1.101399044184561E-2</v>
      </c>
      <c r="D172" s="254">
        <v>-4.4398176119905533E-3</v>
      </c>
      <c r="E172" s="254">
        <v>1.7353819323859612E-2</v>
      </c>
      <c r="F172" s="254">
        <v>2.3263791003612113E-2</v>
      </c>
      <c r="G172" s="254">
        <v>4.6248454382143922E-2</v>
      </c>
      <c r="H172" s="254">
        <v>3.5066608596483139E-3</v>
      </c>
      <c r="I172" s="253">
        <v>1.2582026558008452E-2</v>
      </c>
      <c r="J172" s="253">
        <v>-2.2171670744342176E-2</v>
      </c>
      <c r="K172" s="254">
        <v>-3.4340408071435499E-2</v>
      </c>
      <c r="L172" s="254">
        <v>-5.9990077238520935E-2</v>
      </c>
      <c r="M172" s="254">
        <v>-2.9701421228088023E-2</v>
      </c>
      <c r="N172" s="253">
        <v>-3.7942639307818403E-2</v>
      </c>
      <c r="O172" s="356">
        <v>-0.92664835725126771</v>
      </c>
      <c r="P172" s="254">
        <v>-0.92664835725126771</v>
      </c>
      <c r="Q172" s="253">
        <v>0</v>
      </c>
      <c r="R172" s="253">
        <v>0</v>
      </c>
      <c r="S172" s="253">
        <v>0</v>
      </c>
      <c r="T172" s="313">
        <v>6.0514590610302836E-2</v>
      </c>
      <c r="U172" s="313">
        <v>6.0514590610302836E-2</v>
      </c>
      <c r="V172" s="313">
        <v>0.84083914738539411</v>
      </c>
      <c r="W172" s="313">
        <v>0.84083914738539411</v>
      </c>
      <c r="X172" s="313">
        <v>-0.32003277615214842</v>
      </c>
      <c r="Y172" s="313">
        <v>-0.32003277615214842</v>
      </c>
      <c r="Z172" s="313">
        <v>4.060056508616481E-2</v>
      </c>
      <c r="AA172" s="359">
        <v>4.060056508616481E-2</v>
      </c>
      <c r="AB172" s="445"/>
      <c r="AC172" s="445"/>
      <c r="AD172" s="445"/>
      <c r="AE172" s="334"/>
    </row>
    <row r="173" spans="1:37" s="73" customFormat="1">
      <c r="A173" s="342" t="s">
        <v>918</v>
      </c>
      <c r="B173" s="340" t="s">
        <v>86</v>
      </c>
      <c r="C173" s="337">
        <v>76295.200000000012</v>
      </c>
      <c r="D173" s="341">
        <v>27516.916666666668</v>
      </c>
      <c r="E173" s="341">
        <v>23152.966666666667</v>
      </c>
      <c r="F173" s="341">
        <v>17628.966666666667</v>
      </c>
      <c r="G173" s="341">
        <v>8915.3333333333321</v>
      </c>
      <c r="H173" s="341">
        <v>1723.6666666666667</v>
      </c>
      <c r="I173" s="337">
        <v>155233.05000000002</v>
      </c>
      <c r="J173" s="337"/>
      <c r="K173" s="341">
        <v>73884.600000000006</v>
      </c>
      <c r="L173" s="341">
        <v>48716.466666666674</v>
      </c>
      <c r="M173" s="341">
        <v>7702.833333333333</v>
      </c>
      <c r="N173" s="337">
        <v>130303.90000000001</v>
      </c>
      <c r="O173" s="337">
        <v>128277.03333333334</v>
      </c>
      <c r="P173" s="341">
        <v>128277.03333333334</v>
      </c>
      <c r="Q173" s="337"/>
      <c r="R173" s="337"/>
      <c r="S173" s="337"/>
      <c r="T173" s="349"/>
      <c r="U173" s="349"/>
      <c r="V173" s="349">
        <v>73884.600000000006</v>
      </c>
      <c r="W173" s="349">
        <v>73884.600000000006</v>
      </c>
      <c r="X173" s="349">
        <v>46546.633333333331</v>
      </c>
      <c r="Y173" s="349">
        <v>46546.633333333331</v>
      </c>
      <c r="Z173" s="349">
        <v>10724.433333333334</v>
      </c>
      <c r="AA173" s="357">
        <v>10724.433333333334</v>
      </c>
      <c r="AB173" s="444"/>
      <c r="AC173" s="444"/>
      <c r="AD173" s="444"/>
      <c r="AE173" s="334"/>
    </row>
    <row r="174" spans="1:37" s="73" customFormat="1">
      <c r="A174" s="241"/>
      <c r="B174" s="242" t="s">
        <v>84</v>
      </c>
      <c r="C174" s="243">
        <v>77227.7</v>
      </c>
      <c r="D174" s="244">
        <v>28005.95</v>
      </c>
      <c r="E174" s="244">
        <v>23618.366666666669</v>
      </c>
      <c r="F174" s="244">
        <v>18108.966666666667</v>
      </c>
      <c r="G174" s="244">
        <v>9027.9333333333343</v>
      </c>
      <c r="H174" s="244">
        <v>1794.5666666666666</v>
      </c>
      <c r="I174" s="243">
        <v>157783.48333333337</v>
      </c>
      <c r="J174" s="243"/>
      <c r="K174" s="244">
        <v>74042.5</v>
      </c>
      <c r="L174" s="244">
        <v>47442</v>
      </c>
      <c r="M174" s="244">
        <v>7484.2</v>
      </c>
      <c r="N174" s="243">
        <v>128968.7</v>
      </c>
      <c r="O174" s="243">
        <v>0</v>
      </c>
      <c r="P174" s="244">
        <v>0</v>
      </c>
      <c r="Q174" s="243"/>
      <c r="R174" s="243"/>
      <c r="S174" s="243"/>
      <c r="T174" s="312"/>
      <c r="U174" s="312"/>
      <c r="V174" s="312">
        <v>0</v>
      </c>
      <c r="W174" s="312">
        <v>0</v>
      </c>
      <c r="X174" s="312">
        <v>0</v>
      </c>
      <c r="Y174" s="312">
        <v>0</v>
      </c>
      <c r="Z174" s="312">
        <v>0</v>
      </c>
      <c r="AA174" s="358">
        <v>0</v>
      </c>
      <c r="AB174" s="444"/>
      <c r="AC174" s="444"/>
      <c r="AD174" s="444"/>
      <c r="AE174" s="334"/>
    </row>
    <row r="175" spans="1:37" s="73" customFormat="1">
      <c r="A175" s="241"/>
      <c r="B175" s="245" t="s">
        <v>98</v>
      </c>
      <c r="C175" s="253">
        <v>1.2222262999506985E-2</v>
      </c>
      <c r="D175" s="254">
        <v>1.7772097770159551E-2</v>
      </c>
      <c r="E175" s="254">
        <v>2.0101095755907513E-2</v>
      </c>
      <c r="F175" s="254">
        <v>2.722791466317746E-2</v>
      </c>
      <c r="G175" s="254">
        <v>1.2629925970238787E-2</v>
      </c>
      <c r="H175" s="254">
        <v>4.1133243086443547E-2</v>
      </c>
      <c r="I175" s="253">
        <v>1.6429705744578093E-2</v>
      </c>
      <c r="J175" s="253">
        <v>0</v>
      </c>
      <c r="K175" s="254">
        <v>2.1371165303729622E-3</v>
      </c>
      <c r="L175" s="254">
        <v>-2.6160901105307464E-2</v>
      </c>
      <c r="M175" s="254">
        <v>-2.8383495250665323E-2</v>
      </c>
      <c r="N175" s="253">
        <v>-1.0246815329395561E-2</v>
      </c>
      <c r="O175" s="817">
        <v>-1</v>
      </c>
      <c r="P175" s="734">
        <v>-1</v>
      </c>
      <c r="Q175" s="253">
        <v>0</v>
      </c>
      <c r="R175" s="253">
        <v>0</v>
      </c>
      <c r="S175" s="253">
        <v>0</v>
      </c>
      <c r="T175" s="313">
        <v>0</v>
      </c>
      <c r="U175" s="313">
        <v>0</v>
      </c>
      <c r="V175" s="313">
        <v>-1</v>
      </c>
      <c r="W175" s="313">
        <v>-1</v>
      </c>
      <c r="X175" s="313">
        <v>-1</v>
      </c>
      <c r="Y175" s="313">
        <v>-1</v>
      </c>
      <c r="Z175" s="313">
        <v>-1</v>
      </c>
      <c r="AA175" s="359">
        <v>-1</v>
      </c>
      <c r="AB175" s="445"/>
      <c r="AC175" s="445"/>
      <c r="AD175" s="445"/>
      <c r="AE175" s="334"/>
    </row>
    <row r="176" spans="1:37" s="73" customFormat="1">
      <c r="A176" s="241"/>
      <c r="B176" s="242" t="s">
        <v>82</v>
      </c>
      <c r="C176" s="243">
        <v>0</v>
      </c>
      <c r="D176" s="244">
        <v>0</v>
      </c>
      <c r="E176" s="244">
        <v>0</v>
      </c>
      <c r="F176" s="244">
        <v>0</v>
      </c>
      <c r="G176" s="244">
        <v>0</v>
      </c>
      <c r="H176" s="244">
        <v>0</v>
      </c>
      <c r="I176" s="243">
        <v>0</v>
      </c>
      <c r="J176" s="243"/>
      <c r="K176" s="244">
        <v>0</v>
      </c>
      <c r="L176" s="244">
        <v>0</v>
      </c>
      <c r="M176" s="244">
        <v>0</v>
      </c>
      <c r="N176" s="243">
        <v>0</v>
      </c>
      <c r="O176" s="314">
        <v>0</v>
      </c>
      <c r="P176" s="244">
        <v>0</v>
      </c>
      <c r="Q176" s="243"/>
      <c r="R176" s="243"/>
      <c r="S176" s="243"/>
      <c r="T176" s="312"/>
      <c r="U176" s="312"/>
      <c r="V176" s="312">
        <v>0</v>
      </c>
      <c r="W176" s="312">
        <v>0</v>
      </c>
      <c r="X176" s="312">
        <v>0</v>
      </c>
      <c r="Y176" s="312">
        <v>0</v>
      </c>
      <c r="Z176" s="312">
        <v>0</v>
      </c>
      <c r="AA176" s="360">
        <v>0</v>
      </c>
      <c r="AB176" s="444"/>
      <c r="AC176" s="444"/>
      <c r="AD176" s="444"/>
      <c r="AE176" s="334"/>
    </row>
    <row r="177" spans="1:37" s="73" customFormat="1">
      <c r="A177" s="241"/>
      <c r="B177" s="242" t="s">
        <v>80</v>
      </c>
      <c r="C177" s="243">
        <v>0</v>
      </c>
      <c r="D177" s="244">
        <v>0</v>
      </c>
      <c r="E177" s="244">
        <v>0</v>
      </c>
      <c r="F177" s="244">
        <v>0</v>
      </c>
      <c r="G177" s="244">
        <v>0</v>
      </c>
      <c r="H177" s="244">
        <v>0</v>
      </c>
      <c r="I177" s="243">
        <v>0</v>
      </c>
      <c r="J177" s="243"/>
      <c r="K177" s="244">
        <v>0</v>
      </c>
      <c r="L177" s="244">
        <v>0</v>
      </c>
      <c r="M177" s="244">
        <v>0</v>
      </c>
      <c r="N177" s="243">
        <v>0</v>
      </c>
      <c r="O177" s="314">
        <v>0</v>
      </c>
      <c r="P177" s="244">
        <v>0</v>
      </c>
      <c r="Q177" s="243"/>
      <c r="R177" s="243"/>
      <c r="S177" s="243"/>
      <c r="T177" s="312"/>
      <c r="U177" s="312"/>
      <c r="V177" s="312">
        <v>0</v>
      </c>
      <c r="W177" s="312">
        <v>0</v>
      </c>
      <c r="X177" s="312">
        <v>0</v>
      </c>
      <c r="Y177" s="312">
        <v>0</v>
      </c>
      <c r="Z177" s="312">
        <v>0</v>
      </c>
      <c r="AA177" s="360">
        <v>0</v>
      </c>
      <c r="AB177" s="444"/>
      <c r="AC177" s="444"/>
      <c r="AD177" s="444"/>
      <c r="AE177" s="334"/>
    </row>
    <row r="178" spans="1:37" s="73" customFormat="1">
      <c r="A178" s="241"/>
      <c r="B178" s="245" t="s">
        <v>100</v>
      </c>
      <c r="C178" s="253">
        <v>0</v>
      </c>
      <c r="D178" s="254">
        <v>0</v>
      </c>
      <c r="E178" s="254">
        <v>0</v>
      </c>
      <c r="F178" s="254">
        <v>0</v>
      </c>
      <c r="G178" s="254">
        <v>0</v>
      </c>
      <c r="H178" s="254">
        <v>0</v>
      </c>
      <c r="I178" s="253">
        <v>0</v>
      </c>
      <c r="J178" s="253">
        <v>0</v>
      </c>
      <c r="K178" s="254">
        <v>0</v>
      </c>
      <c r="L178" s="254">
        <v>0</v>
      </c>
      <c r="M178" s="254">
        <v>0</v>
      </c>
      <c r="N178" s="253">
        <v>0</v>
      </c>
      <c r="O178" s="356">
        <v>0</v>
      </c>
      <c r="P178" s="254">
        <v>0</v>
      </c>
      <c r="Q178" s="253">
        <v>0</v>
      </c>
      <c r="R178" s="253">
        <v>0</v>
      </c>
      <c r="S178" s="253">
        <v>0</v>
      </c>
      <c r="T178" s="313">
        <v>0</v>
      </c>
      <c r="U178" s="313">
        <v>0</v>
      </c>
      <c r="V178" s="313">
        <v>0</v>
      </c>
      <c r="W178" s="313">
        <v>0</v>
      </c>
      <c r="X178" s="313">
        <v>0</v>
      </c>
      <c r="Y178" s="313">
        <v>0</v>
      </c>
      <c r="Z178" s="313">
        <v>0</v>
      </c>
      <c r="AA178" s="359">
        <v>0</v>
      </c>
      <c r="AB178" s="445"/>
      <c r="AC178" s="445"/>
      <c r="AD178" s="445"/>
      <c r="AE178" s="334"/>
    </row>
    <row r="179" spans="1:37" s="73" customFormat="1">
      <c r="A179" s="241"/>
      <c r="B179" s="242" t="s">
        <v>88</v>
      </c>
      <c r="C179" s="243">
        <v>25017.437499999996</v>
      </c>
      <c r="D179" s="244">
        <v>8147.979166666667</v>
      </c>
      <c r="E179" s="244">
        <v>2001</v>
      </c>
      <c r="F179" s="244">
        <v>1588.8333333333333</v>
      </c>
      <c r="G179" s="244">
        <v>563.08333333333326</v>
      </c>
      <c r="H179" s="244">
        <v>0</v>
      </c>
      <c r="I179" s="243">
        <v>37318.333333333336</v>
      </c>
      <c r="J179" s="243"/>
      <c r="K179" s="244">
        <v>0</v>
      </c>
      <c r="L179" s="244">
        <v>0</v>
      </c>
      <c r="M179" s="244">
        <v>0</v>
      </c>
      <c r="N179" s="243">
        <v>0</v>
      </c>
      <c r="O179" s="314">
        <v>0</v>
      </c>
      <c r="P179" s="244">
        <v>0</v>
      </c>
      <c r="Q179" s="243"/>
      <c r="R179" s="243"/>
      <c r="S179" s="243"/>
      <c r="T179" s="312"/>
      <c r="U179" s="312"/>
      <c r="V179" s="312">
        <v>0</v>
      </c>
      <c r="W179" s="312">
        <v>0</v>
      </c>
      <c r="X179" s="312">
        <v>0</v>
      </c>
      <c r="Y179" s="312">
        <v>0</v>
      </c>
      <c r="Z179" s="312">
        <v>0</v>
      </c>
      <c r="AA179" s="360">
        <v>0</v>
      </c>
      <c r="AB179" s="444"/>
      <c r="AC179" s="444"/>
      <c r="AD179" s="444"/>
      <c r="AE179" s="334"/>
    </row>
    <row r="180" spans="1:37" s="73" customFormat="1">
      <c r="A180" s="241"/>
      <c r="B180" s="242" t="s">
        <v>90</v>
      </c>
      <c r="C180" s="243">
        <v>24512.729166666668</v>
      </c>
      <c r="D180" s="244">
        <v>8080.1041666666661</v>
      </c>
      <c r="E180" s="244">
        <v>2031.0833333333335</v>
      </c>
      <c r="F180" s="244">
        <v>1603.2916666666667</v>
      </c>
      <c r="G180" s="244">
        <v>544.58333333333337</v>
      </c>
      <c r="H180" s="244">
        <v>0</v>
      </c>
      <c r="I180" s="243">
        <v>36771.791666666672</v>
      </c>
      <c r="J180" s="243"/>
      <c r="K180" s="244">
        <v>0</v>
      </c>
      <c r="L180" s="244">
        <v>0</v>
      </c>
      <c r="M180" s="244">
        <v>0</v>
      </c>
      <c r="N180" s="243">
        <v>0</v>
      </c>
      <c r="O180" s="314">
        <v>0</v>
      </c>
      <c r="P180" s="244">
        <v>0</v>
      </c>
      <c r="Q180" s="243"/>
      <c r="R180" s="243"/>
      <c r="S180" s="243"/>
      <c r="T180" s="312"/>
      <c r="U180" s="312"/>
      <c r="V180" s="312">
        <v>0</v>
      </c>
      <c r="W180" s="312">
        <v>0</v>
      </c>
      <c r="X180" s="312">
        <v>0</v>
      </c>
      <c r="Y180" s="312">
        <v>0</v>
      </c>
      <c r="Z180" s="312">
        <v>0</v>
      </c>
      <c r="AA180" s="360">
        <v>0</v>
      </c>
      <c r="AB180" s="444"/>
      <c r="AC180" s="444"/>
      <c r="AD180" s="444"/>
      <c r="AE180" s="334"/>
    </row>
    <row r="181" spans="1:37" s="73" customFormat="1">
      <c r="A181" s="241"/>
      <c r="B181" s="245" t="s">
        <v>92</v>
      </c>
      <c r="C181" s="253">
        <v>-2.0174261785737592E-2</v>
      </c>
      <c r="D181" s="254">
        <v>-8.3302863951441007E-3</v>
      </c>
      <c r="E181" s="254">
        <v>1.5034149591870808E-2</v>
      </c>
      <c r="F181" s="254">
        <v>9.0999685303682909E-3</v>
      </c>
      <c r="G181" s="254">
        <v>-3.2854817226579645E-2</v>
      </c>
      <c r="H181" s="254">
        <v>0</v>
      </c>
      <c r="I181" s="253">
        <v>-1.4645393238354825E-2</v>
      </c>
      <c r="J181" s="253">
        <v>0</v>
      </c>
      <c r="K181" s="254">
        <v>0</v>
      </c>
      <c r="L181" s="254">
        <v>0</v>
      </c>
      <c r="M181" s="254">
        <v>0</v>
      </c>
      <c r="N181" s="253">
        <v>0</v>
      </c>
      <c r="O181" s="356">
        <v>0</v>
      </c>
      <c r="P181" s="254">
        <v>0</v>
      </c>
      <c r="Q181" s="253">
        <v>0</v>
      </c>
      <c r="R181" s="253">
        <v>0</v>
      </c>
      <c r="S181" s="253">
        <v>0</v>
      </c>
      <c r="T181" s="313">
        <v>0</v>
      </c>
      <c r="U181" s="313">
        <v>0</v>
      </c>
      <c r="V181" s="313">
        <v>0</v>
      </c>
      <c r="W181" s="313">
        <v>0</v>
      </c>
      <c r="X181" s="313">
        <v>0</v>
      </c>
      <c r="Y181" s="313">
        <v>0</v>
      </c>
      <c r="Z181" s="313">
        <v>0</v>
      </c>
      <c r="AA181" s="359">
        <v>0</v>
      </c>
      <c r="AB181" s="445"/>
      <c r="AC181" s="445"/>
      <c r="AD181" s="445"/>
      <c r="AE181" s="334"/>
      <c r="AF181" s="216"/>
      <c r="AG181" s="309"/>
      <c r="AI181" s="73" t="s">
        <v>145</v>
      </c>
      <c r="AJ181" s="73">
        <v>11</v>
      </c>
      <c r="AK181" s="73" t="s">
        <v>143</v>
      </c>
    </row>
    <row r="182" spans="1:37" s="73" customFormat="1">
      <c r="A182" s="241"/>
      <c r="B182" s="242" t="s">
        <v>8</v>
      </c>
      <c r="C182" s="243">
        <v>101312.6375</v>
      </c>
      <c r="D182" s="244">
        <v>35664.895833333336</v>
      </c>
      <c r="E182" s="244">
        <v>25153.966666666667</v>
      </c>
      <c r="F182" s="244">
        <v>19217.8</v>
      </c>
      <c r="G182" s="244">
        <v>9478.4166666666661</v>
      </c>
      <c r="H182" s="244">
        <v>1723.6666666666667</v>
      </c>
      <c r="I182" s="243">
        <v>192551.3833333333</v>
      </c>
      <c r="J182" s="243"/>
      <c r="K182" s="244">
        <v>73884.600000000006</v>
      </c>
      <c r="L182" s="244">
        <v>48716.466666666674</v>
      </c>
      <c r="M182" s="244">
        <v>7702.833333333333</v>
      </c>
      <c r="N182" s="243">
        <v>130303.90000000001</v>
      </c>
      <c r="O182" s="314">
        <v>128277.03333333334</v>
      </c>
      <c r="P182" s="244">
        <v>128277.03333333334</v>
      </c>
      <c r="Q182" s="243"/>
      <c r="R182" s="243"/>
      <c r="S182" s="243"/>
      <c r="T182" s="312"/>
      <c r="U182" s="312"/>
      <c r="V182" s="312">
        <v>73884.600000000006</v>
      </c>
      <c r="W182" s="312">
        <v>73884.600000000006</v>
      </c>
      <c r="X182" s="312">
        <v>46546.633333333331</v>
      </c>
      <c r="Y182" s="312">
        <v>46546.633333333331</v>
      </c>
      <c r="Z182" s="312">
        <v>10724.433333333334</v>
      </c>
      <c r="AA182" s="360">
        <v>10724.433333333334</v>
      </c>
      <c r="AB182" s="444"/>
      <c r="AC182" s="444"/>
      <c r="AD182" s="444"/>
      <c r="AE182" s="334" t="s">
        <v>198</v>
      </c>
      <c r="AF182" s="447"/>
      <c r="AI182" s="73">
        <f>+GETPIVOTDATA("Grand Total FTE - Old",$A$2,"State","VA","Category","10b","Category2","10b")</f>
        <v>10724.433333333334</v>
      </c>
      <c r="AJ182" s="73">
        <f>+GETPIVOTDATA("Grand Total FTE - Old",$A$2,"State","VA","Category","11","Category2","11")</f>
        <v>128277.03333333334</v>
      </c>
      <c r="AK182" s="73">
        <f>+AJ182+AI182</f>
        <v>139001.46666666667</v>
      </c>
    </row>
    <row r="183" spans="1:37" s="73" customFormat="1">
      <c r="A183" s="241"/>
      <c r="B183" s="242" t="s">
        <v>94</v>
      </c>
      <c r="C183" s="243">
        <v>101740.42916666667</v>
      </c>
      <c r="D183" s="244">
        <v>36086.054166666669</v>
      </c>
      <c r="E183" s="244">
        <v>25649.45</v>
      </c>
      <c r="F183" s="244">
        <v>19712.258333333331</v>
      </c>
      <c r="G183" s="244">
        <v>9572.5166666666664</v>
      </c>
      <c r="H183" s="244">
        <v>1794.5666666666666</v>
      </c>
      <c r="I183" s="243">
        <v>194555.27500000002</v>
      </c>
      <c r="J183" s="243"/>
      <c r="K183" s="244">
        <v>74042.5</v>
      </c>
      <c r="L183" s="244">
        <v>47442</v>
      </c>
      <c r="M183" s="244">
        <v>7484.2</v>
      </c>
      <c r="N183" s="243">
        <v>128968.7</v>
      </c>
      <c r="O183" s="314">
        <v>0</v>
      </c>
      <c r="P183" s="244">
        <v>0</v>
      </c>
      <c r="Q183" s="243"/>
      <c r="R183" s="243"/>
      <c r="S183" s="243"/>
      <c r="T183" s="312"/>
      <c r="U183" s="312"/>
      <c r="V183" s="312">
        <v>0</v>
      </c>
      <c r="W183" s="312">
        <v>0</v>
      </c>
      <c r="X183" s="312">
        <v>0</v>
      </c>
      <c r="Y183" s="312">
        <v>0</v>
      </c>
      <c r="Z183" s="312">
        <v>0</v>
      </c>
      <c r="AA183" s="360">
        <v>0</v>
      </c>
      <c r="AB183" s="444"/>
      <c r="AC183" s="444"/>
      <c r="AD183" s="444"/>
      <c r="AE183" s="334" t="s">
        <v>199</v>
      </c>
      <c r="AF183" s="447"/>
      <c r="AI183" s="73">
        <f>+GETPIVOTDATA("Grand Total FTE - New",$A$2,"State","VA","Category","10b","Category2","10b")</f>
        <v>0</v>
      </c>
      <c r="AJ183" s="73">
        <f>+GETPIVOTDATA("Grand Total FTE - New",$A$2,"State","VA","Category","11","Category2","11")</f>
        <v>0</v>
      </c>
      <c r="AK183" s="73">
        <f>+AJ183+AI183</f>
        <v>0</v>
      </c>
    </row>
    <row r="184" spans="1:37" s="73" customFormat="1">
      <c r="A184" s="246"/>
      <c r="B184" s="311" t="s">
        <v>96</v>
      </c>
      <c r="C184" s="253">
        <v>4.2224906706892469E-3</v>
      </c>
      <c r="D184" s="254">
        <v>1.180876386970146E-2</v>
      </c>
      <c r="E184" s="254">
        <v>1.9698019795419949E-2</v>
      </c>
      <c r="F184" s="254">
        <v>2.5729185095761851E-2</v>
      </c>
      <c r="G184" s="254">
        <v>9.9278184647576904E-3</v>
      </c>
      <c r="H184" s="254">
        <v>4.1133243086443547E-2</v>
      </c>
      <c r="I184" s="253">
        <v>1.0407048923651073E-2</v>
      </c>
      <c r="J184" s="253">
        <v>0</v>
      </c>
      <c r="K184" s="254">
        <v>2.1371165303729622E-3</v>
      </c>
      <c r="L184" s="254">
        <v>-2.6160901105307464E-2</v>
      </c>
      <c r="M184" s="254">
        <v>-2.8383495250665323E-2</v>
      </c>
      <c r="N184" s="253">
        <v>-1.0246815329395561E-2</v>
      </c>
      <c r="O184" s="356">
        <v>-1</v>
      </c>
      <c r="P184" s="254">
        <v>-1</v>
      </c>
      <c r="Q184" s="253">
        <v>0</v>
      </c>
      <c r="R184" s="253">
        <v>0</v>
      </c>
      <c r="S184" s="253">
        <v>0</v>
      </c>
      <c r="T184" s="313">
        <v>0</v>
      </c>
      <c r="U184" s="313">
        <v>0</v>
      </c>
      <c r="V184" s="313">
        <v>-1</v>
      </c>
      <c r="W184" s="313">
        <v>-1</v>
      </c>
      <c r="X184" s="313">
        <v>-1</v>
      </c>
      <c r="Y184" s="313">
        <v>-1</v>
      </c>
      <c r="Z184" s="313">
        <v>-1</v>
      </c>
      <c r="AA184" s="359">
        <v>-1</v>
      </c>
      <c r="AB184" s="445"/>
      <c r="AC184" s="445"/>
      <c r="AD184" s="445"/>
      <c r="AE184" s="334"/>
      <c r="AF184" s="446"/>
      <c r="AG184" s="216"/>
    </row>
    <row r="185" spans="1:37" s="73" customFormat="1">
      <c r="A185" s="342" t="s">
        <v>429</v>
      </c>
      <c r="B185" s="340" t="s">
        <v>86</v>
      </c>
      <c r="C185" s="337">
        <v>21854.6</v>
      </c>
      <c r="D185" s="341"/>
      <c r="E185" s="341">
        <v>9014.8666666666668</v>
      </c>
      <c r="F185" s="341"/>
      <c r="G185" s="341">
        <v>7748.6833333333334</v>
      </c>
      <c r="H185" s="341">
        <v>11982.406666666666</v>
      </c>
      <c r="I185" s="337">
        <v>50600.556666666671</v>
      </c>
      <c r="J185" s="337">
        <v>4952.2</v>
      </c>
      <c r="K185" s="341"/>
      <c r="L185" s="341">
        <v>6783.2733333333326</v>
      </c>
      <c r="M185" s="341">
        <v>7788.1633333333339</v>
      </c>
      <c r="N185" s="337">
        <v>19523.636666666665</v>
      </c>
      <c r="O185" s="337"/>
      <c r="P185" s="341"/>
      <c r="Q185" s="337"/>
      <c r="R185" s="337"/>
      <c r="S185" s="337"/>
      <c r="T185" s="349"/>
      <c r="U185" s="349"/>
      <c r="V185" s="349"/>
      <c r="W185" s="349"/>
      <c r="X185" s="349"/>
      <c r="Y185" s="349"/>
      <c r="Z185" s="349"/>
      <c r="AA185" s="357"/>
      <c r="AB185" s="444"/>
      <c r="AC185" s="444"/>
      <c r="AD185" s="444"/>
      <c r="AE185" s="334"/>
    </row>
    <row r="186" spans="1:37" s="73" customFormat="1">
      <c r="A186" s="241"/>
      <c r="B186" s="242" t="s">
        <v>84</v>
      </c>
      <c r="C186" s="243">
        <v>22047.233333333334</v>
      </c>
      <c r="D186" s="244"/>
      <c r="E186" s="244">
        <v>8802</v>
      </c>
      <c r="F186" s="244"/>
      <c r="G186" s="244">
        <v>7587.6333333333332</v>
      </c>
      <c r="H186" s="244">
        <v>11475.570000000002</v>
      </c>
      <c r="I186" s="243">
        <v>49912.436666666668</v>
      </c>
      <c r="J186" s="243">
        <v>4472.5</v>
      </c>
      <c r="K186" s="244"/>
      <c r="L186" s="244">
        <v>6313.5433333333331</v>
      </c>
      <c r="M186" s="244">
        <v>7580.0366666666669</v>
      </c>
      <c r="N186" s="243">
        <v>18366.080000000002</v>
      </c>
      <c r="O186" s="243"/>
      <c r="P186" s="244"/>
      <c r="Q186" s="243"/>
      <c r="R186" s="243"/>
      <c r="S186" s="243"/>
      <c r="T186" s="312"/>
      <c r="U186" s="312"/>
      <c r="V186" s="312"/>
      <c r="W186" s="312"/>
      <c r="X186" s="312"/>
      <c r="Y186" s="312"/>
      <c r="Z186" s="312"/>
      <c r="AA186" s="358"/>
      <c r="AB186" s="444"/>
      <c r="AC186" s="444"/>
      <c r="AD186" s="444"/>
      <c r="AE186" s="334"/>
    </row>
    <row r="187" spans="1:37" s="73" customFormat="1">
      <c r="A187" s="241"/>
      <c r="B187" s="245" t="s">
        <v>98</v>
      </c>
      <c r="C187" s="253">
        <v>8.8143152166287667E-3</v>
      </c>
      <c r="D187" s="254">
        <v>0</v>
      </c>
      <c r="E187" s="254">
        <v>-2.3612846926928124E-2</v>
      </c>
      <c r="F187" s="254">
        <v>0</v>
      </c>
      <c r="G187" s="254">
        <v>-2.0784176236392872E-2</v>
      </c>
      <c r="H187" s="254">
        <v>-4.2298403047579008E-2</v>
      </c>
      <c r="I187" s="253">
        <v>-1.359905987859032E-2</v>
      </c>
      <c r="J187" s="733">
        <v>-9.6866039336052631E-2</v>
      </c>
      <c r="K187" s="254">
        <v>0</v>
      </c>
      <c r="L187" s="734">
        <v>-6.924827836315009E-2</v>
      </c>
      <c r="M187" s="254">
        <v>-2.6723459403565023E-2</v>
      </c>
      <c r="N187" s="253">
        <v>-5.9290012738405493E-2</v>
      </c>
      <c r="O187" s="356">
        <v>0</v>
      </c>
      <c r="P187" s="254">
        <v>0</v>
      </c>
      <c r="Q187" s="253">
        <v>0</v>
      </c>
      <c r="R187" s="253">
        <v>0</v>
      </c>
      <c r="S187" s="253">
        <v>0</v>
      </c>
      <c r="T187" s="313">
        <v>0</v>
      </c>
      <c r="U187" s="313">
        <v>0</v>
      </c>
      <c r="V187" s="313">
        <v>0</v>
      </c>
      <c r="W187" s="313">
        <v>0</v>
      </c>
      <c r="X187" s="313">
        <v>0</v>
      </c>
      <c r="Y187" s="313">
        <v>0</v>
      </c>
      <c r="Z187" s="313">
        <v>0</v>
      </c>
      <c r="AA187" s="359">
        <v>0</v>
      </c>
      <c r="AB187" s="445"/>
      <c r="AC187" s="445"/>
      <c r="AD187" s="445"/>
      <c r="AE187" s="334"/>
    </row>
    <row r="188" spans="1:37" s="73" customFormat="1">
      <c r="A188" s="241"/>
      <c r="B188" s="242" t="s">
        <v>82</v>
      </c>
      <c r="C188" s="243">
        <v>0</v>
      </c>
      <c r="D188" s="244"/>
      <c r="E188" s="244">
        <v>0</v>
      </c>
      <c r="F188" s="244"/>
      <c r="G188" s="244">
        <v>0</v>
      </c>
      <c r="H188" s="244">
        <v>0</v>
      </c>
      <c r="I188" s="243">
        <v>0</v>
      </c>
      <c r="J188" s="243">
        <v>0</v>
      </c>
      <c r="K188" s="244"/>
      <c r="L188" s="244">
        <v>0</v>
      </c>
      <c r="M188" s="244">
        <v>0</v>
      </c>
      <c r="N188" s="243">
        <v>0</v>
      </c>
      <c r="O188" s="314"/>
      <c r="P188" s="244"/>
      <c r="Q188" s="243"/>
      <c r="R188" s="243"/>
      <c r="S188" s="243"/>
      <c r="T188" s="312"/>
      <c r="U188" s="312"/>
      <c r="V188" s="312"/>
      <c r="W188" s="312"/>
      <c r="X188" s="312"/>
      <c r="Y188" s="312"/>
      <c r="Z188" s="312"/>
      <c r="AA188" s="360"/>
      <c r="AB188" s="444"/>
      <c r="AC188" s="444"/>
      <c r="AD188" s="444"/>
      <c r="AE188" s="334"/>
    </row>
    <row r="189" spans="1:37" s="73" customFormat="1">
      <c r="A189" s="241"/>
      <c r="B189" s="242" t="s">
        <v>80</v>
      </c>
      <c r="C189" s="243">
        <v>0</v>
      </c>
      <c r="D189" s="244"/>
      <c r="E189" s="244">
        <v>0</v>
      </c>
      <c r="F189" s="244"/>
      <c r="G189" s="244">
        <v>0</v>
      </c>
      <c r="H189" s="244">
        <v>0</v>
      </c>
      <c r="I189" s="243">
        <v>0</v>
      </c>
      <c r="J189" s="243">
        <v>0</v>
      </c>
      <c r="K189" s="244"/>
      <c r="L189" s="244">
        <v>0</v>
      </c>
      <c r="M189" s="244">
        <v>0</v>
      </c>
      <c r="N189" s="243">
        <v>0</v>
      </c>
      <c r="O189" s="314"/>
      <c r="P189" s="244"/>
      <c r="Q189" s="243"/>
      <c r="R189" s="243"/>
      <c r="S189" s="243"/>
      <c r="T189" s="312"/>
      <c r="U189" s="312"/>
      <c r="V189" s="312"/>
      <c r="W189" s="312"/>
      <c r="X189" s="312"/>
      <c r="Y189" s="312"/>
      <c r="Z189" s="312"/>
      <c r="AA189" s="360"/>
      <c r="AB189" s="444"/>
      <c r="AC189" s="444"/>
      <c r="AD189" s="444"/>
      <c r="AE189" s="334"/>
    </row>
    <row r="190" spans="1:37" s="73" customFormat="1">
      <c r="A190" s="241"/>
      <c r="B190" s="245" t="s">
        <v>100</v>
      </c>
      <c r="C190" s="253">
        <v>0</v>
      </c>
      <c r="D190" s="254">
        <v>0</v>
      </c>
      <c r="E190" s="254">
        <v>0</v>
      </c>
      <c r="F190" s="254">
        <v>0</v>
      </c>
      <c r="G190" s="254">
        <v>0</v>
      </c>
      <c r="H190" s="254">
        <v>0</v>
      </c>
      <c r="I190" s="253">
        <v>0</v>
      </c>
      <c r="J190" s="253">
        <v>0</v>
      </c>
      <c r="K190" s="254">
        <v>0</v>
      </c>
      <c r="L190" s="254">
        <v>0</v>
      </c>
      <c r="M190" s="254">
        <v>0</v>
      </c>
      <c r="N190" s="253">
        <v>0</v>
      </c>
      <c r="O190" s="356">
        <v>0</v>
      </c>
      <c r="P190" s="254">
        <v>0</v>
      </c>
      <c r="Q190" s="253">
        <v>0</v>
      </c>
      <c r="R190" s="253">
        <v>0</v>
      </c>
      <c r="S190" s="253">
        <v>0</v>
      </c>
      <c r="T190" s="313">
        <v>0</v>
      </c>
      <c r="U190" s="313">
        <v>0</v>
      </c>
      <c r="V190" s="313">
        <v>0</v>
      </c>
      <c r="W190" s="313">
        <v>0</v>
      </c>
      <c r="X190" s="313">
        <v>0</v>
      </c>
      <c r="Y190" s="313">
        <v>0</v>
      </c>
      <c r="Z190" s="313">
        <v>0</v>
      </c>
      <c r="AA190" s="359">
        <v>0</v>
      </c>
      <c r="AB190" s="445"/>
      <c r="AC190" s="445"/>
      <c r="AD190" s="445"/>
      <c r="AE190" s="334"/>
    </row>
    <row r="191" spans="1:37" s="73" customFormat="1">
      <c r="A191" s="241"/>
      <c r="B191" s="242" t="s">
        <v>88</v>
      </c>
      <c r="C191" s="243">
        <v>4931.791666666667</v>
      </c>
      <c r="D191" s="244"/>
      <c r="E191" s="244">
        <v>2447.4166666666665</v>
      </c>
      <c r="F191" s="244"/>
      <c r="G191" s="244">
        <v>324.625</v>
      </c>
      <c r="H191" s="244">
        <v>262.25</v>
      </c>
      <c r="I191" s="243">
        <v>7966.0833333333339</v>
      </c>
      <c r="J191" s="243">
        <v>0</v>
      </c>
      <c r="K191" s="244"/>
      <c r="L191" s="244">
        <v>0</v>
      </c>
      <c r="M191" s="244">
        <v>0</v>
      </c>
      <c r="N191" s="243">
        <v>0</v>
      </c>
      <c r="O191" s="314"/>
      <c r="P191" s="244"/>
      <c r="Q191" s="243"/>
      <c r="R191" s="243"/>
      <c r="S191" s="243"/>
      <c r="T191" s="312"/>
      <c r="U191" s="312"/>
      <c r="V191" s="312"/>
      <c r="W191" s="312"/>
      <c r="X191" s="312"/>
      <c r="Y191" s="312"/>
      <c r="Z191" s="312"/>
      <c r="AA191" s="360"/>
      <c r="AB191" s="444"/>
      <c r="AC191" s="444"/>
      <c r="AD191" s="444"/>
      <c r="AE191" s="334"/>
    </row>
    <row r="192" spans="1:37" s="73" customFormat="1">
      <c r="A192" s="241"/>
      <c r="B192" s="242" t="s">
        <v>90</v>
      </c>
      <c r="C192" s="243">
        <v>4861.458333333333</v>
      </c>
      <c r="D192" s="244"/>
      <c r="E192" s="244">
        <v>2311.8333333333335</v>
      </c>
      <c r="F192" s="244"/>
      <c r="G192" s="244">
        <v>348.95833333333331</v>
      </c>
      <c r="H192" s="244">
        <v>353.41666666666669</v>
      </c>
      <c r="I192" s="243">
        <v>7875.6666666666661</v>
      </c>
      <c r="J192" s="243">
        <v>0</v>
      </c>
      <c r="K192" s="244"/>
      <c r="L192" s="244">
        <v>0</v>
      </c>
      <c r="M192" s="244">
        <v>0</v>
      </c>
      <c r="N192" s="243">
        <v>0</v>
      </c>
      <c r="O192" s="314"/>
      <c r="P192" s="244"/>
      <c r="Q192" s="243"/>
      <c r="R192" s="243"/>
      <c r="S192" s="243"/>
      <c r="T192" s="312"/>
      <c r="U192" s="312"/>
      <c r="V192" s="312"/>
      <c r="W192" s="312"/>
      <c r="X192" s="312"/>
      <c r="Y192" s="312"/>
      <c r="Z192" s="312"/>
      <c r="AA192" s="360"/>
      <c r="AB192" s="444"/>
      <c r="AC192" s="444"/>
      <c r="AD192" s="444"/>
      <c r="AE192" s="334"/>
    </row>
    <row r="193" spans="1:33" s="73" customFormat="1">
      <c r="A193" s="241"/>
      <c r="B193" s="245" t="s">
        <v>92</v>
      </c>
      <c r="C193" s="253">
        <v>-1.4261213385939985E-2</v>
      </c>
      <c r="D193" s="254">
        <v>0</v>
      </c>
      <c r="E193" s="254">
        <v>-5.5398549490959736E-2</v>
      </c>
      <c r="F193" s="254">
        <v>0</v>
      </c>
      <c r="G193" s="254">
        <v>7.4958285200872748E-2</v>
      </c>
      <c r="H193" s="734">
        <v>0.34763266603114085</v>
      </c>
      <c r="I193" s="253">
        <v>-1.1350203466781079E-2</v>
      </c>
      <c r="J193" s="253">
        <v>0</v>
      </c>
      <c r="K193" s="254">
        <v>0</v>
      </c>
      <c r="L193" s="254">
        <v>0</v>
      </c>
      <c r="M193" s="254">
        <v>0</v>
      </c>
      <c r="N193" s="253">
        <v>0</v>
      </c>
      <c r="O193" s="356">
        <v>0</v>
      </c>
      <c r="P193" s="254">
        <v>0</v>
      </c>
      <c r="Q193" s="253">
        <v>0</v>
      </c>
      <c r="R193" s="253">
        <v>0</v>
      </c>
      <c r="S193" s="253">
        <v>0</v>
      </c>
      <c r="T193" s="313">
        <v>0</v>
      </c>
      <c r="U193" s="313">
        <v>0</v>
      </c>
      <c r="V193" s="313">
        <v>0</v>
      </c>
      <c r="W193" s="313">
        <v>0</v>
      </c>
      <c r="X193" s="313">
        <v>0</v>
      </c>
      <c r="Y193" s="313">
        <v>0</v>
      </c>
      <c r="Z193" s="313">
        <v>0</v>
      </c>
      <c r="AA193" s="359">
        <v>0</v>
      </c>
      <c r="AB193" s="445"/>
      <c r="AC193" s="445"/>
      <c r="AD193" s="445"/>
      <c r="AE193" s="334"/>
      <c r="AF193" s="216"/>
      <c r="AG193" s="309"/>
    </row>
    <row r="194" spans="1:33" s="73" customFormat="1">
      <c r="A194" s="241"/>
      <c r="B194" s="242" t="s">
        <v>8</v>
      </c>
      <c r="C194" s="243">
        <v>26786.391666666666</v>
      </c>
      <c r="D194" s="244"/>
      <c r="E194" s="244">
        <v>11462.283333333333</v>
      </c>
      <c r="F194" s="244"/>
      <c r="G194" s="244">
        <v>8073.3083333333343</v>
      </c>
      <c r="H194" s="244">
        <v>12244.656666666666</v>
      </c>
      <c r="I194" s="243">
        <v>58566.64</v>
      </c>
      <c r="J194" s="243">
        <v>4952.2</v>
      </c>
      <c r="K194" s="244"/>
      <c r="L194" s="244">
        <v>6783.2733333333326</v>
      </c>
      <c r="M194" s="244">
        <v>7788.1633333333339</v>
      </c>
      <c r="N194" s="243">
        <v>19523.636666666665</v>
      </c>
      <c r="O194" s="314"/>
      <c r="P194" s="244"/>
      <c r="Q194" s="243"/>
      <c r="R194" s="243"/>
      <c r="S194" s="243"/>
      <c r="T194" s="312"/>
      <c r="U194" s="312"/>
      <c r="V194" s="312"/>
      <c r="W194" s="312"/>
      <c r="X194" s="312"/>
      <c r="Y194" s="312"/>
      <c r="Z194" s="312"/>
      <c r="AA194" s="360"/>
      <c r="AB194" s="444"/>
      <c r="AC194" s="444"/>
      <c r="AD194" s="444"/>
      <c r="AE194" s="334"/>
      <c r="AF194" s="447"/>
    </row>
    <row r="195" spans="1:33" s="73" customFormat="1">
      <c r="A195" s="241"/>
      <c r="B195" s="242" t="s">
        <v>94</v>
      </c>
      <c r="C195" s="243">
        <v>26908.691666666666</v>
      </c>
      <c r="D195" s="244"/>
      <c r="E195" s="244">
        <v>11113.833333333334</v>
      </c>
      <c r="F195" s="244"/>
      <c r="G195" s="244">
        <v>7936.5916666666672</v>
      </c>
      <c r="H195" s="244">
        <v>11828.986666666668</v>
      </c>
      <c r="I195" s="243">
        <v>57788.103333333333</v>
      </c>
      <c r="J195" s="243">
        <v>4472.5</v>
      </c>
      <c r="K195" s="244"/>
      <c r="L195" s="244">
        <v>6313.5433333333331</v>
      </c>
      <c r="M195" s="244">
        <v>7580.0366666666669</v>
      </c>
      <c r="N195" s="243">
        <v>18366.080000000002</v>
      </c>
      <c r="O195" s="314"/>
      <c r="P195" s="244"/>
      <c r="Q195" s="243"/>
      <c r="R195" s="243"/>
      <c r="S195" s="243"/>
      <c r="T195" s="312"/>
      <c r="U195" s="312"/>
      <c r="V195" s="312"/>
      <c r="W195" s="312"/>
      <c r="X195" s="312"/>
      <c r="Y195" s="312"/>
      <c r="Z195" s="312"/>
      <c r="AA195" s="360"/>
      <c r="AB195" s="444"/>
      <c r="AC195" s="444"/>
      <c r="AD195" s="444"/>
      <c r="AE195" s="334"/>
      <c r="AF195" s="447"/>
    </row>
    <row r="196" spans="1:33" s="73" customFormat="1">
      <c r="A196" s="246"/>
      <c r="B196" s="311" t="s">
        <v>96</v>
      </c>
      <c r="C196" s="253">
        <v>4.5657512038917497E-3</v>
      </c>
      <c r="D196" s="254">
        <v>0</v>
      </c>
      <c r="E196" s="254">
        <v>-3.0399702211746548E-2</v>
      </c>
      <c r="F196" s="254">
        <v>0</v>
      </c>
      <c r="G196" s="254">
        <v>-1.6934404214711707E-2</v>
      </c>
      <c r="H196" s="254">
        <v>-3.3947052278857824E-2</v>
      </c>
      <c r="I196" s="253">
        <v>-1.3293176229107242E-2</v>
      </c>
      <c r="J196" s="253">
        <v>-9.6866039336052631E-2</v>
      </c>
      <c r="K196" s="254">
        <v>0</v>
      </c>
      <c r="L196" s="254">
        <v>-6.924827836315009E-2</v>
      </c>
      <c r="M196" s="254">
        <v>-2.6723459403565023E-2</v>
      </c>
      <c r="N196" s="253">
        <v>-5.9290012738405493E-2</v>
      </c>
      <c r="O196" s="356">
        <v>0</v>
      </c>
      <c r="P196" s="254">
        <v>0</v>
      </c>
      <c r="Q196" s="253">
        <v>0</v>
      </c>
      <c r="R196" s="253">
        <v>0</v>
      </c>
      <c r="S196" s="253">
        <v>0</v>
      </c>
      <c r="T196" s="313">
        <v>0</v>
      </c>
      <c r="U196" s="313">
        <v>0</v>
      </c>
      <c r="V196" s="313">
        <v>0</v>
      </c>
      <c r="W196" s="313">
        <v>0</v>
      </c>
      <c r="X196" s="313">
        <v>0</v>
      </c>
      <c r="Y196" s="313">
        <v>0</v>
      </c>
      <c r="Z196" s="313">
        <v>0</v>
      </c>
      <c r="AA196" s="359">
        <v>0</v>
      </c>
      <c r="AB196" s="445"/>
      <c r="AC196" s="445"/>
      <c r="AD196" s="445"/>
      <c r="AE196" s="334"/>
      <c r="AF196" s="446"/>
      <c r="AG196" s="216"/>
    </row>
    <row r="197" spans="1:33" s="73" customFormat="1">
      <c r="A197" s="342" t="s">
        <v>87</v>
      </c>
      <c r="B197" s="340"/>
      <c r="C197" s="337">
        <v>850461.03666666674</v>
      </c>
      <c r="D197" s="341">
        <v>230178.23333333337</v>
      </c>
      <c r="E197" s="341">
        <v>537855.43333333335</v>
      </c>
      <c r="F197" s="341">
        <v>188594.04666666666</v>
      </c>
      <c r="G197" s="341">
        <v>105105.48333333332</v>
      </c>
      <c r="H197" s="341">
        <v>67863.656666666662</v>
      </c>
      <c r="I197" s="337">
        <v>1980057.8900000001</v>
      </c>
      <c r="J197" s="337">
        <v>198182.16666666669</v>
      </c>
      <c r="K197" s="341">
        <v>1062514.1726666668</v>
      </c>
      <c r="L197" s="341">
        <v>450644.67433333333</v>
      </c>
      <c r="M197" s="341">
        <v>130920.04099999998</v>
      </c>
      <c r="N197" s="337">
        <v>1842261.0546666668</v>
      </c>
      <c r="O197" s="337">
        <v>212926.83333333334</v>
      </c>
      <c r="P197" s="341">
        <v>212926.83333333334</v>
      </c>
      <c r="Q197" s="337">
        <v>121800.91666666666</v>
      </c>
      <c r="R197" s="337">
        <v>2468.5</v>
      </c>
      <c r="S197" s="337">
        <v>124269.41666666666</v>
      </c>
      <c r="T197" s="337">
        <v>1051.4666666666667</v>
      </c>
      <c r="U197" s="337">
        <v>1051.4666666666667</v>
      </c>
      <c r="V197" s="337">
        <v>142752.66666666669</v>
      </c>
      <c r="W197" s="337">
        <v>142752.66666666669</v>
      </c>
      <c r="X197" s="337">
        <v>60262.23333333333</v>
      </c>
      <c r="Y197" s="337">
        <v>60262.23333333333</v>
      </c>
      <c r="Z197" s="337">
        <v>12790.566666666668</v>
      </c>
      <c r="AA197" s="814">
        <v>12790.566666666668</v>
      </c>
      <c r="AB197" s="444"/>
      <c r="AC197" s="444"/>
      <c r="AD197" s="444"/>
      <c r="AE197" s="334"/>
    </row>
    <row r="198" spans="1:33" s="73" customFormat="1">
      <c r="A198" s="241" t="s">
        <v>85</v>
      </c>
      <c r="B198" s="242"/>
      <c r="C198" s="243">
        <v>861620.01333333319</v>
      </c>
      <c r="D198" s="244">
        <v>231065.2</v>
      </c>
      <c r="E198" s="244">
        <v>534703.41666666663</v>
      </c>
      <c r="F198" s="244">
        <v>187157.35000000003</v>
      </c>
      <c r="G198" s="244">
        <v>102786.73333333334</v>
      </c>
      <c r="H198" s="244">
        <v>68110.137000000002</v>
      </c>
      <c r="I198" s="243">
        <v>1985442.8503333337</v>
      </c>
      <c r="J198" s="243">
        <v>188628.96666666667</v>
      </c>
      <c r="K198" s="244">
        <v>1037228.606</v>
      </c>
      <c r="L198" s="244">
        <v>423816.67766666668</v>
      </c>
      <c r="M198" s="244">
        <v>125657.08933333334</v>
      </c>
      <c r="N198" s="243">
        <v>1775331.3396666667</v>
      </c>
      <c r="O198" s="243">
        <v>6234.6333333333332</v>
      </c>
      <c r="P198" s="244">
        <v>6234.6333333333332</v>
      </c>
      <c r="Q198" s="243">
        <v>98545.59</v>
      </c>
      <c r="R198" s="243">
        <v>2102.1333333333332</v>
      </c>
      <c r="S198" s="243">
        <v>100647.72333333333</v>
      </c>
      <c r="T198" s="243">
        <v>1112.4333333333334</v>
      </c>
      <c r="U198" s="243">
        <v>1112.4333333333334</v>
      </c>
      <c r="V198" s="243">
        <v>128087.66666666667</v>
      </c>
      <c r="W198" s="243">
        <v>128087.66666666667</v>
      </c>
      <c r="X198" s="243">
        <v>9484.0666666666657</v>
      </c>
      <c r="Y198" s="243">
        <v>9484.0666666666657</v>
      </c>
      <c r="Z198" s="243">
        <v>2425.1</v>
      </c>
      <c r="AA198" s="815">
        <v>2425.1</v>
      </c>
      <c r="AB198" s="444"/>
      <c r="AC198" s="444"/>
      <c r="AD198" s="444"/>
      <c r="AE198" s="334"/>
    </row>
    <row r="199" spans="1:33" s="73" customFormat="1">
      <c r="A199" s="241" t="s">
        <v>99</v>
      </c>
      <c r="B199" s="245"/>
      <c r="C199" s="253">
        <v>1.3121091014825954E-2</v>
      </c>
      <c r="D199" s="254">
        <v>3.853390713022601E-3</v>
      </c>
      <c r="E199" s="254">
        <v>-5.8603417783329777E-3</v>
      </c>
      <c r="F199" s="254">
        <v>-7.6179322309463384E-3</v>
      </c>
      <c r="G199" s="254">
        <v>-2.2061170611301344E-2</v>
      </c>
      <c r="H199" s="254">
        <v>3.631993108534889E-3</v>
      </c>
      <c r="I199" s="253">
        <v>2.719597422140816E-3</v>
      </c>
      <c r="J199" s="253">
        <v>-4.8204135420862847E-2</v>
      </c>
      <c r="K199" s="254">
        <v>-2.3797862952929211E-2</v>
      </c>
      <c r="L199" s="254">
        <v>-5.9532483561145405E-2</v>
      </c>
      <c r="M199" s="254">
        <v>-4.0199740440553577E-2</v>
      </c>
      <c r="N199" s="253">
        <v>-3.6330201319980639E-2</v>
      </c>
      <c r="O199" s="356">
        <v>-0.97071936291104688</v>
      </c>
      <c r="P199" s="254">
        <v>-0.97071936291104688</v>
      </c>
      <c r="Q199" s="253">
        <v>-0.19092899547143494</v>
      </c>
      <c r="R199" s="253">
        <v>-0.14841671730470601</v>
      </c>
      <c r="S199" s="253">
        <v>-0.19008452736762127</v>
      </c>
      <c r="T199" s="253">
        <v>5.7982500634035025E-2</v>
      </c>
      <c r="U199" s="253">
        <v>5.7982500634035025E-2</v>
      </c>
      <c r="V199" s="253">
        <v>-0.10273012996838363</v>
      </c>
      <c r="W199" s="253">
        <v>-0.10273012996838363</v>
      </c>
      <c r="X199" s="253">
        <v>-0.84262005999335132</v>
      </c>
      <c r="Y199" s="253">
        <v>-0.84262005999335132</v>
      </c>
      <c r="Z199" s="253">
        <v>-0.81039933075678172</v>
      </c>
      <c r="AA199" s="816">
        <v>-0.81039933075678172</v>
      </c>
      <c r="AB199" s="445"/>
      <c r="AC199" s="445"/>
      <c r="AD199" s="445"/>
      <c r="AE199" s="334"/>
    </row>
    <row r="200" spans="1:33" s="73" customFormat="1">
      <c r="A200" s="241" t="s">
        <v>83</v>
      </c>
      <c r="B200" s="242"/>
      <c r="C200" s="243">
        <v>0</v>
      </c>
      <c r="D200" s="244">
        <v>0</v>
      </c>
      <c r="E200" s="244">
        <v>0</v>
      </c>
      <c r="F200" s="244">
        <v>0</v>
      </c>
      <c r="G200" s="244">
        <v>0</v>
      </c>
      <c r="H200" s="244">
        <v>0</v>
      </c>
      <c r="I200" s="243">
        <v>0</v>
      </c>
      <c r="J200" s="243">
        <v>14589.29888888889</v>
      </c>
      <c r="K200" s="244">
        <v>37476.965555555551</v>
      </c>
      <c r="L200" s="244">
        <v>23488.522222222226</v>
      </c>
      <c r="M200" s="244">
        <v>9621.3166666666675</v>
      </c>
      <c r="N200" s="243">
        <v>85176.103333333347</v>
      </c>
      <c r="O200" s="314">
        <v>4426.0055555555555</v>
      </c>
      <c r="P200" s="244">
        <v>4426.0055555555555</v>
      </c>
      <c r="Q200" s="243">
        <v>5377.0617888888883</v>
      </c>
      <c r="R200" s="243">
        <v>26880.628744444439</v>
      </c>
      <c r="S200" s="243">
        <v>32257.690533333327</v>
      </c>
      <c r="T200" s="243">
        <v>0</v>
      </c>
      <c r="U200" s="243">
        <v>0</v>
      </c>
      <c r="V200" s="243">
        <v>3439.1888888888889</v>
      </c>
      <c r="W200" s="243">
        <v>3439.1888888888889</v>
      </c>
      <c r="X200" s="243">
        <v>655.28222222222223</v>
      </c>
      <c r="Y200" s="243">
        <v>655.28222222222223</v>
      </c>
      <c r="Z200" s="243">
        <v>331.53444444444443</v>
      </c>
      <c r="AA200" s="242">
        <v>331.53444444444443</v>
      </c>
      <c r="AB200" s="444"/>
      <c r="AC200" s="444"/>
      <c r="AD200" s="444"/>
      <c r="AE200" s="334"/>
    </row>
    <row r="201" spans="1:33" s="73" customFormat="1">
      <c r="A201" s="241" t="s">
        <v>81</v>
      </c>
      <c r="B201" s="242"/>
      <c r="C201" s="243">
        <v>0</v>
      </c>
      <c r="D201" s="244">
        <v>0</v>
      </c>
      <c r="E201" s="244">
        <v>0</v>
      </c>
      <c r="F201" s="244">
        <v>0</v>
      </c>
      <c r="G201" s="244">
        <v>0</v>
      </c>
      <c r="H201" s="244">
        <v>0</v>
      </c>
      <c r="I201" s="243">
        <v>0</v>
      </c>
      <c r="J201" s="243">
        <v>11868.126666666667</v>
      </c>
      <c r="K201" s="244">
        <v>36406.478888888887</v>
      </c>
      <c r="L201" s="244">
        <v>22838.25</v>
      </c>
      <c r="M201" s="244">
        <v>10133.348888888888</v>
      </c>
      <c r="N201" s="243">
        <v>81246.204444444447</v>
      </c>
      <c r="O201" s="314">
        <v>299.22333333333336</v>
      </c>
      <c r="P201" s="244">
        <v>299.22333333333336</v>
      </c>
      <c r="Q201" s="243">
        <v>5209.4522222222213</v>
      </c>
      <c r="R201" s="243">
        <v>26223.767777777772</v>
      </c>
      <c r="S201" s="243">
        <v>31433.219999999994</v>
      </c>
      <c r="T201" s="243">
        <v>0</v>
      </c>
      <c r="U201" s="243">
        <v>0</v>
      </c>
      <c r="V201" s="243">
        <v>5018.3599999999997</v>
      </c>
      <c r="W201" s="243">
        <v>5018.3599999999997</v>
      </c>
      <c r="X201" s="243">
        <v>287.66222222222223</v>
      </c>
      <c r="Y201" s="243">
        <v>287.66222222222223</v>
      </c>
      <c r="Z201" s="243">
        <v>69.914444444444442</v>
      </c>
      <c r="AA201" s="242">
        <v>69.914444444444442</v>
      </c>
      <c r="AB201" s="444"/>
      <c r="AC201" s="444"/>
      <c r="AD201" s="444"/>
      <c r="AE201" s="334"/>
    </row>
    <row r="202" spans="1:33" s="73" customFormat="1">
      <c r="A202" s="241" t="s">
        <v>101</v>
      </c>
      <c r="B202" s="245"/>
      <c r="C202" s="253">
        <v>0</v>
      </c>
      <c r="D202" s="254">
        <v>0</v>
      </c>
      <c r="E202" s="254">
        <v>0</v>
      </c>
      <c r="F202" s="254">
        <v>0</v>
      </c>
      <c r="G202" s="254">
        <v>0</v>
      </c>
      <c r="H202" s="254">
        <v>0</v>
      </c>
      <c r="I202" s="253">
        <v>0</v>
      </c>
      <c r="J202" s="253">
        <v>-0.18651836821950707</v>
      </c>
      <c r="K202" s="254">
        <v>-2.8563856512869908E-2</v>
      </c>
      <c r="L202" s="254">
        <v>-2.7684680035213408E-2</v>
      </c>
      <c r="M202" s="254">
        <v>5.3218518832891692E-2</v>
      </c>
      <c r="N202" s="253">
        <v>-4.6138514619639047E-2</v>
      </c>
      <c r="O202" s="356">
        <v>-0.93239427073069392</v>
      </c>
      <c r="P202" s="254">
        <v>-0.93239427073069392</v>
      </c>
      <c r="Q202" s="253">
        <v>-3.1171218268872019E-2</v>
      </c>
      <c r="R202" s="253">
        <v>-2.4436220332175962E-2</v>
      </c>
      <c r="S202" s="253">
        <v>-2.5558882849389567E-2</v>
      </c>
      <c r="T202" s="253">
        <v>0</v>
      </c>
      <c r="U202" s="253">
        <v>0</v>
      </c>
      <c r="V202" s="253">
        <v>0.45916963625144164</v>
      </c>
      <c r="W202" s="253">
        <v>0.45916963625144164</v>
      </c>
      <c r="X202" s="253">
        <v>-0.56101018390718838</v>
      </c>
      <c r="Y202" s="253">
        <v>-0.56101018390718838</v>
      </c>
      <c r="Z202" s="253">
        <v>-0.7891186100991685</v>
      </c>
      <c r="AA202" s="816">
        <v>-0.7891186100991685</v>
      </c>
      <c r="AB202" s="445"/>
      <c r="AC202" s="445"/>
      <c r="AD202" s="445"/>
      <c r="AE202" s="334"/>
    </row>
    <row r="203" spans="1:33" s="73" customFormat="1">
      <c r="A203" s="241" t="s">
        <v>89</v>
      </c>
      <c r="B203" s="242"/>
      <c r="C203" s="243">
        <v>220401.125</v>
      </c>
      <c r="D203" s="244">
        <v>52999.437499999993</v>
      </c>
      <c r="E203" s="244">
        <v>83309.458333333328</v>
      </c>
      <c r="F203" s="244">
        <v>24748.895833333328</v>
      </c>
      <c r="G203" s="244">
        <v>9848.6666666666661</v>
      </c>
      <c r="H203" s="244">
        <v>720.5</v>
      </c>
      <c r="I203" s="243">
        <v>392028.08333333326</v>
      </c>
      <c r="J203" s="835">
        <v>2.25</v>
      </c>
      <c r="K203" s="244">
        <v>0</v>
      </c>
      <c r="L203" s="244">
        <v>0</v>
      </c>
      <c r="M203" s="244">
        <v>0</v>
      </c>
      <c r="N203" s="243">
        <v>2.25</v>
      </c>
      <c r="O203" s="314">
        <v>0</v>
      </c>
      <c r="P203" s="244">
        <v>0</v>
      </c>
      <c r="Q203" s="243">
        <v>0</v>
      </c>
      <c r="R203" s="243">
        <v>0</v>
      </c>
      <c r="S203" s="243">
        <v>0</v>
      </c>
      <c r="T203" s="243">
        <v>160.5</v>
      </c>
      <c r="U203" s="243">
        <v>160.5</v>
      </c>
      <c r="V203" s="243">
        <v>0</v>
      </c>
      <c r="W203" s="243">
        <v>0</v>
      </c>
      <c r="X203" s="243">
        <v>0</v>
      </c>
      <c r="Y203" s="243">
        <v>0</v>
      </c>
      <c r="Z203" s="243">
        <v>0</v>
      </c>
      <c r="AA203" s="242">
        <v>0</v>
      </c>
      <c r="AB203" s="444"/>
      <c r="AC203" s="444"/>
      <c r="AD203" s="444"/>
      <c r="AE203" s="334"/>
    </row>
    <row r="204" spans="1:33" s="73" customFormat="1">
      <c r="A204" s="241" t="s">
        <v>91</v>
      </c>
      <c r="B204" s="242"/>
      <c r="C204" s="243">
        <v>216971.47916666666</v>
      </c>
      <c r="D204" s="244">
        <v>52125.833333333336</v>
      </c>
      <c r="E204" s="244">
        <v>82330.833333333314</v>
      </c>
      <c r="F204" s="244">
        <v>24278.791666666664</v>
      </c>
      <c r="G204" s="244">
        <v>9957.7083333333358</v>
      </c>
      <c r="H204" s="244">
        <v>841.20833333333337</v>
      </c>
      <c r="I204" s="243">
        <v>386505.85416666669</v>
      </c>
      <c r="J204" s="243">
        <v>0</v>
      </c>
      <c r="K204" s="244">
        <v>0</v>
      </c>
      <c r="L204" s="244">
        <v>0</v>
      </c>
      <c r="M204" s="244">
        <v>0</v>
      </c>
      <c r="N204" s="243">
        <v>0</v>
      </c>
      <c r="O204" s="314">
        <v>0</v>
      </c>
      <c r="P204" s="244">
        <v>0</v>
      </c>
      <c r="Q204" s="243">
        <v>0</v>
      </c>
      <c r="R204" s="243">
        <v>0</v>
      </c>
      <c r="S204" s="243">
        <v>0</v>
      </c>
      <c r="T204" s="243">
        <v>172.875</v>
      </c>
      <c r="U204" s="243">
        <v>172.875</v>
      </c>
      <c r="V204" s="243">
        <v>0</v>
      </c>
      <c r="W204" s="243">
        <v>0</v>
      </c>
      <c r="X204" s="243">
        <v>0</v>
      </c>
      <c r="Y204" s="243">
        <v>0</v>
      </c>
      <c r="Z204" s="243">
        <v>0</v>
      </c>
      <c r="AA204" s="242">
        <v>0</v>
      </c>
      <c r="AB204" s="444"/>
      <c r="AC204" s="444"/>
      <c r="AD204" s="444"/>
      <c r="AE204" s="334"/>
    </row>
    <row r="205" spans="1:33" s="73" customFormat="1">
      <c r="A205" s="241" t="s">
        <v>93</v>
      </c>
      <c r="B205" s="245"/>
      <c r="C205" s="253">
        <v>-1.5560927074819989E-2</v>
      </c>
      <c r="D205" s="254">
        <v>-1.6483272424667707E-2</v>
      </c>
      <c r="E205" s="254">
        <v>-1.1746865476959321E-2</v>
      </c>
      <c r="F205" s="254">
        <v>-1.8994955162141419E-2</v>
      </c>
      <c r="G205" s="254">
        <v>1.1071718675962844E-2</v>
      </c>
      <c r="H205" s="254">
        <v>0.16753411982419603</v>
      </c>
      <c r="I205" s="253">
        <v>-1.4086310143171896E-2</v>
      </c>
      <c r="J205" s="253">
        <v>-1</v>
      </c>
      <c r="K205" s="254">
        <v>0</v>
      </c>
      <c r="L205" s="254">
        <v>0</v>
      </c>
      <c r="M205" s="254">
        <v>0</v>
      </c>
      <c r="N205" s="253">
        <v>-1</v>
      </c>
      <c r="O205" s="356">
        <v>0</v>
      </c>
      <c r="P205" s="254">
        <v>0</v>
      </c>
      <c r="Q205" s="253">
        <v>0</v>
      </c>
      <c r="R205" s="253">
        <v>0</v>
      </c>
      <c r="S205" s="253">
        <v>0</v>
      </c>
      <c r="T205" s="253">
        <v>7.7102803738317752E-2</v>
      </c>
      <c r="U205" s="253">
        <v>7.7102803738317752E-2</v>
      </c>
      <c r="V205" s="253">
        <v>0</v>
      </c>
      <c r="W205" s="253">
        <v>0</v>
      </c>
      <c r="X205" s="253">
        <v>0</v>
      </c>
      <c r="Y205" s="253">
        <v>0</v>
      </c>
      <c r="Z205" s="253">
        <v>0</v>
      </c>
      <c r="AA205" s="816">
        <v>0</v>
      </c>
      <c r="AB205" s="445"/>
      <c r="AC205" s="445"/>
      <c r="AD205" s="445"/>
      <c r="AE205" s="334"/>
      <c r="AF205" s="216"/>
      <c r="AG205" s="309"/>
    </row>
    <row r="206" spans="1:33" s="73" customFormat="1">
      <c r="A206" s="241" t="s">
        <v>9</v>
      </c>
      <c r="B206" s="242"/>
      <c r="C206" s="243">
        <v>1070862.1616666666</v>
      </c>
      <c r="D206" s="244">
        <v>283177.67083333334</v>
      </c>
      <c r="E206" s="244">
        <v>621164.89166666672</v>
      </c>
      <c r="F206" s="244">
        <v>213342.9425</v>
      </c>
      <c r="G206" s="244">
        <v>114954.15000000002</v>
      </c>
      <c r="H206" s="244">
        <v>68584.156666666662</v>
      </c>
      <c r="I206" s="243">
        <v>2372085.9733333332</v>
      </c>
      <c r="J206" s="243">
        <v>212773.71555555554</v>
      </c>
      <c r="K206" s="244">
        <v>1099991.1382222224</v>
      </c>
      <c r="L206" s="244">
        <v>474133.19655555557</v>
      </c>
      <c r="M206" s="244">
        <v>140541.35766666668</v>
      </c>
      <c r="N206" s="243">
        <v>1927439.4079999998</v>
      </c>
      <c r="O206" s="314">
        <v>217352.83888888889</v>
      </c>
      <c r="P206" s="244">
        <v>217352.83888888889</v>
      </c>
      <c r="Q206" s="243">
        <v>127177.97845555555</v>
      </c>
      <c r="R206" s="243">
        <v>29349.128744444439</v>
      </c>
      <c r="S206" s="243">
        <v>156527.10719999997</v>
      </c>
      <c r="T206" s="243">
        <v>1211.9666666666667</v>
      </c>
      <c r="U206" s="243">
        <v>1211.9666666666667</v>
      </c>
      <c r="V206" s="243">
        <v>146191.85555555555</v>
      </c>
      <c r="W206" s="243">
        <v>146191.85555555555</v>
      </c>
      <c r="X206" s="243">
        <v>60917.515555555554</v>
      </c>
      <c r="Y206" s="243">
        <v>60917.515555555554</v>
      </c>
      <c r="Z206" s="243">
        <v>13122.101111111111</v>
      </c>
      <c r="AA206" s="242">
        <v>13122.101111111111</v>
      </c>
      <c r="AB206" s="444"/>
      <c r="AC206" s="444"/>
      <c r="AD206" s="444"/>
      <c r="AE206" s="334"/>
      <c r="AF206" s="447"/>
    </row>
    <row r="207" spans="1:33" s="73" customFormat="1">
      <c r="A207" s="241" t="s">
        <v>95</v>
      </c>
      <c r="B207" s="242"/>
      <c r="C207" s="243">
        <v>1078591.4924999999</v>
      </c>
      <c r="D207" s="244">
        <v>283191.03333333333</v>
      </c>
      <c r="E207" s="244">
        <v>617034.25</v>
      </c>
      <c r="F207" s="244">
        <v>211436.14166666669</v>
      </c>
      <c r="G207" s="244">
        <v>112744.44166666668</v>
      </c>
      <c r="H207" s="244">
        <v>68951.345333333331</v>
      </c>
      <c r="I207" s="243">
        <v>2371948.7045</v>
      </c>
      <c r="J207" s="243">
        <v>200497.09333333332</v>
      </c>
      <c r="K207" s="244">
        <v>1073635.084888889</v>
      </c>
      <c r="L207" s="244">
        <v>446654.92766666663</v>
      </c>
      <c r="M207" s="244">
        <v>135790.4382222222</v>
      </c>
      <c r="N207" s="243">
        <v>1856577.5441111112</v>
      </c>
      <c r="O207" s="314">
        <v>6533.8566666666666</v>
      </c>
      <c r="P207" s="244">
        <v>6533.8566666666666</v>
      </c>
      <c r="Q207" s="243">
        <v>103755.04222222223</v>
      </c>
      <c r="R207" s="243">
        <v>28325.901111111107</v>
      </c>
      <c r="S207" s="243">
        <v>132080.94333333333</v>
      </c>
      <c r="T207" s="243">
        <v>1285.3083333333334</v>
      </c>
      <c r="U207" s="243">
        <v>1285.3083333333334</v>
      </c>
      <c r="V207" s="243">
        <v>133106.02666666667</v>
      </c>
      <c r="W207" s="243">
        <v>133106.02666666667</v>
      </c>
      <c r="X207" s="243">
        <v>9771.7288888888888</v>
      </c>
      <c r="Y207" s="243">
        <v>9771.7288888888888</v>
      </c>
      <c r="Z207" s="243">
        <v>2495.0144444444445</v>
      </c>
      <c r="AA207" s="242">
        <v>2495.0144444444445</v>
      </c>
      <c r="AB207" s="444"/>
      <c r="AC207" s="444"/>
      <c r="AD207" s="444"/>
      <c r="AE207" s="334"/>
      <c r="AF207" s="447"/>
    </row>
    <row r="208" spans="1:33" s="73" customFormat="1">
      <c r="A208" s="246" t="s">
        <v>97</v>
      </c>
      <c r="B208" s="311"/>
      <c r="C208" s="253">
        <v>7.2178578252349622E-3</v>
      </c>
      <c r="D208" s="254">
        <v>4.7187689483861817E-5</v>
      </c>
      <c r="E208" s="254">
        <v>-6.6498311834459678E-3</v>
      </c>
      <c r="F208" s="254">
        <v>-8.9377263245223725E-3</v>
      </c>
      <c r="G208" s="254">
        <v>-1.9222519007215482E-2</v>
      </c>
      <c r="H208" s="254">
        <v>5.3538409526744379E-3</v>
      </c>
      <c r="I208" s="253">
        <v>-5.7868405646472442E-5</v>
      </c>
      <c r="J208" s="253">
        <v>-5.7698020595108548E-2</v>
      </c>
      <c r="K208" s="254">
        <v>-2.3960241512427004E-2</v>
      </c>
      <c r="L208" s="254">
        <v>-5.7954745815123061E-2</v>
      </c>
      <c r="M208" s="254">
        <v>-3.3804422579384673E-2</v>
      </c>
      <c r="N208" s="253">
        <v>-3.6764768632814325E-2</v>
      </c>
      <c r="O208" s="356">
        <v>-0.96993894029602812</v>
      </c>
      <c r="P208" s="254">
        <v>-0.96993894029602812</v>
      </c>
      <c r="Q208" s="253">
        <v>-0.18417446571946278</v>
      </c>
      <c r="R208" s="253">
        <v>-3.486398667037114E-2</v>
      </c>
      <c r="S208" s="253">
        <v>-0.15617846840695107</v>
      </c>
      <c r="T208" s="253">
        <v>6.0514590610302836E-2</v>
      </c>
      <c r="U208" s="253">
        <v>6.0514590610302836E-2</v>
      </c>
      <c r="V208" s="253">
        <v>-8.9511340007008985E-2</v>
      </c>
      <c r="W208" s="253">
        <v>-8.9511340007008985E-2</v>
      </c>
      <c r="X208" s="253">
        <v>-0.83959081719317219</v>
      </c>
      <c r="Y208" s="253">
        <v>-0.83959081719317219</v>
      </c>
      <c r="Z208" s="253">
        <v>-0.80986166595441056</v>
      </c>
      <c r="AA208" s="816">
        <v>-0.80986166595441056</v>
      </c>
      <c r="AB208" s="445"/>
      <c r="AC208" s="445"/>
      <c r="AD208" s="445"/>
      <c r="AE208" s="334"/>
      <c r="AF208" s="446"/>
      <c r="AG208" s="216"/>
    </row>
    <row r="209" spans="1:27">
      <c r="A209" s="214"/>
      <c r="C209" s="824"/>
      <c r="D209" s="824"/>
      <c r="E209" s="824"/>
      <c r="F209" s="824"/>
      <c r="G209" s="824"/>
      <c r="H209" s="824"/>
      <c r="I209" s="824"/>
      <c r="J209" s="824"/>
      <c r="K209" s="824"/>
      <c r="L209" s="824"/>
      <c r="M209" s="824"/>
      <c r="N209" s="824"/>
      <c r="O209" s="824"/>
      <c r="P209" s="824"/>
      <c r="Q209" s="824"/>
      <c r="R209" s="824"/>
      <c r="S209" s="824"/>
      <c r="T209" s="824"/>
      <c r="U209" s="824"/>
      <c r="V209" s="824"/>
      <c r="W209" s="824"/>
      <c r="X209" s="824"/>
      <c r="Y209" s="824"/>
      <c r="Z209" s="824"/>
      <c r="AA209" s="824"/>
    </row>
    <row r="210" spans="1:27">
      <c r="A210" s="214"/>
    </row>
    <row r="211" spans="1:27">
      <c r="A211" s="214"/>
    </row>
    <row r="212" spans="1:27">
      <c r="A212" s="214"/>
    </row>
    <row r="213" spans="1:27">
      <c r="A213" s="214"/>
    </row>
    <row r="214" spans="1:27">
      <c r="A214" s="214"/>
    </row>
    <row r="215" spans="1:27">
      <c r="A215" s="214"/>
    </row>
    <row r="216" spans="1:27">
      <c r="A216" s="214"/>
    </row>
    <row r="217" spans="1:27">
      <c r="A217" s="214"/>
    </row>
    <row r="218" spans="1:27">
      <c r="A218" s="214"/>
    </row>
    <row r="219" spans="1:27">
      <c r="A219" s="214"/>
    </row>
    <row r="220" spans="1:27">
      <c r="A220" s="214"/>
    </row>
  </sheetData>
  <phoneticPr fontId="0" type="noConversion"/>
  <pageMargins left="0.5" right="0.5" top="1" bottom="1" header="0.5" footer="0.5"/>
  <pageSetup scale="95" pageOrder="overThenDown" orientation="landscape" r:id="rId2"/>
  <headerFooter alignWithMargins="0">
    <oddHeader>&amp;L&amp;"Arial,Bold"&amp;10SREB-State Data Exchange&amp;C&amp;"Arial,Bold"&amp;10Preliminary Tables&amp;R&amp;"Arial,Bold"&amp;10Part 4: FTE Enrollment</oddHeader>
    <oddFooter>&amp;L&amp;"Arial,Bold"&amp;10For Agency Review Only&amp;R&amp;"Arial,Bold"&amp;10October 2009</oddFooter>
  </headerFooter>
  <rowBreaks count="15" manualBreakCount="15">
    <brk id="16" max="16383" man="1"/>
    <brk id="28" max="16383" man="1"/>
    <brk id="40" max="16383" man="1"/>
    <brk id="52" max="16383" man="1"/>
    <brk id="64" max="16383" man="1"/>
    <brk id="76" max="16383" man="1"/>
    <brk id="88" max="16383" man="1"/>
    <brk id="100" max="16383" man="1"/>
    <brk id="112" max="16383" man="1"/>
    <brk id="124" max="16383" man="1"/>
    <brk id="136" max="16383" man="1"/>
    <brk id="148" max="16383" man="1"/>
    <brk id="160" max="16383" man="1"/>
    <brk id="172" max="16383" man="1"/>
    <brk id="184" max="16383" man="1"/>
  </rowBreaks>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9933"/>
  </sheetPr>
  <dimension ref="A1:AA148"/>
  <sheetViews>
    <sheetView zoomScale="80" zoomScaleNormal="80" workbookViewId="0">
      <pane xSplit="2" ySplit="5" topLeftCell="C6" activePane="bottomRight" state="frozen"/>
      <selection pane="topRight" activeCell="C1" sqref="C1"/>
      <selection pane="bottomLeft" activeCell="A6" sqref="A6"/>
      <selection pane="bottomRight"/>
    </sheetView>
  </sheetViews>
  <sheetFormatPr defaultRowHeight="12.75"/>
  <cols>
    <col min="1" max="1" width="5" style="181" customWidth="1"/>
    <col min="2" max="2" width="30.6640625" style="181" customWidth="1"/>
    <col min="3" max="8" width="13.6640625" style="215" customWidth="1"/>
    <col min="9" max="9" width="16.1640625" style="215" customWidth="1"/>
    <col min="10" max="13" width="12.33203125" style="215" customWidth="1"/>
    <col min="14" max="14" width="15.6640625" style="215" customWidth="1"/>
    <col min="15" max="16" width="11.5" style="215" bestFit="1" customWidth="1"/>
    <col min="17" max="18" width="12.5" style="215" customWidth="1"/>
    <col min="19" max="19" width="15.83203125" style="215" customWidth="1"/>
    <col min="20" max="20" width="7.6640625" style="181" customWidth="1"/>
    <col min="21" max="21" width="8.83203125" style="181" customWidth="1"/>
    <col min="22" max="25" width="10.6640625" style="181" bestFit="1" customWidth="1"/>
    <col min="26" max="26" width="8.83203125" style="181" customWidth="1"/>
    <col min="27" max="27" width="10" style="181" customWidth="1"/>
    <col min="28" max="16384" width="9.33203125" style="181"/>
  </cols>
  <sheetData>
    <row r="1" spans="1:27">
      <c r="E1" s="382" t="s">
        <v>162</v>
      </c>
      <c r="L1" s="383"/>
      <c r="M1" s="4"/>
    </row>
    <row r="3" spans="1:27" s="1" customFormat="1">
      <c r="A3" s="363"/>
      <c r="B3" s="364"/>
      <c r="C3" s="384" t="s">
        <v>42</v>
      </c>
      <c r="D3" s="385" t="s">
        <v>104</v>
      </c>
      <c r="E3" s="385"/>
      <c r="F3" s="385"/>
      <c r="G3" s="385"/>
      <c r="H3" s="385"/>
      <c r="I3" s="385"/>
      <c r="J3" s="385"/>
      <c r="K3" s="385"/>
      <c r="L3" s="385"/>
      <c r="M3" s="385"/>
      <c r="N3" s="385"/>
      <c r="O3" s="385"/>
      <c r="P3" s="385"/>
      <c r="Q3" s="385"/>
      <c r="R3" s="385"/>
      <c r="S3" s="385"/>
      <c r="T3" s="366"/>
      <c r="U3" s="366"/>
      <c r="V3" s="366"/>
      <c r="W3" s="367"/>
      <c r="X3" s="366"/>
      <c r="Y3" s="366"/>
      <c r="Z3" s="366"/>
      <c r="AA3" s="367"/>
    </row>
    <row r="4" spans="1:27" s="1" customFormat="1">
      <c r="A4" s="183"/>
      <c r="B4" s="184"/>
      <c r="C4" s="384" t="s">
        <v>62</v>
      </c>
      <c r="D4" s="385"/>
      <c r="E4" s="385"/>
      <c r="F4" s="385"/>
      <c r="G4" s="385"/>
      <c r="H4" s="385"/>
      <c r="I4" s="384" t="s">
        <v>275</v>
      </c>
      <c r="J4" s="384" t="s">
        <v>276</v>
      </c>
      <c r="K4" s="385"/>
      <c r="L4" s="385"/>
      <c r="M4" s="385"/>
      <c r="N4" s="384" t="s">
        <v>277</v>
      </c>
      <c r="O4" s="384">
        <v>11</v>
      </c>
      <c r="P4" s="385" t="s">
        <v>739</v>
      </c>
      <c r="Q4" s="384" t="s">
        <v>24</v>
      </c>
      <c r="R4" s="384"/>
      <c r="S4" s="384" t="s">
        <v>23</v>
      </c>
      <c r="T4" s="368">
        <v>99</v>
      </c>
      <c r="U4" s="368" t="s">
        <v>740</v>
      </c>
      <c r="V4" s="368" t="s">
        <v>644</v>
      </c>
      <c r="W4" s="369" t="s">
        <v>741</v>
      </c>
      <c r="X4" s="368" t="s">
        <v>646</v>
      </c>
      <c r="Y4" s="368" t="s">
        <v>742</v>
      </c>
      <c r="Z4" s="368" t="s">
        <v>145</v>
      </c>
      <c r="AA4" s="369" t="s">
        <v>743</v>
      </c>
    </row>
    <row r="5" spans="1:27" s="1" customFormat="1">
      <c r="A5" s="363" t="s">
        <v>105</v>
      </c>
      <c r="B5" s="363" t="s">
        <v>58</v>
      </c>
      <c r="C5" s="384">
        <v>1</v>
      </c>
      <c r="D5" s="386">
        <v>2</v>
      </c>
      <c r="E5" s="386">
        <v>3</v>
      </c>
      <c r="F5" s="386">
        <v>4</v>
      </c>
      <c r="G5" s="386">
        <v>5</v>
      </c>
      <c r="H5" s="386">
        <v>6</v>
      </c>
      <c r="I5" s="387"/>
      <c r="J5" s="384">
        <v>7</v>
      </c>
      <c r="K5" s="386">
        <v>8</v>
      </c>
      <c r="L5" s="386">
        <v>9</v>
      </c>
      <c r="M5" s="386">
        <v>10</v>
      </c>
      <c r="N5" s="387"/>
      <c r="O5" s="384">
        <v>11</v>
      </c>
      <c r="P5" s="386"/>
      <c r="Q5" s="387">
        <v>12</v>
      </c>
      <c r="R5" s="384">
        <v>13</v>
      </c>
      <c r="S5" s="387"/>
      <c r="T5" s="368">
        <v>99</v>
      </c>
      <c r="U5" s="370"/>
      <c r="V5" s="368" t="s">
        <v>644</v>
      </c>
      <c r="W5" s="371"/>
      <c r="X5" s="368" t="s">
        <v>646</v>
      </c>
      <c r="Y5" s="370"/>
      <c r="Z5" s="368" t="s">
        <v>145</v>
      </c>
      <c r="AA5" s="371"/>
    </row>
    <row r="6" spans="1:27">
      <c r="A6" s="365" t="s">
        <v>281</v>
      </c>
      <c r="B6" s="384" t="s">
        <v>10</v>
      </c>
      <c r="C6" s="388">
        <v>1323559</v>
      </c>
      <c r="D6" s="389">
        <v>420465</v>
      </c>
      <c r="E6" s="389">
        <v>1010120</v>
      </c>
      <c r="F6" s="389">
        <v>432241</v>
      </c>
      <c r="G6" s="389">
        <v>124756</v>
      </c>
      <c r="H6" s="389">
        <v>85702</v>
      </c>
      <c r="I6" s="388">
        <v>3396843</v>
      </c>
      <c r="J6" s="388">
        <v>0</v>
      </c>
      <c r="K6" s="389">
        <v>801324</v>
      </c>
      <c r="L6" s="389">
        <v>1150347</v>
      </c>
      <c r="M6" s="389">
        <v>283170</v>
      </c>
      <c r="N6" s="388">
        <v>2234841</v>
      </c>
      <c r="O6" s="388">
        <v>0</v>
      </c>
      <c r="P6" s="389">
        <v>0</v>
      </c>
      <c r="Q6" s="388">
        <v>49502</v>
      </c>
      <c r="R6" s="388">
        <v>74055</v>
      </c>
      <c r="S6" s="388">
        <v>123557</v>
      </c>
      <c r="T6" s="372">
        <v>0</v>
      </c>
      <c r="U6" s="372">
        <v>0</v>
      </c>
      <c r="V6" s="372">
        <v>0</v>
      </c>
      <c r="W6" s="373">
        <v>0</v>
      </c>
      <c r="X6" s="372">
        <v>0</v>
      </c>
      <c r="Y6" s="372">
        <v>0</v>
      </c>
      <c r="Z6" s="372">
        <v>0</v>
      </c>
      <c r="AA6" s="373">
        <v>0</v>
      </c>
    </row>
    <row r="7" spans="1:27" s="1" customFormat="1">
      <c r="A7" s="182"/>
      <c r="B7" s="477" t="s">
        <v>14</v>
      </c>
      <c r="C7" s="390">
        <v>1712</v>
      </c>
      <c r="D7" s="107">
        <v>471</v>
      </c>
      <c r="E7" s="107">
        <v>2585</v>
      </c>
      <c r="F7" s="107">
        <v>2650</v>
      </c>
      <c r="G7" s="107">
        <v>158</v>
      </c>
      <c r="H7" s="107">
        <v>0</v>
      </c>
      <c r="I7" s="390">
        <v>7576</v>
      </c>
      <c r="J7" s="390">
        <v>0</v>
      </c>
      <c r="K7" s="107">
        <v>22803</v>
      </c>
      <c r="L7" s="107">
        <v>23672</v>
      </c>
      <c r="M7" s="107">
        <v>9053</v>
      </c>
      <c r="N7" s="390">
        <v>55528</v>
      </c>
      <c r="O7" s="390">
        <v>0</v>
      </c>
      <c r="P7" s="107">
        <v>0</v>
      </c>
      <c r="Q7" s="390">
        <v>93</v>
      </c>
      <c r="R7" s="390">
        <v>1566</v>
      </c>
      <c r="S7" s="390">
        <v>1659</v>
      </c>
      <c r="T7" s="374">
        <v>0</v>
      </c>
      <c r="U7" s="374">
        <v>0</v>
      </c>
      <c r="V7" s="374">
        <v>0</v>
      </c>
      <c r="W7" s="375">
        <v>0</v>
      </c>
      <c r="X7" s="374">
        <v>0</v>
      </c>
      <c r="Y7" s="374">
        <v>0</v>
      </c>
      <c r="Z7" s="374">
        <v>0</v>
      </c>
      <c r="AA7" s="375">
        <v>0</v>
      </c>
    </row>
    <row r="8" spans="1:27">
      <c r="A8" s="182"/>
      <c r="B8" s="476" t="s">
        <v>16</v>
      </c>
      <c r="C8" s="476">
        <v>1.2934821945980496E-3</v>
      </c>
      <c r="D8" s="735">
        <v>1.1201883628839499E-3</v>
      </c>
      <c r="E8" s="735">
        <v>2.5591018888844888E-3</v>
      </c>
      <c r="F8" s="735">
        <v>6.1308390458100917E-3</v>
      </c>
      <c r="G8" s="735">
        <v>1.266472153643913E-3</v>
      </c>
      <c r="H8" s="735">
        <v>0</v>
      </c>
      <c r="I8" s="476">
        <v>2.2303061990206789E-3</v>
      </c>
      <c r="J8" s="476">
        <v>0</v>
      </c>
      <c r="K8" s="735">
        <v>2.8456654237237373E-2</v>
      </c>
      <c r="L8" s="735">
        <v>2.0578138596440899E-2</v>
      </c>
      <c r="M8" s="735">
        <v>3.1970194582759473E-2</v>
      </c>
      <c r="N8" s="476">
        <v>2.4846510333397319E-2</v>
      </c>
      <c r="O8" s="476">
        <v>0</v>
      </c>
      <c r="P8" s="735">
        <v>0</v>
      </c>
      <c r="Q8" s="476">
        <v>1.8787119712334855E-3</v>
      </c>
      <c r="R8" s="476">
        <v>2.1146445209641481E-2</v>
      </c>
      <c r="S8" s="476">
        <v>1.3427001303042321E-2</v>
      </c>
      <c r="T8" s="376">
        <v>0</v>
      </c>
      <c r="U8" s="376">
        <v>0</v>
      </c>
      <c r="V8" s="376">
        <v>0</v>
      </c>
      <c r="W8" s="377">
        <v>0</v>
      </c>
      <c r="X8" s="376">
        <v>0</v>
      </c>
      <c r="Y8" s="376">
        <v>0</v>
      </c>
      <c r="Z8" s="376">
        <v>0</v>
      </c>
      <c r="AA8" s="377">
        <v>0</v>
      </c>
    </row>
    <row r="9" spans="1:27" s="1" customFormat="1">
      <c r="A9" s="182"/>
      <c r="B9" s="477" t="s">
        <v>11</v>
      </c>
      <c r="C9" s="390">
        <v>1373758</v>
      </c>
      <c r="D9" s="107">
        <v>422044</v>
      </c>
      <c r="E9" s="107">
        <v>889236</v>
      </c>
      <c r="F9" s="107">
        <v>422023</v>
      </c>
      <c r="G9" s="107">
        <v>125742</v>
      </c>
      <c r="H9" s="107">
        <v>83586</v>
      </c>
      <c r="I9" s="390">
        <v>3316389</v>
      </c>
      <c r="J9" s="390">
        <v>0</v>
      </c>
      <c r="K9" s="107">
        <v>733639</v>
      </c>
      <c r="L9" s="107">
        <v>1027053</v>
      </c>
      <c r="M9" s="107">
        <v>256243</v>
      </c>
      <c r="N9" s="390">
        <v>2016935</v>
      </c>
      <c r="O9" s="390">
        <v>0</v>
      </c>
      <c r="P9" s="107">
        <v>0</v>
      </c>
      <c r="Q9" s="390">
        <v>40478</v>
      </c>
      <c r="R9" s="390">
        <v>63064</v>
      </c>
      <c r="S9" s="390">
        <v>103542</v>
      </c>
      <c r="T9" s="374">
        <v>0</v>
      </c>
      <c r="U9" s="374">
        <v>0</v>
      </c>
      <c r="V9" s="374">
        <v>0</v>
      </c>
      <c r="W9" s="375">
        <v>0</v>
      </c>
      <c r="X9" s="374">
        <v>0</v>
      </c>
      <c r="Y9" s="374">
        <v>0</v>
      </c>
      <c r="Z9" s="374">
        <v>0</v>
      </c>
      <c r="AA9" s="375">
        <v>0</v>
      </c>
    </row>
    <row r="10" spans="1:27">
      <c r="A10" s="182"/>
      <c r="B10" s="477" t="s">
        <v>15</v>
      </c>
      <c r="C10" s="390">
        <v>2295</v>
      </c>
      <c r="D10" s="107">
        <v>482</v>
      </c>
      <c r="E10" s="107">
        <v>1617</v>
      </c>
      <c r="F10" s="107">
        <v>3002</v>
      </c>
      <c r="G10" s="107">
        <v>191</v>
      </c>
      <c r="H10" s="107">
        <v>0</v>
      </c>
      <c r="I10" s="390">
        <v>7587</v>
      </c>
      <c r="J10" s="390">
        <v>0</v>
      </c>
      <c r="K10" s="107">
        <v>22650</v>
      </c>
      <c r="L10" s="107">
        <v>24378</v>
      </c>
      <c r="M10" s="107">
        <v>7193</v>
      </c>
      <c r="N10" s="390">
        <v>54221</v>
      </c>
      <c r="O10" s="390">
        <v>0</v>
      </c>
      <c r="P10" s="107">
        <v>0</v>
      </c>
      <c r="Q10" s="390">
        <v>210</v>
      </c>
      <c r="R10" s="390">
        <v>3371</v>
      </c>
      <c r="S10" s="390">
        <v>3581</v>
      </c>
      <c r="T10" s="374">
        <v>0</v>
      </c>
      <c r="U10" s="374">
        <v>0</v>
      </c>
      <c r="V10" s="374">
        <v>0</v>
      </c>
      <c r="W10" s="375">
        <v>0</v>
      </c>
      <c r="X10" s="374">
        <v>0</v>
      </c>
      <c r="Y10" s="374">
        <v>0</v>
      </c>
      <c r="Z10" s="374">
        <v>0</v>
      </c>
      <c r="AA10" s="375">
        <v>0</v>
      </c>
    </row>
    <row r="11" spans="1:27" s="1" customFormat="1">
      <c r="A11" s="182"/>
      <c r="B11" s="475" t="s">
        <v>17</v>
      </c>
      <c r="C11" s="476">
        <v>1.6705999164336076E-3</v>
      </c>
      <c r="D11" s="735">
        <v>1.1420610173346855E-3</v>
      </c>
      <c r="E11" s="735">
        <v>1.8184149089780441E-3</v>
      </c>
      <c r="F11" s="735">
        <v>7.1133563810503219E-3</v>
      </c>
      <c r="G11" s="735">
        <v>1.5189833150419112E-3</v>
      </c>
      <c r="H11" s="735">
        <v>0</v>
      </c>
      <c r="I11" s="476">
        <v>2.2877292139130844E-3</v>
      </c>
      <c r="J11" s="476">
        <v>0</v>
      </c>
      <c r="K11" s="735">
        <v>3.0873495002310399E-2</v>
      </c>
      <c r="L11" s="735">
        <v>2.3735873416464388E-2</v>
      </c>
      <c r="M11" s="735">
        <v>2.8071010720292847E-2</v>
      </c>
      <c r="N11" s="476">
        <v>2.6882869304166966E-2</v>
      </c>
      <c r="O11" s="476">
        <v>0</v>
      </c>
      <c r="P11" s="735">
        <v>0</v>
      </c>
      <c r="Q11" s="476">
        <v>5.188003359849795E-3</v>
      </c>
      <c r="R11" s="475">
        <v>5.345363440314601E-2</v>
      </c>
      <c r="S11" s="475">
        <v>3.4584999323945841E-2</v>
      </c>
      <c r="T11" s="378">
        <v>0</v>
      </c>
      <c r="U11" s="378">
        <v>0</v>
      </c>
      <c r="V11" s="378">
        <v>0</v>
      </c>
      <c r="W11" s="379">
        <v>0</v>
      </c>
      <c r="X11" s="378">
        <v>0</v>
      </c>
      <c r="Y11" s="378">
        <v>0</v>
      </c>
      <c r="Z11" s="378">
        <v>0</v>
      </c>
      <c r="AA11" s="379">
        <v>0</v>
      </c>
    </row>
    <row r="12" spans="1:27">
      <c r="A12" s="185"/>
      <c r="B12" s="474" t="s">
        <v>229</v>
      </c>
      <c r="C12" s="736">
        <v>3.7711772183555807E-4</v>
      </c>
      <c r="D12" s="737">
        <v>2.1872654450735612E-5</v>
      </c>
      <c r="E12" s="737">
        <v>-7.4068697990644478E-4</v>
      </c>
      <c r="F12" s="737">
        <v>9.8251733524023013E-4</v>
      </c>
      <c r="G12" s="737">
        <v>2.5251116139799823E-4</v>
      </c>
      <c r="H12" s="737">
        <v>0</v>
      </c>
      <c r="I12" s="736">
        <v>5.7423014892405474E-5</v>
      </c>
      <c r="J12" s="736">
        <v>0</v>
      </c>
      <c r="K12" s="737">
        <v>2.4168407650730257E-3</v>
      </c>
      <c r="L12" s="737">
        <v>3.1577348200234889E-3</v>
      </c>
      <c r="M12" s="737">
        <v>-3.8991838624666264E-3</v>
      </c>
      <c r="N12" s="736">
        <v>2.0363589707696472E-3</v>
      </c>
      <c r="O12" s="736">
        <v>0</v>
      </c>
      <c r="P12" s="737">
        <v>0</v>
      </c>
      <c r="Q12" s="736">
        <v>3.3092913886163095E-3</v>
      </c>
      <c r="R12" s="771">
        <v>3.2307189193504532E-2</v>
      </c>
      <c r="S12" s="736">
        <v>2.1157998020903519E-2</v>
      </c>
      <c r="T12" s="380">
        <v>0</v>
      </c>
      <c r="U12" s="380">
        <v>0</v>
      </c>
      <c r="V12" s="380">
        <v>0</v>
      </c>
      <c r="W12" s="381">
        <v>0</v>
      </c>
      <c r="X12" s="380">
        <v>0</v>
      </c>
      <c r="Y12" s="380">
        <v>0</v>
      </c>
      <c r="Z12" s="380">
        <v>0</v>
      </c>
      <c r="AA12" s="381">
        <v>0</v>
      </c>
    </row>
    <row r="13" spans="1:27" s="1" customFormat="1">
      <c r="A13" s="365" t="s">
        <v>704</v>
      </c>
      <c r="B13" s="384" t="s">
        <v>10</v>
      </c>
      <c r="C13" s="388">
        <v>525893</v>
      </c>
      <c r="D13" s="389">
        <v>0</v>
      </c>
      <c r="E13" s="389">
        <v>1000981</v>
      </c>
      <c r="F13" s="389">
        <v>181587</v>
      </c>
      <c r="G13" s="389">
        <v>72002</v>
      </c>
      <c r="H13" s="389">
        <v>273850</v>
      </c>
      <c r="I13" s="388">
        <v>2054313</v>
      </c>
      <c r="J13" s="388">
        <v>0</v>
      </c>
      <c r="K13" s="389">
        <v>435246</v>
      </c>
      <c r="L13" s="389">
        <v>191720</v>
      </c>
      <c r="M13" s="389">
        <v>709995</v>
      </c>
      <c r="N13" s="388">
        <v>1336961</v>
      </c>
      <c r="O13" s="388">
        <v>0</v>
      </c>
      <c r="P13" s="389">
        <v>0</v>
      </c>
      <c r="Q13" s="388">
        <v>0</v>
      </c>
      <c r="R13" s="388">
        <v>0</v>
      </c>
      <c r="S13" s="388">
        <v>0</v>
      </c>
      <c r="T13" s="372">
        <v>0</v>
      </c>
      <c r="U13" s="372">
        <v>0</v>
      </c>
      <c r="V13" s="372">
        <v>0</v>
      </c>
      <c r="W13" s="373">
        <v>0</v>
      </c>
      <c r="X13" s="372">
        <v>0</v>
      </c>
      <c r="Y13" s="372">
        <v>0</v>
      </c>
      <c r="Z13" s="372">
        <v>0</v>
      </c>
      <c r="AA13" s="373">
        <v>0</v>
      </c>
    </row>
    <row r="14" spans="1:27" s="1" customFormat="1">
      <c r="A14" s="182"/>
      <c r="B14" s="477" t="s">
        <v>14</v>
      </c>
      <c r="C14" s="390">
        <v>98</v>
      </c>
      <c r="D14" s="107">
        <v>0</v>
      </c>
      <c r="E14" s="107">
        <v>25858</v>
      </c>
      <c r="F14" s="107">
        <v>724</v>
      </c>
      <c r="G14" s="107">
        <v>3921</v>
      </c>
      <c r="H14" s="107">
        <v>1805</v>
      </c>
      <c r="I14" s="390">
        <v>32406</v>
      </c>
      <c r="J14" s="390">
        <v>0</v>
      </c>
      <c r="K14" s="107">
        <v>8741</v>
      </c>
      <c r="L14" s="107">
        <v>11484</v>
      </c>
      <c r="M14" s="107">
        <v>37626</v>
      </c>
      <c r="N14" s="390">
        <v>57851</v>
      </c>
      <c r="O14" s="390">
        <v>0</v>
      </c>
      <c r="P14" s="107">
        <v>0</v>
      </c>
      <c r="Q14" s="390">
        <v>0</v>
      </c>
      <c r="R14" s="390">
        <v>0</v>
      </c>
      <c r="S14" s="390">
        <v>0</v>
      </c>
      <c r="T14" s="374">
        <v>0</v>
      </c>
      <c r="U14" s="374">
        <v>0</v>
      </c>
      <c r="V14" s="374">
        <v>0</v>
      </c>
      <c r="W14" s="375">
        <v>0</v>
      </c>
      <c r="X14" s="374">
        <v>0</v>
      </c>
      <c r="Y14" s="374">
        <v>0</v>
      </c>
      <c r="Z14" s="374">
        <v>0</v>
      </c>
      <c r="AA14" s="375">
        <v>0</v>
      </c>
    </row>
    <row r="15" spans="1:27">
      <c r="A15" s="182"/>
      <c r="B15" s="476" t="s">
        <v>16</v>
      </c>
      <c r="C15" s="476">
        <v>1.8634969470976035E-4</v>
      </c>
      <c r="D15" s="735">
        <v>0</v>
      </c>
      <c r="E15" s="735">
        <v>2.5832658162342741E-2</v>
      </c>
      <c r="F15" s="735">
        <v>3.9870695589441976E-3</v>
      </c>
      <c r="G15" s="735">
        <v>5.4456820643871001E-2</v>
      </c>
      <c r="H15" s="735">
        <v>6.5911995618039071E-3</v>
      </c>
      <c r="I15" s="476">
        <v>1.5774616623659587E-2</v>
      </c>
      <c r="J15" s="476">
        <v>0</v>
      </c>
      <c r="K15" s="735">
        <v>2.0082895649816426E-2</v>
      </c>
      <c r="L15" s="735">
        <v>5.9899853953682455E-2</v>
      </c>
      <c r="M15" s="735">
        <v>5.2994739399573235E-2</v>
      </c>
      <c r="N15" s="476">
        <v>4.3270521728008521E-2</v>
      </c>
      <c r="O15" s="476">
        <v>0</v>
      </c>
      <c r="P15" s="735">
        <v>0</v>
      </c>
      <c r="Q15" s="476">
        <v>0</v>
      </c>
      <c r="R15" s="476">
        <v>0</v>
      </c>
      <c r="S15" s="476">
        <v>0</v>
      </c>
      <c r="T15" s="376">
        <v>0</v>
      </c>
      <c r="U15" s="376">
        <v>0</v>
      </c>
      <c r="V15" s="376">
        <v>0</v>
      </c>
      <c r="W15" s="377">
        <v>0</v>
      </c>
      <c r="X15" s="376">
        <v>0</v>
      </c>
      <c r="Y15" s="376">
        <v>0</v>
      </c>
      <c r="Z15" s="376">
        <v>0</v>
      </c>
      <c r="AA15" s="377">
        <v>0</v>
      </c>
    </row>
    <row r="16" spans="1:27" s="1" customFormat="1">
      <c r="A16" s="182"/>
      <c r="B16" s="477" t="s">
        <v>11</v>
      </c>
      <c r="C16" s="390">
        <v>569634</v>
      </c>
      <c r="D16" s="107">
        <v>0</v>
      </c>
      <c r="E16" s="107">
        <v>998909</v>
      </c>
      <c r="F16" s="107">
        <v>177370</v>
      </c>
      <c r="G16" s="107">
        <v>70604</v>
      </c>
      <c r="H16" s="107">
        <v>258624</v>
      </c>
      <c r="I16" s="390">
        <v>2075141</v>
      </c>
      <c r="J16" s="390">
        <v>0</v>
      </c>
      <c r="K16" s="107">
        <v>426380</v>
      </c>
      <c r="L16" s="107">
        <v>178317</v>
      </c>
      <c r="M16" s="107">
        <v>661070</v>
      </c>
      <c r="N16" s="390">
        <v>1265767</v>
      </c>
      <c r="O16" s="390">
        <v>0</v>
      </c>
      <c r="P16" s="107">
        <v>0</v>
      </c>
      <c r="Q16" s="390">
        <v>0</v>
      </c>
      <c r="R16" s="390">
        <v>0</v>
      </c>
      <c r="S16" s="390">
        <v>0</v>
      </c>
      <c r="T16" s="374">
        <v>0</v>
      </c>
      <c r="U16" s="374">
        <v>0</v>
      </c>
      <c r="V16" s="374">
        <v>0</v>
      </c>
      <c r="W16" s="375">
        <v>0</v>
      </c>
      <c r="X16" s="374">
        <v>0</v>
      </c>
      <c r="Y16" s="374">
        <v>0</v>
      </c>
      <c r="Z16" s="374">
        <v>0</v>
      </c>
      <c r="AA16" s="375">
        <v>0</v>
      </c>
    </row>
    <row r="17" spans="1:27">
      <c r="A17" s="182"/>
      <c r="B17" s="477" t="s">
        <v>15</v>
      </c>
      <c r="C17" s="390">
        <v>129</v>
      </c>
      <c r="D17" s="107">
        <v>0</v>
      </c>
      <c r="E17" s="107">
        <v>27142</v>
      </c>
      <c r="F17" s="107">
        <v>1043</v>
      </c>
      <c r="G17" s="107">
        <v>4390</v>
      </c>
      <c r="H17" s="107">
        <v>1530</v>
      </c>
      <c r="I17" s="390">
        <v>34234</v>
      </c>
      <c r="J17" s="390">
        <v>0</v>
      </c>
      <c r="K17" s="107">
        <v>7661</v>
      </c>
      <c r="L17" s="107">
        <v>11083</v>
      </c>
      <c r="M17" s="107">
        <v>41366</v>
      </c>
      <c r="N17" s="390">
        <v>60110</v>
      </c>
      <c r="O17" s="390">
        <v>0</v>
      </c>
      <c r="P17" s="107">
        <v>0</v>
      </c>
      <c r="Q17" s="390">
        <v>0</v>
      </c>
      <c r="R17" s="390">
        <v>0</v>
      </c>
      <c r="S17" s="390">
        <v>0</v>
      </c>
      <c r="T17" s="374">
        <v>0</v>
      </c>
      <c r="U17" s="374">
        <v>0</v>
      </c>
      <c r="V17" s="374">
        <v>0</v>
      </c>
      <c r="W17" s="375">
        <v>0</v>
      </c>
      <c r="X17" s="374">
        <v>0</v>
      </c>
      <c r="Y17" s="374">
        <v>0</v>
      </c>
      <c r="Z17" s="374">
        <v>0</v>
      </c>
      <c r="AA17" s="375">
        <v>0</v>
      </c>
    </row>
    <row r="18" spans="1:27" s="1" customFormat="1">
      <c r="A18" s="182"/>
      <c r="B18" s="475" t="s">
        <v>17</v>
      </c>
      <c r="C18" s="476">
        <v>2.2646120140300613E-4</v>
      </c>
      <c r="D18" s="735">
        <v>0</v>
      </c>
      <c r="E18" s="735">
        <v>2.7171644263891907E-2</v>
      </c>
      <c r="F18" s="735">
        <v>5.8803630828212208E-3</v>
      </c>
      <c r="G18" s="735">
        <v>6.2177780295733953E-2</v>
      </c>
      <c r="H18" s="735">
        <v>5.9159242761692649E-3</v>
      </c>
      <c r="I18" s="476">
        <v>1.6497192238985207E-2</v>
      </c>
      <c r="J18" s="476">
        <v>0</v>
      </c>
      <c r="K18" s="735">
        <v>1.7967540691402037E-2</v>
      </c>
      <c r="L18" s="735">
        <v>6.2153356101773805E-2</v>
      </c>
      <c r="M18" s="735">
        <v>6.2574311343730621E-2</v>
      </c>
      <c r="N18" s="476">
        <v>4.7488992839914458E-2</v>
      </c>
      <c r="O18" s="476">
        <v>0</v>
      </c>
      <c r="P18" s="735">
        <v>0</v>
      </c>
      <c r="Q18" s="476">
        <v>0</v>
      </c>
      <c r="R18" s="475">
        <v>0</v>
      </c>
      <c r="S18" s="475">
        <v>0</v>
      </c>
      <c r="T18" s="378">
        <v>0</v>
      </c>
      <c r="U18" s="378">
        <v>0</v>
      </c>
      <c r="V18" s="378">
        <v>0</v>
      </c>
      <c r="W18" s="379">
        <v>0</v>
      </c>
      <c r="X18" s="378">
        <v>0</v>
      </c>
      <c r="Y18" s="378">
        <v>0</v>
      </c>
      <c r="Z18" s="378">
        <v>0</v>
      </c>
      <c r="AA18" s="379">
        <v>0</v>
      </c>
    </row>
    <row r="19" spans="1:27">
      <c r="A19" s="185"/>
      <c r="B19" s="474" t="s">
        <v>229</v>
      </c>
      <c r="C19" s="736">
        <v>4.0111506693245774E-5</v>
      </c>
      <c r="D19" s="737">
        <v>0</v>
      </c>
      <c r="E19" s="737">
        <v>1.3389861015491653E-3</v>
      </c>
      <c r="F19" s="737">
        <v>1.8932935238770232E-3</v>
      </c>
      <c r="G19" s="737">
        <v>7.720959651862952E-3</v>
      </c>
      <c r="H19" s="737">
        <v>-6.7527528563464216E-4</v>
      </c>
      <c r="I19" s="736">
        <v>7.2257561532561992E-4</v>
      </c>
      <c r="J19" s="736">
        <v>0</v>
      </c>
      <c r="K19" s="737">
        <v>-2.1153549584143894E-3</v>
      </c>
      <c r="L19" s="737">
        <v>2.2535021480913492E-3</v>
      </c>
      <c r="M19" s="772">
        <v>9.5795719441573862E-3</v>
      </c>
      <c r="N19" s="736">
        <v>4.2184711119059373E-3</v>
      </c>
      <c r="O19" s="736">
        <v>0</v>
      </c>
      <c r="P19" s="737">
        <v>0</v>
      </c>
      <c r="Q19" s="736">
        <v>0</v>
      </c>
      <c r="R19" s="736">
        <v>0</v>
      </c>
      <c r="S19" s="736">
        <v>0</v>
      </c>
      <c r="T19" s="380">
        <v>0</v>
      </c>
      <c r="U19" s="380">
        <v>0</v>
      </c>
      <c r="V19" s="380">
        <v>0</v>
      </c>
      <c r="W19" s="381">
        <v>0</v>
      </c>
      <c r="X19" s="380">
        <v>0</v>
      </c>
      <c r="Y19" s="380">
        <v>0</v>
      </c>
      <c r="Z19" s="380">
        <v>0</v>
      </c>
      <c r="AA19" s="381">
        <v>0</v>
      </c>
    </row>
    <row r="20" spans="1:27" s="1" customFormat="1">
      <c r="A20" s="365" t="s">
        <v>816</v>
      </c>
      <c r="B20" s="384" t="s">
        <v>10</v>
      </c>
      <c r="C20" s="388">
        <v>0</v>
      </c>
      <c r="D20" s="389">
        <v>0</v>
      </c>
      <c r="E20" s="389">
        <v>0</v>
      </c>
      <c r="F20" s="389">
        <v>0</v>
      </c>
      <c r="G20" s="389">
        <v>0</v>
      </c>
      <c r="H20" s="389">
        <v>0</v>
      </c>
      <c r="I20" s="388">
        <v>0</v>
      </c>
      <c r="J20" s="388">
        <v>0</v>
      </c>
      <c r="K20" s="389">
        <v>0</v>
      </c>
      <c r="L20" s="389">
        <v>0</v>
      </c>
      <c r="M20" s="389">
        <v>0</v>
      </c>
      <c r="N20" s="388">
        <v>0</v>
      </c>
      <c r="O20" s="388">
        <v>0</v>
      </c>
      <c r="P20" s="389">
        <v>0</v>
      </c>
      <c r="Q20" s="388">
        <v>0</v>
      </c>
      <c r="R20" s="388">
        <v>0</v>
      </c>
      <c r="S20" s="388">
        <v>0</v>
      </c>
      <c r="T20" s="372">
        <v>0</v>
      </c>
      <c r="U20" s="372">
        <v>0</v>
      </c>
      <c r="V20" s="372">
        <v>0</v>
      </c>
      <c r="W20" s="373">
        <v>0</v>
      </c>
      <c r="X20" s="372">
        <v>0</v>
      </c>
      <c r="Y20" s="372">
        <v>0</v>
      </c>
      <c r="Z20" s="372">
        <v>0</v>
      </c>
      <c r="AA20" s="373">
        <v>0</v>
      </c>
    </row>
    <row r="21" spans="1:27">
      <c r="A21" s="182"/>
      <c r="B21" s="477" t="s">
        <v>14</v>
      </c>
      <c r="C21" s="390">
        <v>0</v>
      </c>
      <c r="D21" s="107">
        <v>0</v>
      </c>
      <c r="E21" s="107">
        <v>0</v>
      </c>
      <c r="F21" s="107">
        <v>0</v>
      </c>
      <c r="G21" s="107">
        <v>0</v>
      </c>
      <c r="H21" s="107">
        <v>0</v>
      </c>
      <c r="I21" s="390">
        <v>0</v>
      </c>
      <c r="J21" s="390">
        <v>0</v>
      </c>
      <c r="K21" s="107">
        <v>0</v>
      </c>
      <c r="L21" s="107">
        <v>0</v>
      </c>
      <c r="M21" s="107">
        <v>0</v>
      </c>
      <c r="N21" s="390">
        <v>0</v>
      </c>
      <c r="O21" s="390">
        <v>0</v>
      </c>
      <c r="P21" s="107">
        <v>0</v>
      </c>
      <c r="Q21" s="390">
        <v>0</v>
      </c>
      <c r="R21" s="390">
        <v>0</v>
      </c>
      <c r="S21" s="390">
        <v>0</v>
      </c>
      <c r="T21" s="374">
        <v>0</v>
      </c>
      <c r="U21" s="374">
        <v>0</v>
      </c>
      <c r="V21" s="374">
        <v>0</v>
      </c>
      <c r="W21" s="375">
        <v>0</v>
      </c>
      <c r="X21" s="374">
        <v>0</v>
      </c>
      <c r="Y21" s="374">
        <v>0</v>
      </c>
      <c r="Z21" s="374">
        <v>0</v>
      </c>
      <c r="AA21" s="375">
        <v>0</v>
      </c>
    </row>
    <row r="22" spans="1:27" s="1" customFormat="1">
      <c r="A22" s="182"/>
      <c r="B22" s="476" t="s">
        <v>16</v>
      </c>
      <c r="C22" s="476">
        <v>0</v>
      </c>
      <c r="D22" s="735">
        <v>0</v>
      </c>
      <c r="E22" s="735">
        <v>0</v>
      </c>
      <c r="F22" s="735">
        <v>0</v>
      </c>
      <c r="G22" s="735">
        <v>0</v>
      </c>
      <c r="H22" s="735">
        <v>0</v>
      </c>
      <c r="I22" s="476">
        <v>0</v>
      </c>
      <c r="J22" s="476">
        <v>0</v>
      </c>
      <c r="K22" s="735">
        <v>0</v>
      </c>
      <c r="L22" s="735">
        <v>0</v>
      </c>
      <c r="M22" s="735">
        <v>0</v>
      </c>
      <c r="N22" s="476">
        <v>0</v>
      </c>
      <c r="O22" s="476">
        <v>0</v>
      </c>
      <c r="P22" s="735">
        <v>0</v>
      </c>
      <c r="Q22" s="476">
        <v>0</v>
      </c>
      <c r="R22" s="476">
        <v>0</v>
      </c>
      <c r="S22" s="476">
        <v>0</v>
      </c>
      <c r="T22" s="376">
        <v>0</v>
      </c>
      <c r="U22" s="376">
        <v>0</v>
      </c>
      <c r="V22" s="376">
        <v>0</v>
      </c>
      <c r="W22" s="377">
        <v>0</v>
      </c>
      <c r="X22" s="376">
        <v>0</v>
      </c>
      <c r="Y22" s="376">
        <v>0</v>
      </c>
      <c r="Z22" s="376">
        <v>0</v>
      </c>
      <c r="AA22" s="377">
        <v>0</v>
      </c>
    </row>
    <row r="23" spans="1:27">
      <c r="A23" s="182"/>
      <c r="B23" s="477" t="s">
        <v>11</v>
      </c>
      <c r="C23" s="390">
        <v>0</v>
      </c>
      <c r="D23" s="107">
        <v>0</v>
      </c>
      <c r="E23" s="107">
        <v>0</v>
      </c>
      <c r="F23" s="107">
        <v>0</v>
      </c>
      <c r="G23" s="107">
        <v>0</v>
      </c>
      <c r="H23" s="107">
        <v>0</v>
      </c>
      <c r="I23" s="390">
        <v>0</v>
      </c>
      <c r="J23" s="390">
        <v>0</v>
      </c>
      <c r="K23" s="107">
        <v>0</v>
      </c>
      <c r="L23" s="107">
        <v>0</v>
      </c>
      <c r="M23" s="107">
        <v>0</v>
      </c>
      <c r="N23" s="390">
        <v>0</v>
      </c>
      <c r="O23" s="390">
        <v>0</v>
      </c>
      <c r="P23" s="107">
        <v>0</v>
      </c>
      <c r="Q23" s="390">
        <v>0</v>
      </c>
      <c r="R23" s="390">
        <v>0</v>
      </c>
      <c r="S23" s="390">
        <v>0</v>
      </c>
      <c r="T23" s="374">
        <v>0</v>
      </c>
      <c r="U23" s="374">
        <v>0</v>
      </c>
      <c r="V23" s="374">
        <v>0</v>
      </c>
      <c r="W23" s="375">
        <v>0</v>
      </c>
      <c r="X23" s="374">
        <v>0</v>
      </c>
      <c r="Y23" s="374">
        <v>0</v>
      </c>
      <c r="Z23" s="374">
        <v>0</v>
      </c>
      <c r="AA23" s="375">
        <v>0</v>
      </c>
    </row>
    <row r="24" spans="1:27" s="1" customFormat="1">
      <c r="A24" s="182"/>
      <c r="B24" s="477" t="s">
        <v>15</v>
      </c>
      <c r="C24" s="390">
        <v>0</v>
      </c>
      <c r="D24" s="107">
        <v>0</v>
      </c>
      <c r="E24" s="107">
        <v>0</v>
      </c>
      <c r="F24" s="107">
        <v>0</v>
      </c>
      <c r="G24" s="107">
        <v>0</v>
      </c>
      <c r="H24" s="107">
        <v>0</v>
      </c>
      <c r="I24" s="390">
        <v>0</v>
      </c>
      <c r="J24" s="390">
        <v>0</v>
      </c>
      <c r="K24" s="107">
        <v>0</v>
      </c>
      <c r="L24" s="107">
        <v>0</v>
      </c>
      <c r="M24" s="107">
        <v>0</v>
      </c>
      <c r="N24" s="390">
        <v>0</v>
      </c>
      <c r="O24" s="390">
        <v>0</v>
      </c>
      <c r="P24" s="107">
        <v>0</v>
      </c>
      <c r="Q24" s="390">
        <v>0</v>
      </c>
      <c r="R24" s="390">
        <v>0</v>
      </c>
      <c r="S24" s="390">
        <v>0</v>
      </c>
      <c r="T24" s="374">
        <v>0</v>
      </c>
      <c r="U24" s="374">
        <v>0</v>
      </c>
      <c r="V24" s="374">
        <v>0</v>
      </c>
      <c r="W24" s="375">
        <v>0</v>
      </c>
      <c r="X24" s="374">
        <v>0</v>
      </c>
      <c r="Y24" s="374">
        <v>0</v>
      </c>
      <c r="Z24" s="374">
        <v>0</v>
      </c>
      <c r="AA24" s="375">
        <v>0</v>
      </c>
    </row>
    <row r="25" spans="1:27">
      <c r="A25" s="182"/>
      <c r="B25" s="475" t="s">
        <v>17</v>
      </c>
      <c r="C25" s="476">
        <v>0</v>
      </c>
      <c r="D25" s="735">
        <v>0</v>
      </c>
      <c r="E25" s="735">
        <v>0</v>
      </c>
      <c r="F25" s="735">
        <v>0</v>
      </c>
      <c r="G25" s="735">
        <v>0</v>
      </c>
      <c r="H25" s="735">
        <v>0</v>
      </c>
      <c r="I25" s="476">
        <v>0</v>
      </c>
      <c r="J25" s="476">
        <v>0</v>
      </c>
      <c r="K25" s="735">
        <v>0</v>
      </c>
      <c r="L25" s="735">
        <v>0</v>
      </c>
      <c r="M25" s="735">
        <v>0</v>
      </c>
      <c r="N25" s="476">
        <v>0</v>
      </c>
      <c r="O25" s="476">
        <v>0</v>
      </c>
      <c r="P25" s="735">
        <v>0</v>
      </c>
      <c r="Q25" s="476">
        <v>0</v>
      </c>
      <c r="R25" s="475">
        <v>0</v>
      </c>
      <c r="S25" s="475">
        <v>0</v>
      </c>
      <c r="T25" s="378">
        <v>0</v>
      </c>
      <c r="U25" s="378">
        <v>0</v>
      </c>
      <c r="V25" s="378">
        <v>0</v>
      </c>
      <c r="W25" s="379">
        <v>0</v>
      </c>
      <c r="X25" s="378">
        <v>0</v>
      </c>
      <c r="Y25" s="378">
        <v>0</v>
      </c>
      <c r="Z25" s="378">
        <v>0</v>
      </c>
      <c r="AA25" s="379">
        <v>0</v>
      </c>
    </row>
    <row r="26" spans="1:27" s="1" customFormat="1">
      <c r="A26" s="185"/>
      <c r="B26" s="474" t="s">
        <v>229</v>
      </c>
      <c r="C26" s="736">
        <v>0</v>
      </c>
      <c r="D26" s="737">
        <v>0</v>
      </c>
      <c r="E26" s="737">
        <v>0</v>
      </c>
      <c r="F26" s="737">
        <v>0</v>
      </c>
      <c r="G26" s="737">
        <v>0</v>
      </c>
      <c r="H26" s="737">
        <v>0</v>
      </c>
      <c r="I26" s="736">
        <v>0</v>
      </c>
      <c r="J26" s="736">
        <v>0</v>
      </c>
      <c r="K26" s="737">
        <v>0</v>
      </c>
      <c r="L26" s="737">
        <v>0</v>
      </c>
      <c r="M26" s="737">
        <v>0</v>
      </c>
      <c r="N26" s="736">
        <v>0</v>
      </c>
      <c r="O26" s="736">
        <v>0</v>
      </c>
      <c r="P26" s="737">
        <v>0</v>
      </c>
      <c r="Q26" s="736">
        <v>0</v>
      </c>
      <c r="R26" s="736">
        <v>0</v>
      </c>
      <c r="S26" s="736">
        <v>0</v>
      </c>
      <c r="T26" s="380">
        <v>0</v>
      </c>
      <c r="U26" s="380">
        <v>0</v>
      </c>
      <c r="V26" s="380">
        <v>0</v>
      </c>
      <c r="W26" s="381">
        <v>0</v>
      </c>
      <c r="X26" s="380">
        <v>0</v>
      </c>
      <c r="Y26" s="380">
        <v>0</v>
      </c>
      <c r="Z26" s="380">
        <v>0</v>
      </c>
      <c r="AA26" s="381">
        <v>0</v>
      </c>
    </row>
    <row r="27" spans="1:27">
      <c r="A27" s="365" t="s">
        <v>803</v>
      </c>
      <c r="B27" s="384" t="s">
        <v>10</v>
      </c>
      <c r="C27" s="388">
        <v>5323431</v>
      </c>
      <c r="D27" s="389">
        <v>599677</v>
      </c>
      <c r="E27" s="389">
        <v>962382</v>
      </c>
      <c r="F27" s="389">
        <v>288563</v>
      </c>
      <c r="G27" s="389">
        <v>0</v>
      </c>
      <c r="H27" s="389">
        <v>0</v>
      </c>
      <c r="I27" s="388">
        <v>7174053</v>
      </c>
      <c r="J27" s="388">
        <v>17016072</v>
      </c>
      <c r="K27" s="389">
        <v>14713914</v>
      </c>
      <c r="L27" s="389">
        <v>2220614</v>
      </c>
      <c r="M27" s="389">
        <v>192177</v>
      </c>
      <c r="N27" s="388">
        <v>34142777</v>
      </c>
      <c r="O27" s="388">
        <v>0</v>
      </c>
      <c r="P27" s="389">
        <v>0</v>
      </c>
      <c r="Q27" s="388">
        <v>0</v>
      </c>
      <c r="R27" s="388">
        <v>0</v>
      </c>
      <c r="S27" s="388">
        <v>0</v>
      </c>
      <c r="T27" s="372">
        <v>0</v>
      </c>
      <c r="U27" s="372">
        <v>0</v>
      </c>
      <c r="V27" s="372">
        <v>0</v>
      </c>
      <c r="W27" s="373">
        <v>0</v>
      </c>
      <c r="X27" s="372">
        <v>0</v>
      </c>
      <c r="Y27" s="372">
        <v>0</v>
      </c>
      <c r="Z27" s="372">
        <v>0</v>
      </c>
      <c r="AA27" s="373">
        <v>0</v>
      </c>
    </row>
    <row r="28" spans="1:27" s="1" customFormat="1">
      <c r="A28" s="182"/>
      <c r="B28" s="477" t="s">
        <v>14</v>
      </c>
      <c r="C28" s="390">
        <v>28851</v>
      </c>
      <c r="D28" s="107">
        <v>6185</v>
      </c>
      <c r="E28" s="107">
        <v>1549</v>
      </c>
      <c r="F28" s="107">
        <v>2373</v>
      </c>
      <c r="G28" s="107">
        <v>0</v>
      </c>
      <c r="H28" s="107">
        <v>0</v>
      </c>
      <c r="I28" s="390">
        <v>38958</v>
      </c>
      <c r="J28" s="390">
        <v>270789</v>
      </c>
      <c r="K28" s="107">
        <v>420216</v>
      </c>
      <c r="L28" s="107">
        <v>154364</v>
      </c>
      <c r="M28" s="107">
        <v>6216</v>
      </c>
      <c r="N28" s="390">
        <v>851585</v>
      </c>
      <c r="O28" s="390">
        <v>0</v>
      </c>
      <c r="P28" s="107">
        <v>0</v>
      </c>
      <c r="Q28" s="390">
        <v>0</v>
      </c>
      <c r="R28" s="390">
        <v>0</v>
      </c>
      <c r="S28" s="390">
        <v>0</v>
      </c>
      <c r="T28" s="374">
        <v>0</v>
      </c>
      <c r="U28" s="374">
        <v>0</v>
      </c>
      <c r="V28" s="374">
        <v>0</v>
      </c>
      <c r="W28" s="375">
        <v>0</v>
      </c>
      <c r="X28" s="374">
        <v>0</v>
      </c>
      <c r="Y28" s="374">
        <v>0</v>
      </c>
      <c r="Z28" s="374">
        <v>0</v>
      </c>
      <c r="AA28" s="375">
        <v>0</v>
      </c>
    </row>
    <row r="29" spans="1:27">
      <c r="A29" s="182"/>
      <c r="B29" s="476" t="s">
        <v>16</v>
      </c>
      <c r="C29" s="476">
        <v>5.4196250500851799E-3</v>
      </c>
      <c r="D29" s="735">
        <v>1.0313885641770486E-2</v>
      </c>
      <c r="E29" s="735">
        <v>1.6095479757518324E-3</v>
      </c>
      <c r="F29" s="735">
        <v>8.2235075182889011E-3</v>
      </c>
      <c r="G29" s="735">
        <v>0</v>
      </c>
      <c r="H29" s="735">
        <v>0</v>
      </c>
      <c r="I29" s="476">
        <v>5.4304031486803904E-3</v>
      </c>
      <c r="J29" s="476">
        <v>1.5913719688069022E-2</v>
      </c>
      <c r="K29" s="735">
        <v>2.8559090395662227E-2</v>
      </c>
      <c r="L29" s="735">
        <v>6.9514107359496063E-2</v>
      </c>
      <c r="M29" s="735">
        <v>3.2345181785541452E-2</v>
      </c>
      <c r="N29" s="476">
        <v>2.4941878629263226E-2</v>
      </c>
      <c r="O29" s="476">
        <v>0</v>
      </c>
      <c r="P29" s="735">
        <v>0</v>
      </c>
      <c r="Q29" s="476">
        <v>0</v>
      </c>
      <c r="R29" s="476">
        <v>0</v>
      </c>
      <c r="S29" s="476">
        <v>0</v>
      </c>
      <c r="T29" s="376">
        <v>0</v>
      </c>
      <c r="U29" s="376">
        <v>0</v>
      </c>
      <c r="V29" s="376">
        <v>0</v>
      </c>
      <c r="W29" s="377">
        <v>0</v>
      </c>
      <c r="X29" s="376">
        <v>0</v>
      </c>
      <c r="Y29" s="376">
        <v>0</v>
      </c>
      <c r="Z29" s="376">
        <v>0</v>
      </c>
      <c r="AA29" s="377">
        <v>0</v>
      </c>
    </row>
    <row r="30" spans="1:27" s="1" customFormat="1">
      <c r="A30" s="182"/>
      <c r="B30" s="477" t="s">
        <v>11</v>
      </c>
      <c r="C30" s="390">
        <v>5383788</v>
      </c>
      <c r="D30" s="107">
        <v>616805</v>
      </c>
      <c r="E30" s="107">
        <v>940737</v>
      </c>
      <c r="F30" s="107">
        <v>304411</v>
      </c>
      <c r="G30" s="107">
        <v>0</v>
      </c>
      <c r="H30" s="107">
        <v>28520</v>
      </c>
      <c r="I30" s="390">
        <v>7274261</v>
      </c>
      <c r="J30" s="390">
        <v>14125673</v>
      </c>
      <c r="K30" s="107">
        <v>13527115</v>
      </c>
      <c r="L30" s="107">
        <v>1916737</v>
      </c>
      <c r="M30" s="107">
        <v>171206</v>
      </c>
      <c r="N30" s="390">
        <v>29740731</v>
      </c>
      <c r="O30" s="390">
        <v>0</v>
      </c>
      <c r="P30" s="107">
        <v>0</v>
      </c>
      <c r="Q30" s="390">
        <v>0</v>
      </c>
      <c r="R30" s="390">
        <v>0</v>
      </c>
      <c r="S30" s="390">
        <v>0</v>
      </c>
      <c r="T30" s="374">
        <v>0</v>
      </c>
      <c r="U30" s="374">
        <v>0</v>
      </c>
      <c r="V30" s="374">
        <v>0</v>
      </c>
      <c r="W30" s="375">
        <v>0</v>
      </c>
      <c r="X30" s="374">
        <v>0</v>
      </c>
      <c r="Y30" s="374">
        <v>0</v>
      </c>
      <c r="Z30" s="374">
        <v>0</v>
      </c>
      <c r="AA30" s="375">
        <v>0</v>
      </c>
    </row>
    <row r="31" spans="1:27">
      <c r="A31" s="182"/>
      <c r="B31" s="477" t="s">
        <v>15</v>
      </c>
      <c r="C31" s="390">
        <v>37851</v>
      </c>
      <c r="D31" s="107">
        <v>8071</v>
      </c>
      <c r="E31" s="107">
        <v>1547</v>
      </c>
      <c r="F31" s="107">
        <v>3235</v>
      </c>
      <c r="G31" s="107">
        <v>0</v>
      </c>
      <c r="H31" s="107">
        <v>20</v>
      </c>
      <c r="I31" s="390">
        <v>50724</v>
      </c>
      <c r="J31" s="390">
        <v>292794</v>
      </c>
      <c r="K31" s="107">
        <v>427581</v>
      </c>
      <c r="L31" s="107">
        <v>152093</v>
      </c>
      <c r="M31" s="107">
        <v>5394</v>
      </c>
      <c r="N31" s="390">
        <v>877862</v>
      </c>
      <c r="O31" s="390">
        <v>0</v>
      </c>
      <c r="P31" s="107">
        <v>0</v>
      </c>
      <c r="Q31" s="390">
        <v>0</v>
      </c>
      <c r="R31" s="390">
        <v>0</v>
      </c>
      <c r="S31" s="390">
        <v>0</v>
      </c>
      <c r="T31" s="374">
        <v>0</v>
      </c>
      <c r="U31" s="374">
        <v>0</v>
      </c>
      <c r="V31" s="374">
        <v>0</v>
      </c>
      <c r="W31" s="375">
        <v>0</v>
      </c>
      <c r="X31" s="374">
        <v>0</v>
      </c>
      <c r="Y31" s="374">
        <v>0</v>
      </c>
      <c r="Z31" s="374">
        <v>0</v>
      </c>
      <c r="AA31" s="375">
        <v>0</v>
      </c>
    </row>
    <row r="32" spans="1:27" s="1" customFormat="1">
      <c r="A32" s="182"/>
      <c r="B32" s="475" t="s">
        <v>17</v>
      </c>
      <c r="C32" s="476">
        <v>7.0305517230619032E-3</v>
      </c>
      <c r="D32" s="735">
        <v>1.3085172785564319E-2</v>
      </c>
      <c r="E32" s="735">
        <v>1.6444553578736671E-3</v>
      </c>
      <c r="F32" s="735">
        <v>1.0627079836142583E-2</v>
      </c>
      <c r="G32" s="735">
        <v>0</v>
      </c>
      <c r="H32" s="735">
        <v>7.0126227208976155E-4</v>
      </c>
      <c r="I32" s="476">
        <v>6.973079464704387E-3</v>
      </c>
      <c r="J32" s="476">
        <v>2.0727791164357266E-2</v>
      </c>
      <c r="K32" s="735">
        <v>3.1609179045199214E-2</v>
      </c>
      <c r="L32" s="735">
        <v>7.9349957766767162E-2</v>
      </c>
      <c r="M32" s="735">
        <v>3.1505905166874994E-2</v>
      </c>
      <c r="N32" s="476">
        <v>2.9517162843105637E-2</v>
      </c>
      <c r="O32" s="476">
        <v>0</v>
      </c>
      <c r="P32" s="735">
        <v>0</v>
      </c>
      <c r="Q32" s="476">
        <v>0</v>
      </c>
      <c r="R32" s="475">
        <v>0</v>
      </c>
      <c r="S32" s="475">
        <v>0</v>
      </c>
      <c r="T32" s="378">
        <v>0</v>
      </c>
      <c r="U32" s="378">
        <v>0</v>
      </c>
      <c r="V32" s="378">
        <v>0</v>
      </c>
      <c r="W32" s="379">
        <v>0</v>
      </c>
      <c r="X32" s="378">
        <v>0</v>
      </c>
      <c r="Y32" s="378">
        <v>0</v>
      </c>
      <c r="Z32" s="378">
        <v>0</v>
      </c>
      <c r="AA32" s="379">
        <v>0</v>
      </c>
    </row>
    <row r="33" spans="1:27">
      <c r="A33" s="185"/>
      <c r="B33" s="474" t="s">
        <v>229</v>
      </c>
      <c r="C33" s="736">
        <v>1.6109266729767233E-3</v>
      </c>
      <c r="D33" s="737">
        <v>2.7712871437938335E-3</v>
      </c>
      <c r="E33" s="737">
        <v>3.4907382121834645E-5</v>
      </c>
      <c r="F33" s="737">
        <v>2.4035723178536823E-3</v>
      </c>
      <c r="G33" s="737">
        <v>0</v>
      </c>
      <c r="H33" s="737">
        <v>7.0126227208976155E-4</v>
      </c>
      <c r="I33" s="736">
        <v>1.5426763160239967E-3</v>
      </c>
      <c r="J33" s="736">
        <v>4.8140714762882446E-3</v>
      </c>
      <c r="K33" s="737">
        <v>3.0500886495369861E-3</v>
      </c>
      <c r="L33" s="772">
        <v>9.8358504072710989E-3</v>
      </c>
      <c r="M33" s="737">
        <v>-8.3927661866645825E-4</v>
      </c>
      <c r="N33" s="736">
        <v>4.5752842138424114E-3</v>
      </c>
      <c r="O33" s="736">
        <v>0</v>
      </c>
      <c r="P33" s="737">
        <v>0</v>
      </c>
      <c r="Q33" s="736">
        <v>0</v>
      </c>
      <c r="R33" s="736">
        <v>0</v>
      </c>
      <c r="S33" s="736">
        <v>0</v>
      </c>
      <c r="T33" s="380">
        <v>0</v>
      </c>
      <c r="U33" s="380">
        <v>0</v>
      </c>
      <c r="V33" s="380">
        <v>0</v>
      </c>
      <c r="W33" s="381">
        <v>0</v>
      </c>
      <c r="X33" s="380">
        <v>0</v>
      </c>
      <c r="Y33" s="380">
        <v>0</v>
      </c>
      <c r="Z33" s="380">
        <v>0</v>
      </c>
      <c r="AA33" s="381">
        <v>0</v>
      </c>
    </row>
    <row r="34" spans="1:27" s="1" customFormat="1">
      <c r="A34" s="365" t="s">
        <v>142</v>
      </c>
      <c r="B34" s="384" t="s">
        <v>10</v>
      </c>
      <c r="C34" s="388">
        <v>1399657.1</v>
      </c>
      <c r="D34" s="389">
        <v>412425</v>
      </c>
      <c r="E34" s="389">
        <v>1084379.5</v>
      </c>
      <c r="F34" s="389">
        <v>1553331.9</v>
      </c>
      <c r="G34" s="389">
        <v>468157</v>
      </c>
      <c r="H34" s="389">
        <v>325002</v>
      </c>
      <c r="I34" s="388">
        <v>5242952.5</v>
      </c>
      <c r="J34" s="388">
        <v>454478</v>
      </c>
      <c r="K34" s="389">
        <v>610237</v>
      </c>
      <c r="L34" s="389">
        <v>784058</v>
      </c>
      <c r="M34" s="389">
        <v>81635</v>
      </c>
      <c r="N34" s="388">
        <v>1930408</v>
      </c>
      <c r="O34" s="388">
        <v>0</v>
      </c>
      <c r="P34" s="389">
        <v>0</v>
      </c>
      <c r="Q34" s="388">
        <v>2900245.0000000009</v>
      </c>
      <c r="R34" s="388">
        <v>0</v>
      </c>
      <c r="S34" s="388">
        <v>2900245.0000000009</v>
      </c>
      <c r="T34" s="372">
        <v>0</v>
      </c>
      <c r="U34" s="372">
        <v>0</v>
      </c>
      <c r="V34" s="372">
        <v>0</v>
      </c>
      <c r="W34" s="373">
        <v>0</v>
      </c>
      <c r="X34" s="372">
        <v>0</v>
      </c>
      <c r="Y34" s="372">
        <v>0</v>
      </c>
      <c r="Z34" s="372">
        <v>0</v>
      </c>
      <c r="AA34" s="373">
        <v>0</v>
      </c>
    </row>
    <row r="35" spans="1:27">
      <c r="A35" s="182"/>
      <c r="B35" s="477" t="s">
        <v>14</v>
      </c>
      <c r="C35" s="390">
        <v>1777.5</v>
      </c>
      <c r="D35" s="107">
        <v>2210</v>
      </c>
      <c r="E35" s="107">
        <v>4763</v>
      </c>
      <c r="F35" s="107">
        <v>6734</v>
      </c>
      <c r="G35" s="107">
        <v>6539</v>
      </c>
      <c r="H35" s="107">
        <v>3611</v>
      </c>
      <c r="I35" s="390">
        <v>25634.5</v>
      </c>
      <c r="J35" s="390">
        <v>12963</v>
      </c>
      <c r="K35" s="107">
        <v>772</v>
      </c>
      <c r="L35" s="107">
        <v>9938.5</v>
      </c>
      <c r="M35" s="107">
        <v>1563</v>
      </c>
      <c r="N35" s="390">
        <v>25236.5</v>
      </c>
      <c r="O35" s="390">
        <v>0</v>
      </c>
      <c r="P35" s="107">
        <v>0</v>
      </c>
      <c r="Q35" s="390">
        <v>53295.5</v>
      </c>
      <c r="R35" s="390">
        <v>0</v>
      </c>
      <c r="S35" s="390">
        <v>53295.5</v>
      </c>
      <c r="T35" s="374">
        <v>0</v>
      </c>
      <c r="U35" s="374">
        <v>0</v>
      </c>
      <c r="V35" s="374">
        <v>0</v>
      </c>
      <c r="W35" s="375">
        <v>0</v>
      </c>
      <c r="X35" s="374">
        <v>0</v>
      </c>
      <c r="Y35" s="374">
        <v>0</v>
      </c>
      <c r="Z35" s="374">
        <v>0</v>
      </c>
      <c r="AA35" s="375">
        <v>0</v>
      </c>
    </row>
    <row r="36" spans="1:27" s="1" customFormat="1">
      <c r="A36" s="182"/>
      <c r="B36" s="476" t="s">
        <v>16</v>
      </c>
      <c r="C36" s="476">
        <v>1.2699539051386228E-3</v>
      </c>
      <c r="D36" s="735">
        <v>5.3585500394011032E-3</v>
      </c>
      <c r="E36" s="735">
        <v>4.3923737031177738E-3</v>
      </c>
      <c r="F36" s="735">
        <v>4.3351971333364112E-3</v>
      </c>
      <c r="G36" s="735">
        <v>1.3967536531548178E-2</v>
      </c>
      <c r="H36" s="735">
        <v>1.1110700857225495E-2</v>
      </c>
      <c r="I36" s="476">
        <v>4.8893252418365412E-3</v>
      </c>
      <c r="J36" s="476">
        <v>2.8522832788385796E-2</v>
      </c>
      <c r="K36" s="735">
        <v>1.265082254927184E-3</v>
      </c>
      <c r="L36" s="735">
        <v>1.2675720418642499E-2</v>
      </c>
      <c r="M36" s="735">
        <v>1.914619954676303E-2</v>
      </c>
      <c r="N36" s="476">
        <v>1.3073143086850033E-2</v>
      </c>
      <c r="O36" s="476">
        <v>0</v>
      </c>
      <c r="P36" s="735">
        <v>0</v>
      </c>
      <c r="Q36" s="476">
        <v>1.8376206148101277E-2</v>
      </c>
      <c r="R36" s="476">
        <v>0</v>
      </c>
      <c r="S36" s="476">
        <v>1.8376206148101277E-2</v>
      </c>
      <c r="T36" s="376">
        <v>0</v>
      </c>
      <c r="U36" s="376">
        <v>0</v>
      </c>
      <c r="V36" s="376">
        <v>0</v>
      </c>
      <c r="W36" s="377">
        <v>0</v>
      </c>
      <c r="X36" s="376">
        <v>0</v>
      </c>
      <c r="Y36" s="376">
        <v>0</v>
      </c>
      <c r="Z36" s="376">
        <v>0</v>
      </c>
      <c r="AA36" s="377">
        <v>0</v>
      </c>
    </row>
    <row r="37" spans="1:27">
      <c r="A37" s="182"/>
      <c r="B37" s="477" t="s">
        <v>11</v>
      </c>
      <c r="C37" s="390">
        <v>1404578.4</v>
      </c>
      <c r="D37" s="107">
        <v>423928</v>
      </c>
      <c r="E37" s="107">
        <v>1077059</v>
      </c>
      <c r="F37" s="107">
        <v>1533808.5</v>
      </c>
      <c r="G37" s="107">
        <v>456309</v>
      </c>
      <c r="H37" s="107">
        <v>363983</v>
      </c>
      <c r="I37" s="390">
        <v>5259665.9000000004</v>
      </c>
      <c r="J37" s="390">
        <v>421089</v>
      </c>
      <c r="K37" s="107">
        <v>551455</v>
      </c>
      <c r="L37" s="107">
        <v>739568.5</v>
      </c>
      <c r="M37" s="107">
        <v>78853</v>
      </c>
      <c r="N37" s="390">
        <v>1790965.5</v>
      </c>
      <c r="O37" s="390">
        <v>0</v>
      </c>
      <c r="P37" s="107">
        <v>0</v>
      </c>
      <c r="Q37" s="390">
        <v>2339271.7000000002</v>
      </c>
      <c r="R37" s="390">
        <v>0</v>
      </c>
      <c r="S37" s="390">
        <v>2339271.7000000002</v>
      </c>
      <c r="T37" s="374">
        <v>0</v>
      </c>
      <c r="U37" s="374">
        <v>0</v>
      </c>
      <c r="V37" s="374">
        <v>0</v>
      </c>
      <c r="W37" s="375">
        <v>0</v>
      </c>
      <c r="X37" s="374">
        <v>0</v>
      </c>
      <c r="Y37" s="374">
        <v>0</v>
      </c>
      <c r="Z37" s="374">
        <v>0</v>
      </c>
      <c r="AA37" s="375">
        <v>0</v>
      </c>
    </row>
    <row r="38" spans="1:27" s="1" customFormat="1">
      <c r="A38" s="182"/>
      <c r="B38" s="477" t="s">
        <v>15</v>
      </c>
      <c r="C38" s="390">
        <v>2437</v>
      </c>
      <c r="D38" s="107">
        <v>2490</v>
      </c>
      <c r="E38" s="107">
        <v>5123</v>
      </c>
      <c r="F38" s="107">
        <v>7552</v>
      </c>
      <c r="G38" s="107">
        <v>6340</v>
      </c>
      <c r="H38" s="107">
        <v>5199</v>
      </c>
      <c r="I38" s="390">
        <v>29141</v>
      </c>
      <c r="J38" s="390">
        <v>4429</v>
      </c>
      <c r="K38" s="107">
        <v>11740</v>
      </c>
      <c r="L38" s="107">
        <v>11052.5</v>
      </c>
      <c r="M38" s="107">
        <v>2153</v>
      </c>
      <c r="N38" s="390">
        <v>29374.5</v>
      </c>
      <c r="O38" s="390">
        <v>0</v>
      </c>
      <c r="P38" s="107">
        <v>0</v>
      </c>
      <c r="Q38" s="390">
        <v>60174.100000000006</v>
      </c>
      <c r="R38" s="390">
        <v>0</v>
      </c>
      <c r="S38" s="390">
        <v>60174.100000000006</v>
      </c>
      <c r="T38" s="374">
        <v>0</v>
      </c>
      <c r="U38" s="374">
        <v>0</v>
      </c>
      <c r="V38" s="374">
        <v>0</v>
      </c>
      <c r="W38" s="375">
        <v>0</v>
      </c>
      <c r="X38" s="374">
        <v>0</v>
      </c>
      <c r="Y38" s="374">
        <v>0</v>
      </c>
      <c r="Z38" s="374">
        <v>0</v>
      </c>
      <c r="AA38" s="375">
        <v>0</v>
      </c>
    </row>
    <row r="39" spans="1:27">
      <c r="A39" s="182"/>
      <c r="B39" s="475" t="s">
        <v>17</v>
      </c>
      <c r="C39" s="476">
        <v>1.7350402085066952E-3</v>
      </c>
      <c r="D39" s="735">
        <v>5.8736389198165723E-3</v>
      </c>
      <c r="E39" s="735">
        <v>4.7564710939697824E-3</v>
      </c>
      <c r="F39" s="735">
        <v>4.923691582097765E-3</v>
      </c>
      <c r="G39" s="735">
        <v>1.3894093695281048E-2</v>
      </c>
      <c r="H39" s="735">
        <v>1.428363412576961E-2</v>
      </c>
      <c r="I39" s="476">
        <v>5.5404659828298215E-3</v>
      </c>
      <c r="J39" s="476">
        <v>1.0517966510642643E-2</v>
      </c>
      <c r="K39" s="735">
        <v>2.1289135106219003E-2</v>
      </c>
      <c r="L39" s="735">
        <v>1.4944525084559443E-2</v>
      </c>
      <c r="M39" s="735">
        <v>2.7303970679619038E-2</v>
      </c>
      <c r="N39" s="476">
        <v>1.6401488470883442E-2</v>
      </c>
      <c r="O39" s="476">
        <v>0</v>
      </c>
      <c r="P39" s="735">
        <v>0</v>
      </c>
      <c r="Q39" s="476">
        <v>2.5723433494279437E-2</v>
      </c>
      <c r="R39" s="475">
        <v>0</v>
      </c>
      <c r="S39" s="475">
        <v>2.5723433494279437E-2</v>
      </c>
      <c r="T39" s="378">
        <v>0</v>
      </c>
      <c r="U39" s="378">
        <v>0</v>
      </c>
      <c r="V39" s="378">
        <v>0</v>
      </c>
      <c r="W39" s="379">
        <v>0</v>
      </c>
      <c r="X39" s="378">
        <v>0</v>
      </c>
      <c r="Y39" s="378">
        <v>0</v>
      </c>
      <c r="Z39" s="378">
        <v>0</v>
      </c>
      <c r="AA39" s="379">
        <v>0</v>
      </c>
    </row>
    <row r="40" spans="1:27" s="1" customFormat="1">
      <c r="A40" s="185"/>
      <c r="B40" s="474" t="s">
        <v>229</v>
      </c>
      <c r="C40" s="736">
        <v>4.6508630336807239E-4</v>
      </c>
      <c r="D40" s="737">
        <v>5.1508888041546918E-4</v>
      </c>
      <c r="E40" s="737">
        <v>3.640973908520086E-4</v>
      </c>
      <c r="F40" s="737">
        <v>5.8849444876135377E-4</v>
      </c>
      <c r="G40" s="737">
        <v>-7.3442836267130149E-5</v>
      </c>
      <c r="H40" s="737">
        <v>3.1729332685441151E-3</v>
      </c>
      <c r="I40" s="736">
        <v>6.5114074099328033E-4</v>
      </c>
      <c r="J40" s="771">
        <v>-1.8004866277743153E-2</v>
      </c>
      <c r="K40" s="772">
        <v>2.0024052851291819E-2</v>
      </c>
      <c r="L40" s="737">
        <v>2.2688046659169441E-3</v>
      </c>
      <c r="M40" s="737">
        <v>8.1577711328560086E-3</v>
      </c>
      <c r="N40" s="736">
        <v>3.3283453840334092E-3</v>
      </c>
      <c r="O40" s="736">
        <v>0</v>
      </c>
      <c r="P40" s="737">
        <v>0</v>
      </c>
      <c r="Q40" s="736">
        <v>7.3472273461781604E-3</v>
      </c>
      <c r="R40" s="736">
        <v>0</v>
      </c>
      <c r="S40" s="736">
        <v>7.3472273461781604E-3</v>
      </c>
      <c r="T40" s="380">
        <v>0</v>
      </c>
      <c r="U40" s="380">
        <v>0</v>
      </c>
      <c r="V40" s="380">
        <v>0</v>
      </c>
      <c r="W40" s="381">
        <v>0</v>
      </c>
      <c r="X40" s="380">
        <v>0</v>
      </c>
      <c r="Y40" s="380">
        <v>0</v>
      </c>
      <c r="Z40" s="380">
        <v>0</v>
      </c>
      <c r="AA40" s="381">
        <v>0</v>
      </c>
    </row>
    <row r="41" spans="1:27">
      <c r="A41" s="365" t="s">
        <v>251</v>
      </c>
      <c r="B41" s="384" t="s">
        <v>10</v>
      </c>
      <c r="C41" s="388">
        <v>952974</v>
      </c>
      <c r="D41" s="389">
        <v>0</v>
      </c>
      <c r="E41" s="389">
        <v>1237192</v>
      </c>
      <c r="F41" s="389">
        <v>398501</v>
      </c>
      <c r="G41" s="389">
        <v>0</v>
      </c>
      <c r="H41" s="389">
        <v>0</v>
      </c>
      <c r="I41" s="388">
        <v>2588667</v>
      </c>
      <c r="J41" s="388">
        <v>0</v>
      </c>
      <c r="K41" s="389">
        <v>552703</v>
      </c>
      <c r="L41" s="389">
        <v>1086273</v>
      </c>
      <c r="M41" s="389">
        <v>43235</v>
      </c>
      <c r="N41" s="388">
        <v>1682211</v>
      </c>
      <c r="O41" s="388">
        <v>0</v>
      </c>
      <c r="P41" s="389">
        <v>0</v>
      </c>
      <c r="Q41" s="388">
        <v>144516</v>
      </c>
      <c r="R41" s="388">
        <v>0</v>
      </c>
      <c r="S41" s="388">
        <v>144516</v>
      </c>
      <c r="T41" s="372">
        <v>0</v>
      </c>
      <c r="U41" s="372">
        <v>0</v>
      </c>
      <c r="V41" s="372">
        <v>0</v>
      </c>
      <c r="W41" s="373">
        <v>0</v>
      </c>
      <c r="X41" s="372">
        <v>0</v>
      </c>
      <c r="Y41" s="372">
        <v>0</v>
      </c>
      <c r="Z41" s="372">
        <v>0</v>
      </c>
      <c r="AA41" s="373">
        <v>0</v>
      </c>
    </row>
    <row r="42" spans="1:27" s="1" customFormat="1">
      <c r="A42" s="182"/>
      <c r="B42" s="477" t="s">
        <v>14</v>
      </c>
      <c r="C42" s="390">
        <v>1329</v>
      </c>
      <c r="D42" s="107">
        <v>0</v>
      </c>
      <c r="E42" s="107">
        <v>26798</v>
      </c>
      <c r="F42" s="107">
        <v>4596</v>
      </c>
      <c r="G42" s="107">
        <v>0</v>
      </c>
      <c r="H42" s="107">
        <v>0</v>
      </c>
      <c r="I42" s="390">
        <v>32723</v>
      </c>
      <c r="J42" s="390">
        <v>0</v>
      </c>
      <c r="K42" s="107">
        <v>20027</v>
      </c>
      <c r="L42" s="107">
        <v>75501</v>
      </c>
      <c r="M42" s="107">
        <v>1619</v>
      </c>
      <c r="N42" s="390">
        <v>97147</v>
      </c>
      <c r="O42" s="390">
        <v>0</v>
      </c>
      <c r="P42" s="107">
        <v>0</v>
      </c>
      <c r="Q42" s="390">
        <v>9135</v>
      </c>
      <c r="R42" s="390">
        <v>0</v>
      </c>
      <c r="S42" s="390">
        <v>9135</v>
      </c>
      <c r="T42" s="374">
        <v>0</v>
      </c>
      <c r="U42" s="374">
        <v>0</v>
      </c>
      <c r="V42" s="374">
        <v>0</v>
      </c>
      <c r="W42" s="375">
        <v>0</v>
      </c>
      <c r="X42" s="374">
        <v>0</v>
      </c>
      <c r="Y42" s="374">
        <v>0</v>
      </c>
      <c r="Z42" s="374">
        <v>0</v>
      </c>
      <c r="AA42" s="375">
        <v>0</v>
      </c>
    </row>
    <row r="43" spans="1:27">
      <c r="A43" s="182"/>
      <c r="B43" s="476" t="s">
        <v>16</v>
      </c>
      <c r="C43" s="476">
        <v>1.3945815940413905E-3</v>
      </c>
      <c r="D43" s="735">
        <v>0</v>
      </c>
      <c r="E43" s="735">
        <v>2.1660340513032738E-2</v>
      </c>
      <c r="F43" s="735">
        <v>1.1533220744740917E-2</v>
      </c>
      <c r="G43" s="735">
        <v>0</v>
      </c>
      <c r="H43" s="735">
        <v>0</v>
      </c>
      <c r="I43" s="476">
        <v>1.2640868833264379E-2</v>
      </c>
      <c r="J43" s="476">
        <v>0</v>
      </c>
      <c r="K43" s="735">
        <v>3.6234650436129348E-2</v>
      </c>
      <c r="L43" s="735">
        <v>6.9504627289824927E-2</v>
      </c>
      <c r="M43" s="735">
        <v>3.7446513241586675E-2</v>
      </c>
      <c r="N43" s="476">
        <v>5.7749592649197989E-2</v>
      </c>
      <c r="O43" s="476">
        <v>0</v>
      </c>
      <c r="P43" s="735">
        <v>0</v>
      </c>
      <c r="Q43" s="476">
        <v>6.3210993938387444E-2</v>
      </c>
      <c r="R43" s="476">
        <v>0</v>
      </c>
      <c r="S43" s="476">
        <v>6.3210993938387444E-2</v>
      </c>
      <c r="T43" s="376">
        <v>0</v>
      </c>
      <c r="U43" s="376">
        <v>0</v>
      </c>
      <c r="V43" s="376">
        <v>0</v>
      </c>
      <c r="W43" s="377">
        <v>0</v>
      </c>
      <c r="X43" s="376">
        <v>0</v>
      </c>
      <c r="Y43" s="376">
        <v>0</v>
      </c>
      <c r="Z43" s="376">
        <v>0</v>
      </c>
      <c r="AA43" s="377">
        <v>0</v>
      </c>
    </row>
    <row r="44" spans="1:27" s="1" customFormat="1">
      <c r="A44" s="182"/>
      <c r="B44" s="477" t="s">
        <v>11</v>
      </c>
      <c r="C44" s="390">
        <v>967728</v>
      </c>
      <c r="D44" s="107">
        <v>0</v>
      </c>
      <c r="E44" s="107">
        <v>1242399</v>
      </c>
      <c r="F44" s="107">
        <v>392607</v>
      </c>
      <c r="G44" s="107">
        <v>0</v>
      </c>
      <c r="H44" s="107">
        <v>0</v>
      </c>
      <c r="I44" s="390">
        <v>2602734</v>
      </c>
      <c r="J44" s="390">
        <v>0</v>
      </c>
      <c r="K44" s="107">
        <v>513360</v>
      </c>
      <c r="L44" s="107">
        <v>985008</v>
      </c>
      <c r="M44" s="107">
        <v>38213</v>
      </c>
      <c r="N44" s="390">
        <v>1536581</v>
      </c>
      <c r="O44" s="390">
        <v>0</v>
      </c>
      <c r="P44" s="107">
        <v>0</v>
      </c>
      <c r="Q44" s="390">
        <v>151412</v>
      </c>
      <c r="R44" s="390">
        <v>0</v>
      </c>
      <c r="S44" s="390">
        <v>151412</v>
      </c>
      <c r="T44" s="374">
        <v>0</v>
      </c>
      <c r="U44" s="374">
        <v>0</v>
      </c>
      <c r="V44" s="374">
        <v>0</v>
      </c>
      <c r="W44" s="375">
        <v>0</v>
      </c>
      <c r="X44" s="374">
        <v>0</v>
      </c>
      <c r="Y44" s="374">
        <v>0</v>
      </c>
      <c r="Z44" s="374">
        <v>0</v>
      </c>
      <c r="AA44" s="375">
        <v>0</v>
      </c>
    </row>
    <row r="45" spans="1:27">
      <c r="A45" s="182"/>
      <c r="B45" s="477" t="s">
        <v>15</v>
      </c>
      <c r="C45" s="390">
        <v>1552</v>
      </c>
      <c r="D45" s="107">
        <v>0</v>
      </c>
      <c r="E45" s="107">
        <v>34638</v>
      </c>
      <c r="F45" s="107">
        <v>5500</v>
      </c>
      <c r="G45" s="107">
        <v>0</v>
      </c>
      <c r="H45" s="107">
        <v>0</v>
      </c>
      <c r="I45" s="390">
        <v>41690</v>
      </c>
      <c r="J45" s="390">
        <v>0</v>
      </c>
      <c r="K45" s="107">
        <v>17663</v>
      </c>
      <c r="L45" s="107">
        <v>53987</v>
      </c>
      <c r="M45" s="107">
        <v>1813</v>
      </c>
      <c r="N45" s="390">
        <v>73463</v>
      </c>
      <c r="O45" s="390">
        <v>0</v>
      </c>
      <c r="P45" s="107">
        <v>0</v>
      </c>
      <c r="Q45" s="390">
        <v>6618</v>
      </c>
      <c r="R45" s="390">
        <v>0</v>
      </c>
      <c r="S45" s="390">
        <v>6618</v>
      </c>
      <c r="T45" s="374">
        <v>0</v>
      </c>
      <c r="U45" s="374">
        <v>0</v>
      </c>
      <c r="V45" s="374">
        <v>0</v>
      </c>
      <c r="W45" s="375">
        <v>0</v>
      </c>
      <c r="X45" s="374">
        <v>0</v>
      </c>
      <c r="Y45" s="374">
        <v>0</v>
      </c>
      <c r="Z45" s="374">
        <v>0</v>
      </c>
      <c r="AA45" s="375">
        <v>0</v>
      </c>
    </row>
    <row r="46" spans="1:27" s="1" customFormat="1">
      <c r="A46" s="182"/>
      <c r="B46" s="475" t="s">
        <v>17</v>
      </c>
      <c r="C46" s="476">
        <v>1.6037564274258883E-3</v>
      </c>
      <c r="D46" s="735">
        <v>0</v>
      </c>
      <c r="E46" s="735">
        <v>2.7879932292282913E-2</v>
      </c>
      <c r="F46" s="735">
        <v>1.4008919861337165E-2</v>
      </c>
      <c r="G46" s="735">
        <v>0</v>
      </c>
      <c r="H46" s="735">
        <v>0</v>
      </c>
      <c r="I46" s="476">
        <v>1.6017772081203842E-2</v>
      </c>
      <c r="J46" s="476">
        <v>0</v>
      </c>
      <c r="K46" s="735">
        <v>3.4406654199781832E-2</v>
      </c>
      <c r="L46" s="735">
        <v>5.4808691909101245E-2</v>
      </c>
      <c r="M46" s="735">
        <v>4.7444586920681445E-2</v>
      </c>
      <c r="N46" s="476">
        <v>4.7809389807631358E-2</v>
      </c>
      <c r="O46" s="476">
        <v>0</v>
      </c>
      <c r="P46" s="735">
        <v>0</v>
      </c>
      <c r="Q46" s="476">
        <v>4.370855678545954E-2</v>
      </c>
      <c r="R46" s="475">
        <v>0</v>
      </c>
      <c r="S46" s="475">
        <v>4.370855678545954E-2</v>
      </c>
      <c r="T46" s="378">
        <v>0</v>
      </c>
      <c r="U46" s="378">
        <v>0</v>
      </c>
      <c r="V46" s="378">
        <v>0</v>
      </c>
      <c r="W46" s="379">
        <v>0</v>
      </c>
      <c r="X46" s="378">
        <v>0</v>
      </c>
      <c r="Y46" s="378">
        <v>0</v>
      </c>
      <c r="Z46" s="378">
        <v>0</v>
      </c>
      <c r="AA46" s="379">
        <v>0</v>
      </c>
    </row>
    <row r="47" spans="1:27">
      <c r="A47" s="185"/>
      <c r="B47" s="474" t="s">
        <v>229</v>
      </c>
      <c r="C47" s="736">
        <v>2.0917483338449782E-4</v>
      </c>
      <c r="D47" s="737">
        <v>0</v>
      </c>
      <c r="E47" s="737">
        <v>6.2195917792501748E-3</v>
      </c>
      <c r="F47" s="737">
        <v>2.4756991165962479E-3</v>
      </c>
      <c r="G47" s="737">
        <v>0</v>
      </c>
      <c r="H47" s="737">
        <v>0</v>
      </c>
      <c r="I47" s="736">
        <v>3.3769032479394629E-3</v>
      </c>
      <c r="J47" s="736">
        <v>0</v>
      </c>
      <c r="K47" s="737">
        <v>-1.8279962363475163E-3</v>
      </c>
      <c r="L47" s="772">
        <v>-1.4695935380723682E-2</v>
      </c>
      <c r="M47" s="772">
        <v>9.9980736790947697E-3</v>
      </c>
      <c r="N47" s="736">
        <v>-9.940202841566631E-3</v>
      </c>
      <c r="O47" s="736">
        <v>0</v>
      </c>
      <c r="P47" s="737">
        <v>0</v>
      </c>
      <c r="Q47" s="771">
        <v>-1.9502437152927904E-2</v>
      </c>
      <c r="R47" s="736">
        <v>0</v>
      </c>
      <c r="S47" s="736">
        <v>-1.9502437152927904E-2</v>
      </c>
      <c r="T47" s="380">
        <v>0</v>
      </c>
      <c r="U47" s="380">
        <v>0</v>
      </c>
      <c r="V47" s="380">
        <v>0</v>
      </c>
      <c r="W47" s="381">
        <v>0</v>
      </c>
      <c r="X47" s="380">
        <v>0</v>
      </c>
      <c r="Y47" s="380">
        <v>0</v>
      </c>
      <c r="Z47" s="380">
        <v>0</v>
      </c>
      <c r="AA47" s="381">
        <v>0</v>
      </c>
    </row>
    <row r="48" spans="1:27" s="1" customFormat="1">
      <c r="A48" s="365" t="s">
        <v>325</v>
      </c>
      <c r="B48" s="384" t="s">
        <v>10</v>
      </c>
      <c r="C48" s="388">
        <v>727637</v>
      </c>
      <c r="D48" s="389">
        <v>862080</v>
      </c>
      <c r="E48" s="389">
        <v>734196</v>
      </c>
      <c r="F48" s="389">
        <v>910325</v>
      </c>
      <c r="G48" s="389">
        <v>0</v>
      </c>
      <c r="H48" s="389">
        <v>55854</v>
      </c>
      <c r="I48" s="388">
        <v>3290092</v>
      </c>
      <c r="J48" s="388">
        <v>0</v>
      </c>
      <c r="K48" s="389">
        <v>759485</v>
      </c>
      <c r="L48" s="389">
        <v>142675</v>
      </c>
      <c r="M48" s="389">
        <v>224911</v>
      </c>
      <c r="N48" s="388">
        <v>1127071</v>
      </c>
      <c r="O48" s="388">
        <v>0</v>
      </c>
      <c r="P48" s="389">
        <v>0</v>
      </c>
      <c r="Q48" s="388">
        <v>559764.5</v>
      </c>
      <c r="R48" s="388">
        <v>0</v>
      </c>
      <c r="S48" s="388">
        <v>559764.5</v>
      </c>
      <c r="T48" s="372">
        <v>0</v>
      </c>
      <c r="U48" s="372">
        <v>0</v>
      </c>
      <c r="V48" s="372">
        <v>0</v>
      </c>
      <c r="W48" s="373">
        <v>0</v>
      </c>
      <c r="X48" s="372">
        <v>0</v>
      </c>
      <c r="Y48" s="372">
        <v>0</v>
      </c>
      <c r="Z48" s="372">
        <v>0</v>
      </c>
      <c r="AA48" s="373">
        <v>0</v>
      </c>
    </row>
    <row r="49" spans="1:27">
      <c r="A49" s="182"/>
      <c r="B49" s="477" t="s">
        <v>14</v>
      </c>
      <c r="C49" s="390">
        <v>1574</v>
      </c>
      <c r="D49" s="107">
        <v>11680</v>
      </c>
      <c r="E49" s="107">
        <v>18482</v>
      </c>
      <c r="F49" s="107">
        <v>21545</v>
      </c>
      <c r="G49" s="107">
        <v>0</v>
      </c>
      <c r="H49" s="107">
        <v>2930</v>
      </c>
      <c r="I49" s="390">
        <v>56211</v>
      </c>
      <c r="J49" s="390">
        <v>0</v>
      </c>
      <c r="K49" s="107">
        <v>6662</v>
      </c>
      <c r="L49" s="107">
        <v>8942</v>
      </c>
      <c r="M49" s="107">
        <v>16419</v>
      </c>
      <c r="N49" s="390">
        <v>32023</v>
      </c>
      <c r="O49" s="390">
        <v>0</v>
      </c>
      <c r="P49" s="107">
        <v>0</v>
      </c>
      <c r="Q49" s="390">
        <v>71644</v>
      </c>
      <c r="R49" s="390">
        <v>0</v>
      </c>
      <c r="S49" s="390">
        <v>71644</v>
      </c>
      <c r="T49" s="374">
        <v>0</v>
      </c>
      <c r="U49" s="374">
        <v>0</v>
      </c>
      <c r="V49" s="374">
        <v>0</v>
      </c>
      <c r="W49" s="375">
        <v>0</v>
      </c>
      <c r="X49" s="374">
        <v>0</v>
      </c>
      <c r="Y49" s="374">
        <v>0</v>
      </c>
      <c r="Z49" s="374">
        <v>0</v>
      </c>
      <c r="AA49" s="375">
        <v>0</v>
      </c>
    </row>
    <row r="50" spans="1:27" s="1" customFormat="1">
      <c r="A50" s="182"/>
      <c r="B50" s="476" t="s">
        <v>16</v>
      </c>
      <c r="C50" s="476">
        <v>2.1631665239673077E-3</v>
      </c>
      <c r="D50" s="735">
        <v>1.3548626577579806E-2</v>
      </c>
      <c r="E50" s="735">
        <v>2.5173114536172901E-2</v>
      </c>
      <c r="F50" s="735">
        <v>2.36673715431302E-2</v>
      </c>
      <c r="G50" s="735">
        <v>0</v>
      </c>
      <c r="H50" s="735">
        <v>5.2458194578723097E-2</v>
      </c>
      <c r="I50" s="476">
        <v>1.7084932579392916E-2</v>
      </c>
      <c r="J50" s="476">
        <v>0</v>
      </c>
      <c r="K50" s="735">
        <v>8.7717334772905321E-3</v>
      </c>
      <c r="L50" s="735">
        <v>6.2673909234273698E-2</v>
      </c>
      <c r="M50" s="735">
        <v>7.3002209762972906E-2</v>
      </c>
      <c r="N50" s="476">
        <v>2.8412584477819056E-2</v>
      </c>
      <c r="O50" s="476">
        <v>0</v>
      </c>
      <c r="P50" s="735">
        <v>0</v>
      </c>
      <c r="Q50" s="476">
        <v>0.12798953845769068</v>
      </c>
      <c r="R50" s="476">
        <v>0</v>
      </c>
      <c r="S50" s="476">
        <v>0.12798953845769068</v>
      </c>
      <c r="T50" s="376">
        <v>0</v>
      </c>
      <c r="U50" s="376">
        <v>0</v>
      </c>
      <c r="V50" s="376">
        <v>0</v>
      </c>
      <c r="W50" s="377">
        <v>0</v>
      </c>
      <c r="X50" s="376">
        <v>0</v>
      </c>
      <c r="Y50" s="376">
        <v>0</v>
      </c>
      <c r="Z50" s="376">
        <v>0</v>
      </c>
      <c r="AA50" s="377">
        <v>0</v>
      </c>
    </row>
    <row r="51" spans="1:27">
      <c r="A51" s="182"/>
      <c r="B51" s="477" t="s">
        <v>11</v>
      </c>
      <c r="C51" s="390">
        <v>725007</v>
      </c>
      <c r="D51" s="107">
        <v>843033</v>
      </c>
      <c r="E51" s="107">
        <v>697069</v>
      </c>
      <c r="F51" s="107">
        <v>888491</v>
      </c>
      <c r="G51" s="107">
        <v>0</v>
      </c>
      <c r="H51" s="107">
        <v>51729</v>
      </c>
      <c r="I51" s="390">
        <v>3205329</v>
      </c>
      <c r="J51" s="390">
        <v>0</v>
      </c>
      <c r="K51" s="107">
        <v>762756</v>
      </c>
      <c r="L51" s="107">
        <v>221741.5</v>
      </c>
      <c r="M51" s="107">
        <v>254928</v>
      </c>
      <c r="N51" s="390">
        <v>1239425.5</v>
      </c>
      <c r="O51" s="390">
        <v>0</v>
      </c>
      <c r="P51" s="107">
        <v>0</v>
      </c>
      <c r="Q51" s="390">
        <v>425206</v>
      </c>
      <c r="R51" s="390">
        <v>0</v>
      </c>
      <c r="S51" s="390">
        <v>425206</v>
      </c>
      <c r="T51" s="374">
        <v>0</v>
      </c>
      <c r="U51" s="374">
        <v>0</v>
      </c>
      <c r="V51" s="374">
        <v>0</v>
      </c>
      <c r="W51" s="375">
        <v>0</v>
      </c>
      <c r="X51" s="374">
        <v>0</v>
      </c>
      <c r="Y51" s="374">
        <v>0</v>
      </c>
      <c r="Z51" s="374">
        <v>0</v>
      </c>
      <c r="AA51" s="375">
        <v>0</v>
      </c>
    </row>
    <row r="52" spans="1:27" s="1" customFormat="1">
      <c r="A52" s="182"/>
      <c r="B52" s="477" t="s">
        <v>15</v>
      </c>
      <c r="C52" s="390">
        <v>2047</v>
      </c>
      <c r="D52" s="107">
        <v>14459</v>
      </c>
      <c r="E52" s="107">
        <v>22815</v>
      </c>
      <c r="F52" s="107">
        <v>24851</v>
      </c>
      <c r="G52" s="107">
        <v>0</v>
      </c>
      <c r="H52" s="107">
        <v>2869</v>
      </c>
      <c r="I52" s="390">
        <v>67041</v>
      </c>
      <c r="J52" s="390">
        <v>0</v>
      </c>
      <c r="K52" s="107">
        <v>6838</v>
      </c>
      <c r="L52" s="107">
        <v>18951</v>
      </c>
      <c r="M52" s="107">
        <v>21959</v>
      </c>
      <c r="N52" s="390">
        <v>47748</v>
      </c>
      <c r="O52" s="390">
        <v>0</v>
      </c>
      <c r="P52" s="107">
        <v>0</v>
      </c>
      <c r="Q52" s="390">
        <v>51923</v>
      </c>
      <c r="R52" s="390">
        <v>0</v>
      </c>
      <c r="S52" s="390">
        <v>51923</v>
      </c>
      <c r="T52" s="374">
        <v>0</v>
      </c>
      <c r="U52" s="374">
        <v>0</v>
      </c>
      <c r="V52" s="374">
        <v>0</v>
      </c>
      <c r="W52" s="375">
        <v>0</v>
      </c>
      <c r="X52" s="374">
        <v>0</v>
      </c>
      <c r="Y52" s="374">
        <v>0</v>
      </c>
      <c r="Z52" s="374">
        <v>0</v>
      </c>
      <c r="AA52" s="375">
        <v>0</v>
      </c>
    </row>
    <row r="53" spans="1:27">
      <c r="A53" s="182"/>
      <c r="B53" s="475" t="s">
        <v>17</v>
      </c>
      <c r="C53" s="476">
        <v>2.8234210152453701E-3</v>
      </c>
      <c r="D53" s="735">
        <v>1.7151167273404481E-2</v>
      </c>
      <c r="E53" s="735">
        <v>3.2729901917887612E-2</v>
      </c>
      <c r="F53" s="735">
        <v>2.7969895024260234E-2</v>
      </c>
      <c r="G53" s="735">
        <v>0</v>
      </c>
      <c r="H53" s="735">
        <v>5.5462119894063293E-2</v>
      </c>
      <c r="I53" s="476">
        <v>2.091548168690328E-2</v>
      </c>
      <c r="J53" s="476">
        <v>0</v>
      </c>
      <c r="K53" s="735">
        <v>8.9648590112696592E-3</v>
      </c>
      <c r="L53" s="735">
        <v>8.5464380821812791E-2</v>
      </c>
      <c r="M53" s="735">
        <v>8.6138046821063199E-2</v>
      </c>
      <c r="N53" s="476">
        <v>3.8524300169715725E-2</v>
      </c>
      <c r="O53" s="476">
        <v>0</v>
      </c>
      <c r="P53" s="735">
        <v>0</v>
      </c>
      <c r="Q53" s="476">
        <v>0.12211257602197523</v>
      </c>
      <c r="R53" s="475">
        <v>0</v>
      </c>
      <c r="S53" s="475">
        <v>0.12211257602197523</v>
      </c>
      <c r="T53" s="378">
        <v>0</v>
      </c>
      <c r="U53" s="378">
        <v>0</v>
      </c>
      <c r="V53" s="378">
        <v>0</v>
      </c>
      <c r="W53" s="379">
        <v>0</v>
      </c>
      <c r="X53" s="378">
        <v>0</v>
      </c>
      <c r="Y53" s="378">
        <v>0</v>
      </c>
      <c r="Z53" s="378">
        <v>0</v>
      </c>
      <c r="AA53" s="379">
        <v>0</v>
      </c>
    </row>
    <row r="54" spans="1:27" s="1" customFormat="1">
      <c r="A54" s="185"/>
      <c r="B54" s="474" t="s">
        <v>229</v>
      </c>
      <c r="C54" s="736">
        <v>6.6025449127806238E-4</v>
      </c>
      <c r="D54" s="737">
        <v>3.6025406958246752E-3</v>
      </c>
      <c r="E54" s="737">
        <v>7.5567873817147108E-3</v>
      </c>
      <c r="F54" s="737">
        <v>4.3025234811300342E-3</v>
      </c>
      <c r="G54" s="737">
        <v>0</v>
      </c>
      <c r="H54" s="737">
        <v>3.003925315340196E-3</v>
      </c>
      <c r="I54" s="736">
        <v>3.8305491075103643E-3</v>
      </c>
      <c r="J54" s="736">
        <v>0</v>
      </c>
      <c r="K54" s="737">
        <v>1.9312553397912713E-4</v>
      </c>
      <c r="L54" s="737">
        <v>2.2790471587539093E-2</v>
      </c>
      <c r="M54" s="737">
        <v>1.3135837058090294E-2</v>
      </c>
      <c r="N54" s="736">
        <v>1.0111715691896669E-2</v>
      </c>
      <c r="O54" s="736">
        <v>0</v>
      </c>
      <c r="P54" s="737">
        <v>0</v>
      </c>
      <c r="Q54" s="736">
        <v>-5.8769624357154493E-3</v>
      </c>
      <c r="R54" s="736">
        <v>0</v>
      </c>
      <c r="S54" s="736">
        <v>-5.8769624357154493E-3</v>
      </c>
      <c r="T54" s="380">
        <v>0</v>
      </c>
      <c r="U54" s="380">
        <v>0</v>
      </c>
      <c r="V54" s="380">
        <v>0</v>
      </c>
      <c r="W54" s="381">
        <v>0</v>
      </c>
      <c r="X54" s="380">
        <v>0</v>
      </c>
      <c r="Y54" s="380">
        <v>0</v>
      </c>
      <c r="Z54" s="380">
        <v>0</v>
      </c>
      <c r="AA54" s="381">
        <v>0</v>
      </c>
    </row>
    <row r="55" spans="1:27">
      <c r="A55" s="365" t="s">
        <v>825</v>
      </c>
      <c r="B55" s="384" t="s">
        <v>10</v>
      </c>
      <c r="C55" s="388">
        <v>0</v>
      </c>
      <c r="D55" s="389">
        <v>0</v>
      </c>
      <c r="E55" s="389">
        <v>0</v>
      </c>
      <c r="F55" s="389">
        <v>0</v>
      </c>
      <c r="G55" s="389">
        <v>0</v>
      </c>
      <c r="H55" s="389">
        <v>0</v>
      </c>
      <c r="I55" s="388">
        <v>0</v>
      </c>
      <c r="J55" s="388">
        <v>0</v>
      </c>
      <c r="K55" s="389">
        <v>0</v>
      </c>
      <c r="L55" s="389">
        <v>0</v>
      </c>
      <c r="M55" s="389">
        <v>0</v>
      </c>
      <c r="N55" s="388">
        <v>0</v>
      </c>
      <c r="O55" s="388">
        <v>0</v>
      </c>
      <c r="P55" s="389">
        <v>0</v>
      </c>
      <c r="Q55" s="388">
        <v>0</v>
      </c>
      <c r="R55" s="388">
        <v>0</v>
      </c>
      <c r="S55" s="388">
        <v>0</v>
      </c>
      <c r="T55" s="372">
        <v>0</v>
      </c>
      <c r="U55" s="372">
        <v>0</v>
      </c>
      <c r="V55" s="372">
        <v>0</v>
      </c>
      <c r="W55" s="373">
        <v>0</v>
      </c>
      <c r="X55" s="372">
        <v>0</v>
      </c>
      <c r="Y55" s="372">
        <v>0</v>
      </c>
      <c r="Z55" s="372">
        <v>0</v>
      </c>
      <c r="AA55" s="373">
        <v>0</v>
      </c>
    </row>
    <row r="56" spans="1:27" s="1" customFormat="1">
      <c r="A56" s="182"/>
      <c r="B56" s="477" t="s">
        <v>14</v>
      </c>
      <c r="C56" s="390">
        <v>0</v>
      </c>
      <c r="D56" s="107">
        <v>0</v>
      </c>
      <c r="E56" s="107">
        <v>0</v>
      </c>
      <c r="F56" s="107">
        <v>0</v>
      </c>
      <c r="G56" s="107">
        <v>0</v>
      </c>
      <c r="H56" s="107">
        <v>0</v>
      </c>
      <c r="I56" s="390">
        <v>0</v>
      </c>
      <c r="J56" s="390">
        <v>0</v>
      </c>
      <c r="K56" s="107">
        <v>0</v>
      </c>
      <c r="L56" s="107">
        <v>0</v>
      </c>
      <c r="M56" s="107">
        <v>0</v>
      </c>
      <c r="N56" s="390">
        <v>0</v>
      </c>
      <c r="O56" s="390">
        <v>0</v>
      </c>
      <c r="P56" s="107">
        <v>0</v>
      </c>
      <c r="Q56" s="390">
        <v>0</v>
      </c>
      <c r="R56" s="390">
        <v>0</v>
      </c>
      <c r="S56" s="390">
        <v>0</v>
      </c>
      <c r="T56" s="374">
        <v>0</v>
      </c>
      <c r="U56" s="374">
        <v>0</v>
      </c>
      <c r="V56" s="374">
        <v>0</v>
      </c>
      <c r="W56" s="375">
        <v>0</v>
      </c>
      <c r="X56" s="374">
        <v>0</v>
      </c>
      <c r="Y56" s="374">
        <v>0</v>
      </c>
      <c r="Z56" s="374">
        <v>0</v>
      </c>
      <c r="AA56" s="375">
        <v>0</v>
      </c>
    </row>
    <row r="57" spans="1:27">
      <c r="A57" s="182"/>
      <c r="B57" s="476" t="s">
        <v>16</v>
      </c>
      <c r="C57" s="476">
        <v>0</v>
      </c>
      <c r="D57" s="735">
        <v>0</v>
      </c>
      <c r="E57" s="735">
        <v>0</v>
      </c>
      <c r="F57" s="735">
        <v>0</v>
      </c>
      <c r="G57" s="735">
        <v>0</v>
      </c>
      <c r="H57" s="735">
        <v>0</v>
      </c>
      <c r="I57" s="476">
        <v>0</v>
      </c>
      <c r="J57" s="476">
        <v>0</v>
      </c>
      <c r="K57" s="735">
        <v>0</v>
      </c>
      <c r="L57" s="735">
        <v>0</v>
      </c>
      <c r="M57" s="735">
        <v>0</v>
      </c>
      <c r="N57" s="476">
        <v>0</v>
      </c>
      <c r="O57" s="476">
        <v>0</v>
      </c>
      <c r="P57" s="735">
        <v>0</v>
      </c>
      <c r="Q57" s="476">
        <v>0</v>
      </c>
      <c r="R57" s="476">
        <v>0</v>
      </c>
      <c r="S57" s="476">
        <v>0</v>
      </c>
      <c r="T57" s="376">
        <v>0</v>
      </c>
      <c r="U57" s="376">
        <v>0</v>
      </c>
      <c r="V57" s="376">
        <v>0</v>
      </c>
      <c r="W57" s="377">
        <v>0</v>
      </c>
      <c r="X57" s="376">
        <v>0</v>
      </c>
      <c r="Y57" s="376">
        <v>0</v>
      </c>
      <c r="Z57" s="376">
        <v>0</v>
      </c>
      <c r="AA57" s="377">
        <v>0</v>
      </c>
    </row>
    <row r="58" spans="1:27" s="1" customFormat="1">
      <c r="A58" s="182"/>
      <c r="B58" s="477" t="s">
        <v>11</v>
      </c>
      <c r="C58" s="390">
        <v>0</v>
      </c>
      <c r="D58" s="107">
        <v>0</v>
      </c>
      <c r="E58" s="107">
        <v>0</v>
      </c>
      <c r="F58" s="107">
        <v>0</v>
      </c>
      <c r="G58" s="107">
        <v>0</v>
      </c>
      <c r="H58" s="107">
        <v>0</v>
      </c>
      <c r="I58" s="390">
        <v>0</v>
      </c>
      <c r="J58" s="390">
        <v>0</v>
      </c>
      <c r="K58" s="107">
        <v>0</v>
      </c>
      <c r="L58" s="107">
        <v>0</v>
      </c>
      <c r="M58" s="107">
        <v>0</v>
      </c>
      <c r="N58" s="390">
        <v>0</v>
      </c>
      <c r="O58" s="390">
        <v>0</v>
      </c>
      <c r="P58" s="107">
        <v>0</v>
      </c>
      <c r="Q58" s="390">
        <v>0</v>
      </c>
      <c r="R58" s="390">
        <v>0</v>
      </c>
      <c r="S58" s="390">
        <v>0</v>
      </c>
      <c r="T58" s="374">
        <v>0</v>
      </c>
      <c r="U58" s="374">
        <v>0</v>
      </c>
      <c r="V58" s="374">
        <v>0</v>
      </c>
      <c r="W58" s="375">
        <v>0</v>
      </c>
      <c r="X58" s="374">
        <v>0</v>
      </c>
      <c r="Y58" s="374">
        <v>0</v>
      </c>
      <c r="Z58" s="374">
        <v>0</v>
      </c>
      <c r="AA58" s="375">
        <v>0</v>
      </c>
    </row>
    <row r="59" spans="1:27">
      <c r="A59" s="182"/>
      <c r="B59" s="477" t="s">
        <v>15</v>
      </c>
      <c r="C59" s="390">
        <v>0</v>
      </c>
      <c r="D59" s="107">
        <v>0</v>
      </c>
      <c r="E59" s="107">
        <v>0</v>
      </c>
      <c r="F59" s="107">
        <v>0</v>
      </c>
      <c r="G59" s="107">
        <v>0</v>
      </c>
      <c r="H59" s="107">
        <v>0</v>
      </c>
      <c r="I59" s="390">
        <v>0</v>
      </c>
      <c r="J59" s="390">
        <v>0</v>
      </c>
      <c r="K59" s="107">
        <v>0</v>
      </c>
      <c r="L59" s="107">
        <v>0</v>
      </c>
      <c r="M59" s="107">
        <v>0</v>
      </c>
      <c r="N59" s="390">
        <v>0</v>
      </c>
      <c r="O59" s="390">
        <v>0</v>
      </c>
      <c r="P59" s="107">
        <v>0</v>
      </c>
      <c r="Q59" s="390">
        <v>0</v>
      </c>
      <c r="R59" s="390">
        <v>0</v>
      </c>
      <c r="S59" s="390">
        <v>0</v>
      </c>
      <c r="T59" s="374">
        <v>0</v>
      </c>
      <c r="U59" s="374">
        <v>0</v>
      </c>
      <c r="V59" s="374">
        <v>0</v>
      </c>
      <c r="W59" s="375">
        <v>0</v>
      </c>
      <c r="X59" s="374">
        <v>0</v>
      </c>
      <c r="Y59" s="374">
        <v>0</v>
      </c>
      <c r="Z59" s="374">
        <v>0</v>
      </c>
      <c r="AA59" s="375">
        <v>0</v>
      </c>
    </row>
    <row r="60" spans="1:27" s="1" customFormat="1">
      <c r="A60" s="182"/>
      <c r="B60" s="475" t="s">
        <v>17</v>
      </c>
      <c r="C60" s="476">
        <v>0</v>
      </c>
      <c r="D60" s="735">
        <v>0</v>
      </c>
      <c r="E60" s="735">
        <v>0</v>
      </c>
      <c r="F60" s="735">
        <v>0</v>
      </c>
      <c r="G60" s="735">
        <v>0</v>
      </c>
      <c r="H60" s="735">
        <v>0</v>
      </c>
      <c r="I60" s="476">
        <v>0</v>
      </c>
      <c r="J60" s="476">
        <v>0</v>
      </c>
      <c r="K60" s="735">
        <v>0</v>
      </c>
      <c r="L60" s="735">
        <v>0</v>
      </c>
      <c r="M60" s="735">
        <v>0</v>
      </c>
      <c r="N60" s="476">
        <v>0</v>
      </c>
      <c r="O60" s="476">
        <v>0</v>
      </c>
      <c r="P60" s="735">
        <v>0</v>
      </c>
      <c r="Q60" s="476">
        <v>0</v>
      </c>
      <c r="R60" s="475">
        <v>0</v>
      </c>
      <c r="S60" s="475">
        <v>0</v>
      </c>
      <c r="T60" s="378">
        <v>0</v>
      </c>
      <c r="U60" s="378">
        <v>0</v>
      </c>
      <c r="V60" s="378">
        <v>0</v>
      </c>
      <c r="W60" s="379">
        <v>0</v>
      </c>
      <c r="X60" s="378">
        <v>0</v>
      </c>
      <c r="Y60" s="378">
        <v>0</v>
      </c>
      <c r="Z60" s="378">
        <v>0</v>
      </c>
      <c r="AA60" s="379">
        <v>0</v>
      </c>
    </row>
    <row r="61" spans="1:27">
      <c r="A61" s="185"/>
      <c r="B61" s="474" t="s">
        <v>229</v>
      </c>
      <c r="C61" s="736">
        <v>0</v>
      </c>
      <c r="D61" s="737">
        <v>0</v>
      </c>
      <c r="E61" s="737">
        <v>0</v>
      </c>
      <c r="F61" s="737">
        <v>0</v>
      </c>
      <c r="G61" s="737">
        <v>0</v>
      </c>
      <c r="H61" s="737">
        <v>0</v>
      </c>
      <c r="I61" s="736">
        <v>0</v>
      </c>
      <c r="J61" s="736">
        <v>0</v>
      </c>
      <c r="K61" s="737">
        <v>0</v>
      </c>
      <c r="L61" s="737">
        <v>0</v>
      </c>
      <c r="M61" s="737">
        <v>0</v>
      </c>
      <c r="N61" s="736">
        <v>0</v>
      </c>
      <c r="O61" s="736">
        <v>0</v>
      </c>
      <c r="P61" s="737">
        <v>0</v>
      </c>
      <c r="Q61" s="736">
        <v>0</v>
      </c>
      <c r="R61" s="736">
        <v>0</v>
      </c>
      <c r="S61" s="736">
        <v>0</v>
      </c>
      <c r="T61" s="380">
        <v>0</v>
      </c>
      <c r="U61" s="380">
        <v>0</v>
      </c>
      <c r="V61" s="380">
        <v>0</v>
      </c>
      <c r="W61" s="381">
        <v>0</v>
      </c>
      <c r="X61" s="380">
        <v>0</v>
      </c>
      <c r="Y61" s="380">
        <v>0</v>
      </c>
      <c r="Z61" s="380">
        <v>0</v>
      </c>
      <c r="AA61" s="381">
        <v>0</v>
      </c>
    </row>
    <row r="62" spans="1:27" s="1" customFormat="1">
      <c r="A62" s="365" t="s">
        <v>420</v>
      </c>
      <c r="B62" s="384" t="s">
        <v>10</v>
      </c>
      <c r="C62" s="388">
        <v>0</v>
      </c>
      <c r="D62" s="389">
        <v>0</v>
      </c>
      <c r="E62" s="389">
        <v>0</v>
      </c>
      <c r="F62" s="389">
        <v>0</v>
      </c>
      <c r="G62" s="389">
        <v>0</v>
      </c>
      <c r="H62" s="389">
        <v>0</v>
      </c>
      <c r="I62" s="388">
        <v>0</v>
      </c>
      <c r="J62" s="388">
        <v>0</v>
      </c>
      <c r="K62" s="389">
        <v>1012727</v>
      </c>
      <c r="L62" s="389">
        <v>1021317.5</v>
      </c>
      <c r="M62" s="389">
        <v>129482</v>
      </c>
      <c r="N62" s="388">
        <v>2163526.5</v>
      </c>
      <c r="O62" s="388">
        <v>0</v>
      </c>
      <c r="P62" s="389">
        <v>0</v>
      </c>
      <c r="Q62" s="388">
        <v>0</v>
      </c>
      <c r="R62" s="388">
        <v>0</v>
      </c>
      <c r="S62" s="388">
        <v>0</v>
      </c>
      <c r="T62" s="372">
        <v>0</v>
      </c>
      <c r="U62" s="372">
        <v>0</v>
      </c>
      <c r="V62" s="372">
        <v>0</v>
      </c>
      <c r="W62" s="373">
        <v>0</v>
      </c>
      <c r="X62" s="372">
        <v>0</v>
      </c>
      <c r="Y62" s="372">
        <v>0</v>
      </c>
      <c r="Z62" s="372">
        <v>0</v>
      </c>
      <c r="AA62" s="373">
        <v>0</v>
      </c>
    </row>
    <row r="63" spans="1:27">
      <c r="A63" s="182"/>
      <c r="B63" s="477" t="s">
        <v>14</v>
      </c>
      <c r="C63" s="390">
        <v>0</v>
      </c>
      <c r="D63" s="107">
        <v>0</v>
      </c>
      <c r="E63" s="107">
        <v>0</v>
      </c>
      <c r="F63" s="107">
        <v>0</v>
      </c>
      <c r="G63" s="107">
        <v>0</v>
      </c>
      <c r="H63" s="107">
        <v>0</v>
      </c>
      <c r="I63" s="390">
        <v>0</v>
      </c>
      <c r="J63" s="390">
        <v>0</v>
      </c>
      <c r="K63" s="107">
        <v>7761</v>
      </c>
      <c r="L63" s="107">
        <v>8539</v>
      </c>
      <c r="M63" s="107">
        <v>1407</v>
      </c>
      <c r="N63" s="390">
        <v>17707</v>
      </c>
      <c r="O63" s="390">
        <v>0</v>
      </c>
      <c r="P63" s="107">
        <v>0</v>
      </c>
      <c r="Q63" s="390">
        <v>0</v>
      </c>
      <c r="R63" s="390">
        <v>0</v>
      </c>
      <c r="S63" s="390">
        <v>0</v>
      </c>
      <c r="T63" s="374">
        <v>0</v>
      </c>
      <c r="U63" s="374">
        <v>0</v>
      </c>
      <c r="V63" s="374">
        <v>0</v>
      </c>
      <c r="W63" s="375">
        <v>0</v>
      </c>
      <c r="X63" s="374">
        <v>0</v>
      </c>
      <c r="Y63" s="374">
        <v>0</v>
      </c>
      <c r="Z63" s="374">
        <v>0</v>
      </c>
      <c r="AA63" s="375">
        <v>0</v>
      </c>
    </row>
    <row r="64" spans="1:27" s="1" customFormat="1">
      <c r="A64" s="182"/>
      <c r="B64" s="476" t="s">
        <v>16</v>
      </c>
      <c r="C64" s="476">
        <v>0</v>
      </c>
      <c r="D64" s="735">
        <v>0</v>
      </c>
      <c r="E64" s="735">
        <v>0</v>
      </c>
      <c r="F64" s="735">
        <v>0</v>
      </c>
      <c r="G64" s="735">
        <v>0</v>
      </c>
      <c r="H64" s="735">
        <v>0</v>
      </c>
      <c r="I64" s="476">
        <v>0</v>
      </c>
      <c r="J64" s="476">
        <v>0</v>
      </c>
      <c r="K64" s="735">
        <v>7.6634670547936412E-3</v>
      </c>
      <c r="L64" s="735">
        <v>8.3607693004379147E-3</v>
      </c>
      <c r="M64" s="735">
        <v>1.0866375249069369E-2</v>
      </c>
      <c r="N64" s="476">
        <v>8.1843231409460433E-3</v>
      </c>
      <c r="O64" s="476">
        <v>0</v>
      </c>
      <c r="P64" s="735">
        <v>0</v>
      </c>
      <c r="Q64" s="476">
        <v>0</v>
      </c>
      <c r="R64" s="476">
        <v>0</v>
      </c>
      <c r="S64" s="476">
        <v>0</v>
      </c>
      <c r="T64" s="376">
        <v>0</v>
      </c>
      <c r="U64" s="376">
        <v>0</v>
      </c>
      <c r="V64" s="376">
        <v>0</v>
      </c>
      <c r="W64" s="377">
        <v>0</v>
      </c>
      <c r="X64" s="376">
        <v>0</v>
      </c>
      <c r="Y64" s="376">
        <v>0</v>
      </c>
      <c r="Z64" s="376">
        <v>0</v>
      </c>
      <c r="AA64" s="377">
        <v>0</v>
      </c>
    </row>
    <row r="65" spans="1:27">
      <c r="A65" s="182"/>
      <c r="B65" s="477" t="s">
        <v>11</v>
      </c>
      <c r="C65" s="390">
        <v>0</v>
      </c>
      <c r="D65" s="107">
        <v>0</v>
      </c>
      <c r="E65" s="107">
        <v>0</v>
      </c>
      <c r="F65" s="107">
        <v>0</v>
      </c>
      <c r="G65" s="107">
        <v>0</v>
      </c>
      <c r="H65" s="107">
        <v>0</v>
      </c>
      <c r="I65" s="390">
        <v>0</v>
      </c>
      <c r="J65" s="390">
        <v>0</v>
      </c>
      <c r="K65" s="107">
        <v>921608</v>
      </c>
      <c r="L65" s="107">
        <v>939522</v>
      </c>
      <c r="M65" s="107">
        <v>114366</v>
      </c>
      <c r="N65" s="390">
        <v>1975496</v>
      </c>
      <c r="O65" s="390">
        <v>0</v>
      </c>
      <c r="P65" s="107">
        <v>0</v>
      </c>
      <c r="Q65" s="390">
        <v>0</v>
      </c>
      <c r="R65" s="390">
        <v>0</v>
      </c>
      <c r="S65" s="390">
        <v>0</v>
      </c>
      <c r="T65" s="374">
        <v>0</v>
      </c>
      <c r="U65" s="374">
        <v>0</v>
      </c>
      <c r="V65" s="374">
        <v>0</v>
      </c>
      <c r="W65" s="375">
        <v>0</v>
      </c>
      <c r="X65" s="374">
        <v>0</v>
      </c>
      <c r="Y65" s="374">
        <v>0</v>
      </c>
      <c r="Z65" s="374">
        <v>0</v>
      </c>
      <c r="AA65" s="375">
        <v>0</v>
      </c>
    </row>
    <row r="66" spans="1:27" s="1" customFormat="1">
      <c r="A66" s="182"/>
      <c r="B66" s="477" t="s">
        <v>15</v>
      </c>
      <c r="C66" s="390">
        <v>0</v>
      </c>
      <c r="D66" s="107">
        <v>0</v>
      </c>
      <c r="E66" s="107">
        <v>0</v>
      </c>
      <c r="F66" s="107">
        <v>0</v>
      </c>
      <c r="G66" s="107">
        <v>0</v>
      </c>
      <c r="H66" s="107">
        <v>0</v>
      </c>
      <c r="I66" s="390">
        <v>0</v>
      </c>
      <c r="J66" s="390">
        <v>0</v>
      </c>
      <c r="K66" s="107">
        <v>11079</v>
      </c>
      <c r="L66" s="107">
        <v>10602</v>
      </c>
      <c r="M66" s="107">
        <v>1292</v>
      </c>
      <c r="N66" s="390">
        <v>22973</v>
      </c>
      <c r="O66" s="390">
        <v>0</v>
      </c>
      <c r="P66" s="107">
        <v>0</v>
      </c>
      <c r="Q66" s="390">
        <v>0</v>
      </c>
      <c r="R66" s="390">
        <v>0</v>
      </c>
      <c r="S66" s="390">
        <v>0</v>
      </c>
      <c r="T66" s="374">
        <v>0</v>
      </c>
      <c r="U66" s="374">
        <v>0</v>
      </c>
      <c r="V66" s="374">
        <v>0</v>
      </c>
      <c r="W66" s="375">
        <v>0</v>
      </c>
      <c r="X66" s="374">
        <v>0</v>
      </c>
      <c r="Y66" s="374">
        <v>0</v>
      </c>
      <c r="Z66" s="374">
        <v>0</v>
      </c>
      <c r="AA66" s="375">
        <v>0</v>
      </c>
    </row>
    <row r="67" spans="1:27">
      <c r="A67" s="182"/>
      <c r="B67" s="475" t="s">
        <v>17</v>
      </c>
      <c r="C67" s="476">
        <v>0</v>
      </c>
      <c r="D67" s="735">
        <v>0</v>
      </c>
      <c r="E67" s="735">
        <v>0</v>
      </c>
      <c r="F67" s="735">
        <v>0</v>
      </c>
      <c r="G67" s="735">
        <v>0</v>
      </c>
      <c r="H67" s="735">
        <v>0</v>
      </c>
      <c r="I67" s="476">
        <v>0</v>
      </c>
      <c r="J67" s="476">
        <v>0</v>
      </c>
      <c r="K67" s="735">
        <v>1.2021380022742858E-2</v>
      </c>
      <c r="L67" s="735">
        <v>1.1284461673063536E-2</v>
      </c>
      <c r="M67" s="735">
        <v>1.1297063812671598E-2</v>
      </c>
      <c r="N67" s="476">
        <v>1.1628978241413802E-2</v>
      </c>
      <c r="O67" s="476">
        <v>0</v>
      </c>
      <c r="P67" s="735">
        <v>0</v>
      </c>
      <c r="Q67" s="476">
        <v>0</v>
      </c>
      <c r="R67" s="475">
        <v>0</v>
      </c>
      <c r="S67" s="475">
        <v>0</v>
      </c>
      <c r="T67" s="378">
        <v>0</v>
      </c>
      <c r="U67" s="378">
        <v>0</v>
      </c>
      <c r="V67" s="378">
        <v>0</v>
      </c>
      <c r="W67" s="379">
        <v>0</v>
      </c>
      <c r="X67" s="378">
        <v>0</v>
      </c>
      <c r="Y67" s="378">
        <v>0</v>
      </c>
      <c r="Z67" s="378">
        <v>0</v>
      </c>
      <c r="AA67" s="379">
        <v>0</v>
      </c>
    </row>
    <row r="68" spans="1:27" s="1" customFormat="1">
      <c r="A68" s="182"/>
      <c r="B68" s="474" t="s">
        <v>229</v>
      </c>
      <c r="C68" s="736">
        <v>0</v>
      </c>
      <c r="D68" s="737">
        <v>0</v>
      </c>
      <c r="E68" s="737">
        <v>0</v>
      </c>
      <c r="F68" s="737">
        <v>0</v>
      </c>
      <c r="G68" s="737">
        <v>0</v>
      </c>
      <c r="H68" s="737">
        <v>0</v>
      </c>
      <c r="I68" s="736">
        <v>0</v>
      </c>
      <c r="J68" s="736">
        <v>0</v>
      </c>
      <c r="K68" s="737">
        <v>4.3579129679492167E-3</v>
      </c>
      <c r="L68" s="737">
        <v>2.9236923726256216E-3</v>
      </c>
      <c r="M68" s="737">
        <v>4.3068856360222937E-4</v>
      </c>
      <c r="N68" s="736">
        <v>3.4446551004677587E-3</v>
      </c>
      <c r="O68" s="736">
        <v>0</v>
      </c>
      <c r="P68" s="737">
        <v>0</v>
      </c>
      <c r="Q68" s="736">
        <v>0</v>
      </c>
      <c r="R68" s="736">
        <v>0</v>
      </c>
      <c r="S68" s="736">
        <v>0</v>
      </c>
      <c r="T68" s="380">
        <v>0</v>
      </c>
      <c r="U68" s="380">
        <v>0</v>
      </c>
      <c r="V68" s="380">
        <v>0</v>
      </c>
      <c r="W68" s="381">
        <v>0</v>
      </c>
      <c r="X68" s="380">
        <v>0</v>
      </c>
      <c r="Y68" s="380">
        <v>0</v>
      </c>
      <c r="Z68" s="380">
        <v>0</v>
      </c>
      <c r="AA68" s="381">
        <v>0</v>
      </c>
    </row>
    <row r="69" spans="1:27">
      <c r="A69" s="365" t="s">
        <v>364</v>
      </c>
      <c r="B69" s="384" t="s">
        <v>10</v>
      </c>
      <c r="C69" s="388">
        <v>1663617</v>
      </c>
      <c r="D69" s="389">
        <v>1163788</v>
      </c>
      <c r="E69" s="389">
        <v>1491973</v>
      </c>
      <c r="F69" s="389">
        <v>148382</v>
      </c>
      <c r="G69" s="389">
        <v>328917</v>
      </c>
      <c r="H69" s="389">
        <v>196642</v>
      </c>
      <c r="I69" s="388">
        <v>4993319</v>
      </c>
      <c r="J69" s="388">
        <v>0</v>
      </c>
      <c r="K69" s="389">
        <v>2464279</v>
      </c>
      <c r="L69" s="389">
        <v>1985700</v>
      </c>
      <c r="M69" s="389">
        <v>817341</v>
      </c>
      <c r="N69" s="388">
        <v>5267320</v>
      </c>
      <c r="O69" s="388">
        <v>0</v>
      </c>
      <c r="P69" s="389">
        <v>0</v>
      </c>
      <c r="Q69" s="388">
        <v>0</v>
      </c>
      <c r="R69" s="388">
        <v>0</v>
      </c>
      <c r="S69" s="388">
        <v>0</v>
      </c>
      <c r="T69" s="372">
        <v>0</v>
      </c>
      <c r="U69" s="372">
        <v>0</v>
      </c>
      <c r="V69" s="372">
        <v>0</v>
      </c>
      <c r="W69" s="373">
        <v>0</v>
      </c>
      <c r="X69" s="372">
        <v>0</v>
      </c>
      <c r="Y69" s="372">
        <v>0</v>
      </c>
      <c r="Z69" s="372">
        <v>0</v>
      </c>
      <c r="AA69" s="373">
        <v>0</v>
      </c>
    </row>
    <row r="70" spans="1:27" s="1" customFormat="1">
      <c r="A70" s="182"/>
      <c r="B70" s="477" t="s">
        <v>14</v>
      </c>
      <c r="C70" s="390">
        <v>294</v>
      </c>
      <c r="D70" s="107">
        <v>402</v>
      </c>
      <c r="E70" s="107">
        <v>6480</v>
      </c>
      <c r="F70" s="107">
        <v>2856</v>
      </c>
      <c r="G70" s="107">
        <v>0</v>
      </c>
      <c r="H70" s="107">
        <v>0</v>
      </c>
      <c r="I70" s="390">
        <v>10032</v>
      </c>
      <c r="J70" s="390">
        <v>0</v>
      </c>
      <c r="K70" s="107">
        <v>63976</v>
      </c>
      <c r="L70" s="107">
        <v>147288</v>
      </c>
      <c r="M70" s="107">
        <v>73667</v>
      </c>
      <c r="N70" s="390">
        <v>284931</v>
      </c>
      <c r="O70" s="390">
        <v>0</v>
      </c>
      <c r="P70" s="107">
        <v>0</v>
      </c>
      <c r="Q70" s="390">
        <v>0</v>
      </c>
      <c r="R70" s="390">
        <v>0</v>
      </c>
      <c r="S70" s="390">
        <v>0</v>
      </c>
      <c r="T70" s="374">
        <v>0</v>
      </c>
      <c r="U70" s="374">
        <v>0</v>
      </c>
      <c r="V70" s="374">
        <v>0</v>
      </c>
      <c r="W70" s="375">
        <v>0</v>
      </c>
      <c r="X70" s="374">
        <v>0</v>
      </c>
      <c r="Y70" s="374">
        <v>0</v>
      </c>
      <c r="Z70" s="374">
        <v>0</v>
      </c>
      <c r="AA70" s="375">
        <v>0</v>
      </c>
    </row>
    <row r="71" spans="1:27">
      <c r="A71" s="182"/>
      <c r="B71" s="476" t="s">
        <v>16</v>
      </c>
      <c r="C71" s="476">
        <v>1.7672336841953405E-4</v>
      </c>
      <c r="D71" s="735">
        <v>3.4542373696927622E-4</v>
      </c>
      <c r="E71" s="735">
        <v>4.3432421364193591E-3</v>
      </c>
      <c r="F71" s="735">
        <v>1.9247617635562264E-2</v>
      </c>
      <c r="G71" s="735">
        <v>0</v>
      </c>
      <c r="H71" s="735">
        <v>0</v>
      </c>
      <c r="I71" s="476">
        <v>2.0090845387606918E-3</v>
      </c>
      <c r="J71" s="476">
        <v>0</v>
      </c>
      <c r="K71" s="735">
        <v>2.5961346097580672E-2</v>
      </c>
      <c r="L71" s="735">
        <v>7.4174346578032929E-2</v>
      </c>
      <c r="M71" s="735">
        <v>9.0130068111106632E-2</v>
      </c>
      <c r="N71" s="476">
        <v>5.4094112375933111E-2</v>
      </c>
      <c r="O71" s="476">
        <v>0</v>
      </c>
      <c r="P71" s="735">
        <v>0</v>
      </c>
      <c r="Q71" s="476">
        <v>0</v>
      </c>
      <c r="R71" s="476">
        <v>0</v>
      </c>
      <c r="S71" s="476">
        <v>0</v>
      </c>
      <c r="T71" s="376">
        <v>0</v>
      </c>
      <c r="U71" s="376">
        <v>0</v>
      </c>
      <c r="V71" s="376">
        <v>0</v>
      </c>
      <c r="W71" s="377">
        <v>0</v>
      </c>
      <c r="X71" s="376">
        <v>0</v>
      </c>
      <c r="Y71" s="376">
        <v>0</v>
      </c>
      <c r="Z71" s="376">
        <v>0</v>
      </c>
      <c r="AA71" s="377">
        <v>0</v>
      </c>
    </row>
    <row r="72" spans="1:27" s="1" customFormat="1">
      <c r="A72" s="182"/>
      <c r="B72" s="477" t="s">
        <v>11</v>
      </c>
      <c r="C72" s="390">
        <v>1635177</v>
      </c>
      <c r="D72" s="107">
        <v>1152657</v>
      </c>
      <c r="E72" s="107">
        <v>1502305</v>
      </c>
      <c r="F72" s="107">
        <v>148822</v>
      </c>
      <c r="G72" s="107">
        <v>307789</v>
      </c>
      <c r="H72" s="107">
        <v>182524</v>
      </c>
      <c r="I72" s="390">
        <v>4929274</v>
      </c>
      <c r="J72" s="390">
        <v>0</v>
      </c>
      <c r="K72" s="107">
        <v>2457513</v>
      </c>
      <c r="L72" s="107">
        <v>1861057</v>
      </c>
      <c r="M72" s="107">
        <v>760466</v>
      </c>
      <c r="N72" s="390">
        <v>5079036</v>
      </c>
      <c r="O72" s="390">
        <v>0</v>
      </c>
      <c r="P72" s="107">
        <v>0</v>
      </c>
      <c r="Q72" s="390">
        <v>0</v>
      </c>
      <c r="R72" s="390">
        <v>0</v>
      </c>
      <c r="S72" s="390">
        <v>0</v>
      </c>
      <c r="T72" s="374">
        <v>0</v>
      </c>
      <c r="U72" s="374">
        <v>0</v>
      </c>
      <c r="V72" s="374">
        <v>0</v>
      </c>
      <c r="W72" s="375">
        <v>0</v>
      </c>
      <c r="X72" s="374">
        <v>0</v>
      </c>
      <c r="Y72" s="374">
        <v>0</v>
      </c>
      <c r="Z72" s="374">
        <v>0</v>
      </c>
      <c r="AA72" s="375">
        <v>0</v>
      </c>
    </row>
    <row r="73" spans="1:27">
      <c r="A73" s="182"/>
      <c r="B73" s="477" t="s">
        <v>15</v>
      </c>
      <c r="C73" s="390">
        <v>9</v>
      </c>
      <c r="D73" s="107">
        <v>600</v>
      </c>
      <c r="E73" s="107">
        <v>6503</v>
      </c>
      <c r="F73" s="107">
        <v>2538</v>
      </c>
      <c r="G73" s="107">
        <v>0</v>
      </c>
      <c r="H73" s="107">
        <v>0</v>
      </c>
      <c r="I73" s="390">
        <v>9650</v>
      </c>
      <c r="J73" s="390">
        <v>0</v>
      </c>
      <c r="K73" s="107">
        <v>58589</v>
      </c>
      <c r="L73" s="107">
        <v>136601</v>
      </c>
      <c r="M73" s="107">
        <v>72647</v>
      </c>
      <c r="N73" s="390">
        <v>267837</v>
      </c>
      <c r="O73" s="390">
        <v>0</v>
      </c>
      <c r="P73" s="107">
        <v>0</v>
      </c>
      <c r="Q73" s="390">
        <v>0</v>
      </c>
      <c r="R73" s="390">
        <v>0</v>
      </c>
      <c r="S73" s="390">
        <v>0</v>
      </c>
      <c r="T73" s="374">
        <v>0</v>
      </c>
      <c r="U73" s="374">
        <v>0</v>
      </c>
      <c r="V73" s="374">
        <v>0</v>
      </c>
      <c r="W73" s="375">
        <v>0</v>
      </c>
      <c r="X73" s="374">
        <v>0</v>
      </c>
      <c r="Y73" s="374">
        <v>0</v>
      </c>
      <c r="Z73" s="374">
        <v>0</v>
      </c>
      <c r="AA73" s="375">
        <v>0</v>
      </c>
    </row>
    <row r="74" spans="1:27" s="1" customFormat="1">
      <c r="A74" s="182"/>
      <c r="B74" s="475" t="s">
        <v>17</v>
      </c>
      <c r="C74" s="476">
        <v>5.5039913110323834E-6</v>
      </c>
      <c r="D74" s="735">
        <v>5.2053646488070602E-4</v>
      </c>
      <c r="E74" s="735">
        <v>4.3286815926193416E-3</v>
      </c>
      <c r="F74" s="735">
        <v>1.7053930198492159E-2</v>
      </c>
      <c r="G74" s="735">
        <v>0</v>
      </c>
      <c r="H74" s="735">
        <v>0</v>
      </c>
      <c r="I74" s="476">
        <v>1.9576919440875066E-3</v>
      </c>
      <c r="J74" s="476">
        <v>0</v>
      </c>
      <c r="K74" s="735">
        <v>2.3840769102747371E-2</v>
      </c>
      <c r="L74" s="735">
        <v>7.3399686307297415E-2</v>
      </c>
      <c r="M74" s="735">
        <v>9.5529583176631169E-2</v>
      </c>
      <c r="N74" s="476">
        <v>5.2733825867743403E-2</v>
      </c>
      <c r="O74" s="476">
        <v>0</v>
      </c>
      <c r="P74" s="735">
        <v>0</v>
      </c>
      <c r="Q74" s="476">
        <v>0</v>
      </c>
      <c r="R74" s="475">
        <v>0</v>
      </c>
      <c r="S74" s="475">
        <v>0</v>
      </c>
      <c r="T74" s="378">
        <v>0</v>
      </c>
      <c r="U74" s="378">
        <v>0</v>
      </c>
      <c r="V74" s="378">
        <v>0</v>
      </c>
      <c r="W74" s="379">
        <v>0</v>
      </c>
      <c r="X74" s="378">
        <v>0</v>
      </c>
      <c r="Y74" s="378">
        <v>0</v>
      </c>
      <c r="Z74" s="378">
        <v>0</v>
      </c>
      <c r="AA74" s="379">
        <v>0</v>
      </c>
    </row>
    <row r="75" spans="1:27">
      <c r="A75" s="182"/>
      <c r="B75" s="474" t="s">
        <v>229</v>
      </c>
      <c r="C75" s="736">
        <v>-1.7121937710850167E-4</v>
      </c>
      <c r="D75" s="737">
        <v>1.7511272791142981E-4</v>
      </c>
      <c r="E75" s="737">
        <v>-1.4560543800017436E-5</v>
      </c>
      <c r="F75" s="737">
        <v>-2.1936874370701055E-3</v>
      </c>
      <c r="G75" s="737">
        <v>0</v>
      </c>
      <c r="H75" s="737">
        <v>0</v>
      </c>
      <c r="I75" s="736">
        <v>-5.1392594673185191E-5</v>
      </c>
      <c r="J75" s="736">
        <v>0</v>
      </c>
      <c r="K75" s="737">
        <v>-2.1205769948333016E-3</v>
      </c>
      <c r="L75" s="737">
        <v>-7.746602707355138E-4</v>
      </c>
      <c r="M75" s="737">
        <v>5.3995150655245377E-3</v>
      </c>
      <c r="N75" s="736">
        <v>-1.3602865081897078E-3</v>
      </c>
      <c r="O75" s="736">
        <v>0</v>
      </c>
      <c r="P75" s="737">
        <v>0</v>
      </c>
      <c r="Q75" s="736">
        <v>0</v>
      </c>
      <c r="R75" s="736">
        <v>0</v>
      </c>
      <c r="S75" s="736">
        <v>0</v>
      </c>
      <c r="T75" s="380">
        <v>0</v>
      </c>
      <c r="U75" s="380">
        <v>0</v>
      </c>
      <c r="V75" s="380">
        <v>0</v>
      </c>
      <c r="W75" s="381">
        <v>0</v>
      </c>
      <c r="X75" s="380">
        <v>0</v>
      </c>
      <c r="Y75" s="380">
        <v>0</v>
      </c>
      <c r="Z75" s="380">
        <v>0</v>
      </c>
      <c r="AA75" s="381">
        <v>0</v>
      </c>
    </row>
    <row r="76" spans="1:27" s="1" customFormat="1">
      <c r="A76" s="365" t="s">
        <v>452</v>
      </c>
      <c r="B76" s="384" t="s">
        <v>10</v>
      </c>
      <c r="C76" s="388">
        <v>1090799</v>
      </c>
      <c r="D76" s="389">
        <v>0</v>
      </c>
      <c r="E76" s="389">
        <v>584502</v>
      </c>
      <c r="F76" s="389">
        <v>97880</v>
      </c>
      <c r="G76" s="389">
        <v>489012</v>
      </c>
      <c r="H76" s="389">
        <v>172323</v>
      </c>
      <c r="I76" s="388">
        <v>2434516</v>
      </c>
      <c r="J76" s="388">
        <v>265072</v>
      </c>
      <c r="K76" s="389">
        <v>853028</v>
      </c>
      <c r="L76" s="389">
        <v>183671</v>
      </c>
      <c r="M76" s="389">
        <v>387297</v>
      </c>
      <c r="N76" s="388">
        <v>1689068</v>
      </c>
      <c r="O76" s="388">
        <v>0</v>
      </c>
      <c r="P76" s="389">
        <v>0</v>
      </c>
      <c r="Q76" s="388">
        <v>0</v>
      </c>
      <c r="R76" s="388">
        <v>0</v>
      </c>
      <c r="S76" s="388">
        <v>0</v>
      </c>
      <c r="T76" s="372">
        <v>0</v>
      </c>
      <c r="U76" s="372">
        <v>0</v>
      </c>
      <c r="V76" s="372">
        <v>0</v>
      </c>
      <c r="W76" s="373">
        <v>0</v>
      </c>
      <c r="X76" s="372">
        <v>0</v>
      </c>
      <c r="Y76" s="372">
        <v>0</v>
      </c>
      <c r="Z76" s="372">
        <v>0</v>
      </c>
      <c r="AA76" s="373">
        <v>0</v>
      </c>
    </row>
    <row r="77" spans="1:27">
      <c r="A77" s="182"/>
      <c r="B77" s="477" t="s">
        <v>14</v>
      </c>
      <c r="C77" s="390">
        <v>1962</v>
      </c>
      <c r="D77" s="107">
        <v>0</v>
      </c>
      <c r="E77" s="107">
        <v>2537</v>
      </c>
      <c r="F77" s="107">
        <v>1492</v>
      </c>
      <c r="G77" s="107">
        <v>5213</v>
      </c>
      <c r="H77" s="107">
        <v>5077</v>
      </c>
      <c r="I77" s="390">
        <v>16281</v>
      </c>
      <c r="J77" s="390">
        <v>7933</v>
      </c>
      <c r="K77" s="107">
        <v>37024</v>
      </c>
      <c r="L77" s="107">
        <v>9045</v>
      </c>
      <c r="M77" s="107">
        <v>25659</v>
      </c>
      <c r="N77" s="390">
        <v>79661</v>
      </c>
      <c r="O77" s="390">
        <v>0</v>
      </c>
      <c r="P77" s="107">
        <v>0</v>
      </c>
      <c r="Q77" s="390">
        <v>0</v>
      </c>
      <c r="R77" s="390">
        <v>0</v>
      </c>
      <c r="S77" s="390">
        <v>0</v>
      </c>
      <c r="T77" s="374">
        <v>0</v>
      </c>
      <c r="U77" s="374">
        <v>0</v>
      </c>
      <c r="V77" s="374">
        <v>0</v>
      </c>
      <c r="W77" s="375">
        <v>0</v>
      </c>
      <c r="X77" s="374">
        <v>0</v>
      </c>
      <c r="Y77" s="374">
        <v>0</v>
      </c>
      <c r="Z77" s="374">
        <v>0</v>
      </c>
      <c r="AA77" s="375">
        <v>0</v>
      </c>
    </row>
    <row r="78" spans="1:27" s="1" customFormat="1">
      <c r="A78" s="182"/>
      <c r="B78" s="476" t="s">
        <v>16</v>
      </c>
      <c r="C78" s="476">
        <v>1.7986815169430848E-3</v>
      </c>
      <c r="D78" s="735">
        <v>0</v>
      </c>
      <c r="E78" s="735">
        <v>4.340447081447112E-3</v>
      </c>
      <c r="F78" s="735">
        <v>1.5243154883530854E-2</v>
      </c>
      <c r="G78" s="735">
        <v>1.0660270095621375E-2</v>
      </c>
      <c r="H78" s="735">
        <v>2.9462114749627153E-2</v>
      </c>
      <c r="I78" s="476">
        <v>6.6875715748017268E-3</v>
      </c>
      <c r="J78" s="476">
        <v>2.9927717752157905E-2</v>
      </c>
      <c r="K78" s="735">
        <v>4.3403030146724378E-2</v>
      </c>
      <c r="L78" s="735">
        <v>4.9245662080567972E-2</v>
      </c>
      <c r="M78" s="735">
        <v>6.6251481421234867E-2</v>
      </c>
      <c r="N78" s="476">
        <v>4.7162695640436028E-2</v>
      </c>
      <c r="O78" s="476">
        <v>0</v>
      </c>
      <c r="P78" s="735">
        <v>0</v>
      </c>
      <c r="Q78" s="476">
        <v>0</v>
      </c>
      <c r="R78" s="476">
        <v>0</v>
      </c>
      <c r="S78" s="476">
        <v>0</v>
      </c>
      <c r="T78" s="376">
        <v>0</v>
      </c>
      <c r="U78" s="376">
        <v>0</v>
      </c>
      <c r="V78" s="376">
        <v>0</v>
      </c>
      <c r="W78" s="377">
        <v>0</v>
      </c>
      <c r="X78" s="376">
        <v>0</v>
      </c>
      <c r="Y78" s="376">
        <v>0</v>
      </c>
      <c r="Z78" s="376">
        <v>0</v>
      </c>
      <c r="AA78" s="377">
        <v>0</v>
      </c>
    </row>
    <row r="79" spans="1:27">
      <c r="A79" s="182"/>
      <c r="B79" s="477" t="s">
        <v>11</v>
      </c>
      <c r="C79" s="390">
        <v>1102494</v>
      </c>
      <c r="D79" s="107">
        <v>0</v>
      </c>
      <c r="E79" s="107">
        <v>560017</v>
      </c>
      <c r="F79" s="107">
        <v>94881</v>
      </c>
      <c r="G79" s="107">
        <v>400515</v>
      </c>
      <c r="H79" s="107">
        <v>195018</v>
      </c>
      <c r="I79" s="390">
        <v>2352925</v>
      </c>
      <c r="J79" s="390">
        <v>284969</v>
      </c>
      <c r="K79" s="107">
        <v>810898</v>
      </c>
      <c r="L79" s="107">
        <v>151079</v>
      </c>
      <c r="M79" s="107">
        <v>372381</v>
      </c>
      <c r="N79" s="390">
        <v>1619327</v>
      </c>
      <c r="O79" s="390">
        <v>0</v>
      </c>
      <c r="P79" s="107">
        <v>0</v>
      </c>
      <c r="Q79" s="390">
        <v>0</v>
      </c>
      <c r="R79" s="390">
        <v>0</v>
      </c>
      <c r="S79" s="390">
        <v>0</v>
      </c>
      <c r="T79" s="374">
        <v>0</v>
      </c>
      <c r="U79" s="374">
        <v>0</v>
      </c>
      <c r="V79" s="374">
        <v>0</v>
      </c>
      <c r="W79" s="375">
        <v>0</v>
      </c>
      <c r="X79" s="374">
        <v>0</v>
      </c>
      <c r="Y79" s="374">
        <v>0</v>
      </c>
      <c r="Z79" s="374">
        <v>0</v>
      </c>
      <c r="AA79" s="375">
        <v>0</v>
      </c>
    </row>
    <row r="80" spans="1:27" s="1" customFormat="1">
      <c r="A80" s="182"/>
      <c r="B80" s="477" t="s">
        <v>15</v>
      </c>
      <c r="C80" s="390">
        <v>1543</v>
      </c>
      <c r="D80" s="107">
        <v>0</v>
      </c>
      <c r="E80" s="107">
        <v>2512</v>
      </c>
      <c r="F80" s="107">
        <v>1420</v>
      </c>
      <c r="G80" s="107">
        <v>5367</v>
      </c>
      <c r="H80" s="107">
        <v>4451</v>
      </c>
      <c r="I80" s="390">
        <v>15293</v>
      </c>
      <c r="J80" s="390">
        <v>10233</v>
      </c>
      <c r="K80" s="107">
        <v>29875</v>
      </c>
      <c r="L80" s="107">
        <v>8972</v>
      </c>
      <c r="M80" s="107">
        <v>25654</v>
      </c>
      <c r="N80" s="390">
        <v>74734</v>
      </c>
      <c r="O80" s="390">
        <v>0</v>
      </c>
      <c r="P80" s="107">
        <v>0</v>
      </c>
      <c r="Q80" s="390">
        <v>0</v>
      </c>
      <c r="R80" s="390">
        <v>0</v>
      </c>
      <c r="S80" s="390">
        <v>0</v>
      </c>
      <c r="T80" s="374">
        <v>0</v>
      </c>
      <c r="U80" s="374">
        <v>0</v>
      </c>
      <c r="V80" s="374">
        <v>0</v>
      </c>
      <c r="W80" s="375">
        <v>0</v>
      </c>
      <c r="X80" s="374">
        <v>0</v>
      </c>
      <c r="Y80" s="374">
        <v>0</v>
      </c>
      <c r="Z80" s="374">
        <v>0</v>
      </c>
      <c r="AA80" s="375">
        <v>0</v>
      </c>
    </row>
    <row r="81" spans="1:27">
      <c r="A81" s="182"/>
      <c r="B81" s="475" t="s">
        <v>17</v>
      </c>
      <c r="C81" s="476">
        <v>1.3995541018817336E-3</v>
      </c>
      <c r="D81" s="735">
        <v>0</v>
      </c>
      <c r="E81" s="735">
        <v>4.4855781163786104E-3</v>
      </c>
      <c r="F81" s="735">
        <v>1.4966115449879323E-2</v>
      </c>
      <c r="G81" s="735">
        <v>1.3400247181753493E-2</v>
      </c>
      <c r="H81" s="735">
        <v>2.2823534237865224E-2</v>
      </c>
      <c r="I81" s="476">
        <v>6.4995696845415816E-3</v>
      </c>
      <c r="J81" s="476">
        <v>3.5909169067512604E-2</v>
      </c>
      <c r="K81" s="735">
        <v>3.6841871604073512E-2</v>
      </c>
      <c r="L81" s="735">
        <v>5.9386148968420496E-2</v>
      </c>
      <c r="M81" s="735">
        <v>6.8891807047083503E-2</v>
      </c>
      <c r="N81" s="476">
        <v>4.6151271485005807E-2</v>
      </c>
      <c r="O81" s="476">
        <v>0</v>
      </c>
      <c r="P81" s="735">
        <v>0</v>
      </c>
      <c r="Q81" s="476">
        <v>0</v>
      </c>
      <c r="R81" s="475">
        <v>0</v>
      </c>
      <c r="S81" s="475">
        <v>0</v>
      </c>
      <c r="T81" s="378">
        <v>0</v>
      </c>
      <c r="U81" s="378">
        <v>0</v>
      </c>
      <c r="V81" s="378">
        <v>0</v>
      </c>
      <c r="W81" s="379">
        <v>0</v>
      </c>
      <c r="X81" s="378">
        <v>0</v>
      </c>
      <c r="Y81" s="378">
        <v>0</v>
      </c>
      <c r="Z81" s="378">
        <v>0</v>
      </c>
      <c r="AA81" s="379">
        <v>0</v>
      </c>
    </row>
    <row r="82" spans="1:27" s="1" customFormat="1">
      <c r="A82" s="182"/>
      <c r="B82" s="474" t="s">
        <v>229</v>
      </c>
      <c r="C82" s="736">
        <v>-3.9912741506135116E-4</v>
      </c>
      <c r="D82" s="737">
        <v>0</v>
      </c>
      <c r="E82" s="737">
        <v>1.451310349314984E-4</v>
      </c>
      <c r="F82" s="737">
        <v>-2.7703943365153111E-4</v>
      </c>
      <c r="G82" s="737">
        <v>2.7399770861321181E-3</v>
      </c>
      <c r="H82" s="737">
        <v>-6.6385805117619295E-3</v>
      </c>
      <c r="I82" s="736">
        <v>-1.8800189026014526E-4</v>
      </c>
      <c r="J82" s="736">
        <v>5.9814513153546994E-3</v>
      </c>
      <c r="K82" s="737">
        <v>-6.5611585426508662E-3</v>
      </c>
      <c r="L82" s="772">
        <v>1.0140486887852525E-2</v>
      </c>
      <c r="M82" s="737">
        <v>2.6403256258486357E-3</v>
      </c>
      <c r="N82" s="736">
        <v>-1.0114241554302211E-3</v>
      </c>
      <c r="O82" s="736">
        <v>0</v>
      </c>
      <c r="P82" s="737">
        <v>0</v>
      </c>
      <c r="Q82" s="736">
        <v>0</v>
      </c>
      <c r="R82" s="736">
        <v>0</v>
      </c>
      <c r="S82" s="736">
        <v>0</v>
      </c>
      <c r="T82" s="380">
        <v>0</v>
      </c>
      <c r="U82" s="380">
        <v>0</v>
      </c>
      <c r="V82" s="380">
        <v>0</v>
      </c>
      <c r="W82" s="381">
        <v>0</v>
      </c>
      <c r="X82" s="380">
        <v>0</v>
      </c>
      <c r="Y82" s="380">
        <v>0</v>
      </c>
      <c r="Z82" s="380">
        <v>0</v>
      </c>
      <c r="AA82" s="381">
        <v>0</v>
      </c>
    </row>
    <row r="83" spans="1:27">
      <c r="A83" s="365" t="s">
        <v>854</v>
      </c>
      <c r="B83" s="384" t="s">
        <v>10</v>
      </c>
      <c r="C83" s="388">
        <v>662243</v>
      </c>
      <c r="D83" s="389">
        <v>0</v>
      </c>
      <c r="E83" s="389">
        <v>442818</v>
      </c>
      <c r="F83" s="389">
        <v>87238</v>
      </c>
      <c r="G83" s="389">
        <v>352303</v>
      </c>
      <c r="H83" s="389">
        <v>367828</v>
      </c>
      <c r="I83" s="388">
        <v>1912430</v>
      </c>
      <c r="J83" s="388">
        <v>0</v>
      </c>
      <c r="K83" s="389">
        <v>1725519.6800000002</v>
      </c>
      <c r="L83" s="389">
        <v>534213.03</v>
      </c>
      <c r="M83" s="389">
        <v>211076.25</v>
      </c>
      <c r="N83" s="388">
        <v>2470808.9600000004</v>
      </c>
      <c r="O83" s="388">
        <v>0</v>
      </c>
      <c r="P83" s="389">
        <v>0</v>
      </c>
      <c r="Q83" s="388">
        <v>0</v>
      </c>
      <c r="R83" s="388">
        <v>0</v>
      </c>
      <c r="S83" s="388">
        <v>0</v>
      </c>
      <c r="T83" s="372">
        <v>0</v>
      </c>
      <c r="U83" s="372">
        <v>0</v>
      </c>
      <c r="V83" s="372">
        <v>0</v>
      </c>
      <c r="W83" s="373">
        <v>0</v>
      </c>
      <c r="X83" s="372">
        <v>0</v>
      </c>
      <c r="Y83" s="372">
        <v>0</v>
      </c>
      <c r="Z83" s="372">
        <v>0</v>
      </c>
      <c r="AA83" s="373">
        <v>0</v>
      </c>
    </row>
    <row r="84" spans="1:27" s="1" customFormat="1">
      <c r="A84" s="182"/>
      <c r="B84" s="477" t="s">
        <v>14</v>
      </c>
      <c r="C84" s="390">
        <v>143</v>
      </c>
      <c r="D84" s="107">
        <v>0</v>
      </c>
      <c r="E84" s="107">
        <v>1283</v>
      </c>
      <c r="F84" s="107">
        <v>227</v>
      </c>
      <c r="G84" s="107">
        <v>1696</v>
      </c>
      <c r="H84" s="107">
        <v>2918</v>
      </c>
      <c r="I84" s="390">
        <v>6267</v>
      </c>
      <c r="J84" s="390">
        <v>0</v>
      </c>
      <c r="K84" s="107">
        <v>41038</v>
      </c>
      <c r="L84" s="107">
        <v>19126</v>
      </c>
      <c r="M84" s="107">
        <v>15853</v>
      </c>
      <c r="N84" s="390">
        <v>76017</v>
      </c>
      <c r="O84" s="390">
        <v>0</v>
      </c>
      <c r="P84" s="107">
        <v>0</v>
      </c>
      <c r="Q84" s="390">
        <v>0</v>
      </c>
      <c r="R84" s="390">
        <v>0</v>
      </c>
      <c r="S84" s="390">
        <v>0</v>
      </c>
      <c r="T84" s="374">
        <v>0</v>
      </c>
      <c r="U84" s="374">
        <v>0</v>
      </c>
      <c r="V84" s="374">
        <v>0</v>
      </c>
      <c r="W84" s="375">
        <v>0</v>
      </c>
      <c r="X84" s="374">
        <v>0</v>
      </c>
      <c r="Y84" s="374">
        <v>0</v>
      </c>
      <c r="Z84" s="374">
        <v>0</v>
      </c>
      <c r="AA84" s="375">
        <v>0</v>
      </c>
    </row>
    <row r="85" spans="1:27">
      <c r="A85" s="182"/>
      <c r="B85" s="476" t="s">
        <v>16</v>
      </c>
      <c r="C85" s="476">
        <v>2.1593282224198672E-4</v>
      </c>
      <c r="D85" s="735">
        <v>0</v>
      </c>
      <c r="E85" s="735">
        <v>2.8973528628014216E-3</v>
      </c>
      <c r="F85" s="735">
        <v>2.6020770765033587E-3</v>
      </c>
      <c r="G85" s="735">
        <v>4.8140379162255218E-3</v>
      </c>
      <c r="H85" s="735">
        <v>7.9330556673227696E-3</v>
      </c>
      <c r="I85" s="476">
        <v>3.2769826869480192E-3</v>
      </c>
      <c r="J85" s="476">
        <v>0</v>
      </c>
      <c r="K85" s="735">
        <v>2.3782979977371221E-2</v>
      </c>
      <c r="L85" s="735">
        <v>3.5802196737881889E-2</v>
      </c>
      <c r="M85" s="735">
        <v>7.510556019447949E-2</v>
      </c>
      <c r="N85" s="476">
        <v>3.076603704723492E-2</v>
      </c>
      <c r="O85" s="476">
        <v>0</v>
      </c>
      <c r="P85" s="735">
        <v>0</v>
      </c>
      <c r="Q85" s="476">
        <v>0</v>
      </c>
      <c r="R85" s="476">
        <v>0</v>
      </c>
      <c r="S85" s="476">
        <v>0</v>
      </c>
      <c r="T85" s="376">
        <v>0</v>
      </c>
      <c r="U85" s="376">
        <v>0</v>
      </c>
      <c r="V85" s="376">
        <v>0</v>
      </c>
      <c r="W85" s="377">
        <v>0</v>
      </c>
      <c r="X85" s="376">
        <v>0</v>
      </c>
      <c r="Y85" s="376">
        <v>0</v>
      </c>
      <c r="Z85" s="376">
        <v>0</v>
      </c>
      <c r="AA85" s="377">
        <v>0</v>
      </c>
    </row>
    <row r="86" spans="1:27" s="1" customFormat="1">
      <c r="A86" s="182"/>
      <c r="B86" s="477" t="s">
        <v>11</v>
      </c>
      <c r="C86" s="390">
        <v>689548</v>
      </c>
      <c r="D86" s="107">
        <v>0</v>
      </c>
      <c r="E86" s="107">
        <v>450795.5</v>
      </c>
      <c r="F86" s="107">
        <v>90720</v>
      </c>
      <c r="G86" s="107">
        <v>102078</v>
      </c>
      <c r="H86" s="107">
        <v>363534.01</v>
      </c>
      <c r="I86" s="390">
        <v>1696675.51</v>
      </c>
      <c r="J86" s="390">
        <v>0</v>
      </c>
      <c r="K86" s="107">
        <v>1710057.6800000002</v>
      </c>
      <c r="L86" s="107">
        <v>505566.02999999997</v>
      </c>
      <c r="M86" s="107">
        <v>196974.25</v>
      </c>
      <c r="N86" s="390">
        <v>2412597.9600000004</v>
      </c>
      <c r="O86" s="390">
        <v>0</v>
      </c>
      <c r="P86" s="107">
        <v>0</v>
      </c>
      <c r="Q86" s="390">
        <v>0</v>
      </c>
      <c r="R86" s="390">
        <v>0</v>
      </c>
      <c r="S86" s="390">
        <v>0</v>
      </c>
      <c r="T86" s="374">
        <v>0</v>
      </c>
      <c r="U86" s="374">
        <v>0</v>
      </c>
      <c r="V86" s="374">
        <v>0</v>
      </c>
      <c r="W86" s="375">
        <v>0</v>
      </c>
      <c r="X86" s="374">
        <v>0</v>
      </c>
      <c r="Y86" s="374">
        <v>0</v>
      </c>
      <c r="Z86" s="374">
        <v>0</v>
      </c>
      <c r="AA86" s="375">
        <v>0</v>
      </c>
    </row>
    <row r="87" spans="1:27">
      <c r="A87" s="182"/>
      <c r="B87" s="477" t="s">
        <v>15</v>
      </c>
      <c r="C87" s="390">
        <v>135</v>
      </c>
      <c r="D87" s="107">
        <v>0</v>
      </c>
      <c r="E87" s="107">
        <v>1295</v>
      </c>
      <c r="F87" s="107">
        <v>213</v>
      </c>
      <c r="G87" s="107">
        <v>695</v>
      </c>
      <c r="H87" s="107">
        <v>3000</v>
      </c>
      <c r="I87" s="390">
        <v>5338</v>
      </c>
      <c r="J87" s="390">
        <v>0</v>
      </c>
      <c r="K87" s="107">
        <v>41300</v>
      </c>
      <c r="L87" s="107">
        <v>18692</v>
      </c>
      <c r="M87" s="107">
        <v>16490</v>
      </c>
      <c r="N87" s="390">
        <v>76482</v>
      </c>
      <c r="O87" s="390">
        <v>0</v>
      </c>
      <c r="P87" s="107">
        <v>0</v>
      </c>
      <c r="Q87" s="390">
        <v>0</v>
      </c>
      <c r="R87" s="390">
        <v>0</v>
      </c>
      <c r="S87" s="390">
        <v>0</v>
      </c>
      <c r="T87" s="374">
        <v>0</v>
      </c>
      <c r="U87" s="374">
        <v>0</v>
      </c>
      <c r="V87" s="374">
        <v>0</v>
      </c>
      <c r="W87" s="375">
        <v>0</v>
      </c>
      <c r="X87" s="374">
        <v>0</v>
      </c>
      <c r="Y87" s="374">
        <v>0</v>
      </c>
      <c r="Z87" s="374">
        <v>0</v>
      </c>
      <c r="AA87" s="375">
        <v>0</v>
      </c>
    </row>
    <row r="88" spans="1:27" s="1" customFormat="1">
      <c r="A88" s="182"/>
      <c r="B88" s="475" t="s">
        <v>17</v>
      </c>
      <c r="C88" s="476">
        <v>1.957804242779328E-4</v>
      </c>
      <c r="D88" s="735">
        <v>0</v>
      </c>
      <c r="E88" s="735">
        <v>2.8726994834686681E-3</v>
      </c>
      <c r="F88" s="735">
        <v>2.3478835978835979E-3</v>
      </c>
      <c r="G88" s="735">
        <v>6.8085189756852604E-3</v>
      </c>
      <c r="H88" s="735">
        <v>8.2523228019298657E-3</v>
      </c>
      <c r="I88" s="476">
        <v>3.1461525604268314E-3</v>
      </c>
      <c r="J88" s="476">
        <v>0</v>
      </c>
      <c r="K88" s="735">
        <v>2.41512321385557E-2</v>
      </c>
      <c r="L88" s="735">
        <v>3.6972420793382817E-2</v>
      </c>
      <c r="M88" s="735">
        <v>8.3716526398755167E-2</v>
      </c>
      <c r="N88" s="476">
        <v>3.1701096190929375E-2</v>
      </c>
      <c r="O88" s="476">
        <v>0</v>
      </c>
      <c r="P88" s="735">
        <v>0</v>
      </c>
      <c r="Q88" s="476">
        <v>0</v>
      </c>
      <c r="R88" s="475">
        <v>0</v>
      </c>
      <c r="S88" s="475">
        <v>0</v>
      </c>
      <c r="T88" s="378">
        <v>0</v>
      </c>
      <c r="U88" s="378">
        <v>0</v>
      </c>
      <c r="V88" s="378">
        <v>0</v>
      </c>
      <c r="W88" s="379">
        <v>0</v>
      </c>
      <c r="X88" s="378">
        <v>0</v>
      </c>
      <c r="Y88" s="378">
        <v>0</v>
      </c>
      <c r="Z88" s="378">
        <v>0</v>
      </c>
      <c r="AA88" s="379">
        <v>0</v>
      </c>
    </row>
    <row r="89" spans="1:27">
      <c r="A89" s="182"/>
      <c r="B89" s="474" t="s">
        <v>229</v>
      </c>
      <c r="C89" s="736">
        <v>-2.0152397964053916E-5</v>
      </c>
      <c r="D89" s="737">
        <v>0</v>
      </c>
      <c r="E89" s="737">
        <v>-2.4653379332753491E-5</v>
      </c>
      <c r="F89" s="737">
        <v>-2.5419347861976079E-4</v>
      </c>
      <c r="G89" s="737">
        <v>1.9944810594597386E-3</v>
      </c>
      <c r="H89" s="737">
        <v>3.1926713460709612E-4</v>
      </c>
      <c r="I89" s="736">
        <v>-1.3083012652118781E-4</v>
      </c>
      <c r="J89" s="736">
        <v>0</v>
      </c>
      <c r="K89" s="737">
        <v>3.6825216118447843E-4</v>
      </c>
      <c r="L89" s="737">
        <v>1.1702240555009277E-3</v>
      </c>
      <c r="M89" s="737">
        <v>8.6109662042756774E-3</v>
      </c>
      <c r="N89" s="736">
        <v>9.3505914369445414E-4</v>
      </c>
      <c r="O89" s="736">
        <v>0</v>
      </c>
      <c r="P89" s="737">
        <v>0</v>
      </c>
      <c r="Q89" s="736">
        <v>0</v>
      </c>
      <c r="R89" s="736">
        <v>0</v>
      </c>
      <c r="S89" s="736">
        <v>0</v>
      </c>
      <c r="T89" s="380">
        <v>0</v>
      </c>
      <c r="U89" s="380">
        <v>0</v>
      </c>
      <c r="V89" s="380">
        <v>0</v>
      </c>
      <c r="W89" s="381">
        <v>0</v>
      </c>
      <c r="X89" s="380">
        <v>0</v>
      </c>
      <c r="Y89" s="380">
        <v>0</v>
      </c>
      <c r="Z89" s="380">
        <v>0</v>
      </c>
      <c r="AA89" s="381">
        <v>0</v>
      </c>
    </row>
    <row r="90" spans="1:27" s="1" customFormat="1">
      <c r="A90" s="818" t="s">
        <v>652</v>
      </c>
      <c r="B90" s="384" t="s">
        <v>10</v>
      </c>
      <c r="C90" s="388">
        <v>0</v>
      </c>
      <c r="D90" s="389">
        <v>0</v>
      </c>
      <c r="E90" s="389">
        <v>245949</v>
      </c>
      <c r="F90" s="389">
        <v>0</v>
      </c>
      <c r="G90" s="389">
        <v>207524</v>
      </c>
      <c r="H90" s="389">
        <v>0</v>
      </c>
      <c r="I90" s="388">
        <v>453473</v>
      </c>
      <c r="J90" s="388">
        <v>0</v>
      </c>
      <c r="K90" s="389">
        <v>1110598</v>
      </c>
      <c r="L90" s="389">
        <v>893714</v>
      </c>
      <c r="M90" s="389">
        <v>0</v>
      </c>
      <c r="N90" s="388">
        <v>2004312</v>
      </c>
      <c r="O90" s="388">
        <v>0</v>
      </c>
      <c r="P90" s="389">
        <v>0</v>
      </c>
      <c r="Q90" s="388">
        <v>0</v>
      </c>
      <c r="R90" s="388">
        <v>0</v>
      </c>
      <c r="S90" s="388">
        <v>0</v>
      </c>
      <c r="T90" s="372">
        <v>0</v>
      </c>
      <c r="U90" s="372">
        <v>0</v>
      </c>
      <c r="V90" s="372">
        <v>0</v>
      </c>
      <c r="W90" s="373">
        <v>0</v>
      </c>
      <c r="X90" s="372">
        <v>0</v>
      </c>
      <c r="Y90" s="372">
        <v>0</v>
      </c>
      <c r="Z90" s="372">
        <v>0</v>
      </c>
      <c r="AA90" s="373">
        <v>0</v>
      </c>
    </row>
    <row r="91" spans="1:27">
      <c r="A91" s="819"/>
      <c r="B91" s="477" t="s">
        <v>14</v>
      </c>
      <c r="C91" s="390">
        <v>0</v>
      </c>
      <c r="D91" s="107">
        <v>0</v>
      </c>
      <c r="E91" s="107">
        <v>1577</v>
      </c>
      <c r="F91" s="107">
        <v>0</v>
      </c>
      <c r="G91" s="107">
        <v>5557</v>
      </c>
      <c r="H91" s="107">
        <v>0</v>
      </c>
      <c r="I91" s="390">
        <v>7134</v>
      </c>
      <c r="J91" s="390">
        <v>0</v>
      </c>
      <c r="K91" s="107">
        <v>35334</v>
      </c>
      <c r="L91" s="107">
        <v>45312</v>
      </c>
      <c r="M91" s="107">
        <v>0</v>
      </c>
      <c r="N91" s="390">
        <v>80646</v>
      </c>
      <c r="O91" s="390">
        <v>0</v>
      </c>
      <c r="P91" s="107">
        <v>0</v>
      </c>
      <c r="Q91" s="390">
        <v>0</v>
      </c>
      <c r="R91" s="390">
        <v>0</v>
      </c>
      <c r="S91" s="390">
        <v>0</v>
      </c>
      <c r="T91" s="374">
        <v>0</v>
      </c>
      <c r="U91" s="374">
        <v>0</v>
      </c>
      <c r="V91" s="374">
        <v>0</v>
      </c>
      <c r="W91" s="375">
        <v>0</v>
      </c>
      <c r="X91" s="374">
        <v>0</v>
      </c>
      <c r="Y91" s="374">
        <v>0</v>
      </c>
      <c r="Z91" s="374">
        <v>0</v>
      </c>
      <c r="AA91" s="375">
        <v>0</v>
      </c>
    </row>
    <row r="92" spans="1:27" s="1" customFormat="1">
      <c r="A92" s="819"/>
      <c r="B92" s="476" t="s">
        <v>16</v>
      </c>
      <c r="C92" s="476">
        <v>0</v>
      </c>
      <c r="D92" s="735">
        <v>0</v>
      </c>
      <c r="E92" s="735">
        <v>6.4118984017011655E-3</v>
      </c>
      <c r="F92" s="735">
        <v>0</v>
      </c>
      <c r="G92" s="735">
        <v>2.6777625720398605E-2</v>
      </c>
      <c r="H92" s="735">
        <v>0</v>
      </c>
      <c r="I92" s="476">
        <v>1.5731917887062737E-2</v>
      </c>
      <c r="J92" s="476">
        <v>0</v>
      </c>
      <c r="K92" s="735">
        <v>3.1815292301985057E-2</v>
      </c>
      <c r="L92" s="735">
        <v>5.0700783472117476E-2</v>
      </c>
      <c r="M92" s="735">
        <v>0</v>
      </c>
      <c r="N92" s="476">
        <v>4.0236250643612373E-2</v>
      </c>
      <c r="O92" s="476">
        <v>0</v>
      </c>
      <c r="P92" s="735">
        <v>0</v>
      </c>
      <c r="Q92" s="476">
        <v>0</v>
      </c>
      <c r="R92" s="476">
        <v>0</v>
      </c>
      <c r="S92" s="476">
        <v>0</v>
      </c>
      <c r="T92" s="376">
        <v>0</v>
      </c>
      <c r="U92" s="376">
        <v>0</v>
      </c>
      <c r="V92" s="376">
        <v>0</v>
      </c>
      <c r="W92" s="377">
        <v>0</v>
      </c>
      <c r="X92" s="376">
        <v>0</v>
      </c>
      <c r="Y92" s="376">
        <v>0</v>
      </c>
      <c r="Z92" s="376">
        <v>0</v>
      </c>
      <c r="AA92" s="377">
        <v>0</v>
      </c>
    </row>
    <row r="93" spans="1:27">
      <c r="A93" s="819"/>
      <c r="B93" s="477" t="s">
        <v>11</v>
      </c>
      <c r="C93" s="390">
        <v>0</v>
      </c>
      <c r="D93" s="107">
        <v>0</v>
      </c>
      <c r="E93" s="107">
        <v>252756</v>
      </c>
      <c r="F93" s="107">
        <v>0</v>
      </c>
      <c r="G93" s="107">
        <v>202674</v>
      </c>
      <c r="H93" s="107">
        <v>0</v>
      </c>
      <c r="I93" s="390">
        <v>455430</v>
      </c>
      <c r="J93" s="390">
        <v>0</v>
      </c>
      <c r="K93" s="107">
        <v>1049569</v>
      </c>
      <c r="L93" s="107">
        <v>840193</v>
      </c>
      <c r="M93" s="107">
        <v>0</v>
      </c>
      <c r="N93" s="390">
        <v>1889762</v>
      </c>
      <c r="O93" s="390">
        <v>0</v>
      </c>
      <c r="P93" s="107">
        <v>0</v>
      </c>
      <c r="Q93" s="390">
        <v>0</v>
      </c>
      <c r="R93" s="390">
        <v>0</v>
      </c>
      <c r="S93" s="390">
        <v>0</v>
      </c>
      <c r="T93" s="374">
        <v>0</v>
      </c>
      <c r="U93" s="374">
        <v>0</v>
      </c>
      <c r="V93" s="374">
        <v>0</v>
      </c>
      <c r="W93" s="375">
        <v>0</v>
      </c>
      <c r="X93" s="374">
        <v>0</v>
      </c>
      <c r="Y93" s="374">
        <v>0</v>
      </c>
      <c r="Z93" s="374">
        <v>0</v>
      </c>
      <c r="AA93" s="375">
        <v>0</v>
      </c>
    </row>
    <row r="94" spans="1:27" s="1" customFormat="1">
      <c r="A94" s="819"/>
      <c r="B94" s="477" t="s">
        <v>15</v>
      </c>
      <c r="C94" s="390">
        <v>0</v>
      </c>
      <c r="D94" s="107">
        <v>0</v>
      </c>
      <c r="E94" s="107">
        <v>1845</v>
      </c>
      <c r="F94" s="107">
        <v>0</v>
      </c>
      <c r="G94" s="107">
        <v>4402</v>
      </c>
      <c r="H94" s="107">
        <v>0</v>
      </c>
      <c r="I94" s="390">
        <v>6247</v>
      </c>
      <c r="J94" s="390">
        <v>0</v>
      </c>
      <c r="K94" s="107">
        <v>38398</v>
      </c>
      <c r="L94" s="107">
        <v>49130</v>
      </c>
      <c r="M94" s="107">
        <v>0</v>
      </c>
      <c r="N94" s="390">
        <v>87528</v>
      </c>
      <c r="O94" s="390">
        <v>0</v>
      </c>
      <c r="P94" s="107">
        <v>0</v>
      </c>
      <c r="Q94" s="390">
        <v>0</v>
      </c>
      <c r="R94" s="390">
        <v>0</v>
      </c>
      <c r="S94" s="390">
        <v>0</v>
      </c>
      <c r="T94" s="374">
        <v>0</v>
      </c>
      <c r="U94" s="374">
        <v>0</v>
      </c>
      <c r="V94" s="374">
        <v>0</v>
      </c>
      <c r="W94" s="375">
        <v>0</v>
      </c>
      <c r="X94" s="374">
        <v>0</v>
      </c>
      <c r="Y94" s="374">
        <v>0</v>
      </c>
      <c r="Z94" s="374">
        <v>0</v>
      </c>
      <c r="AA94" s="375">
        <v>0</v>
      </c>
    </row>
    <row r="95" spans="1:27">
      <c r="A95" s="819"/>
      <c r="B95" s="475" t="s">
        <v>17</v>
      </c>
      <c r="C95" s="476">
        <v>0</v>
      </c>
      <c r="D95" s="735">
        <v>0</v>
      </c>
      <c r="E95" s="735">
        <v>7.2995299814841187E-3</v>
      </c>
      <c r="F95" s="735">
        <v>0</v>
      </c>
      <c r="G95" s="735">
        <v>2.1719608829943653E-2</v>
      </c>
      <c r="H95" s="735">
        <v>0</v>
      </c>
      <c r="I95" s="476">
        <v>1.3716707287618295E-2</v>
      </c>
      <c r="J95" s="476">
        <v>0</v>
      </c>
      <c r="K95" s="735">
        <v>3.6584540892499684E-2</v>
      </c>
      <c r="L95" s="735">
        <v>5.84746599888359E-2</v>
      </c>
      <c r="M95" s="735">
        <v>0</v>
      </c>
      <c r="N95" s="476">
        <v>4.6316943615121904E-2</v>
      </c>
      <c r="O95" s="476">
        <v>0</v>
      </c>
      <c r="P95" s="735">
        <v>0</v>
      </c>
      <c r="Q95" s="476">
        <v>0</v>
      </c>
      <c r="R95" s="475">
        <v>0</v>
      </c>
      <c r="S95" s="475">
        <v>0</v>
      </c>
      <c r="T95" s="378">
        <v>0</v>
      </c>
      <c r="U95" s="378">
        <v>0</v>
      </c>
      <c r="V95" s="378">
        <v>0</v>
      </c>
      <c r="W95" s="379">
        <v>0</v>
      </c>
      <c r="X95" s="378">
        <v>0</v>
      </c>
      <c r="Y95" s="378">
        <v>0</v>
      </c>
      <c r="Z95" s="378">
        <v>0</v>
      </c>
      <c r="AA95" s="379">
        <v>0</v>
      </c>
    </row>
    <row r="96" spans="1:27" s="1" customFormat="1">
      <c r="A96" s="819"/>
      <c r="B96" s="474" t="s">
        <v>229</v>
      </c>
      <c r="C96" s="736">
        <v>0</v>
      </c>
      <c r="D96" s="737">
        <v>0</v>
      </c>
      <c r="E96" s="737">
        <v>8.8763157978295325E-4</v>
      </c>
      <c r="F96" s="737">
        <v>0</v>
      </c>
      <c r="G96" s="737">
        <v>-5.0580168904549513E-3</v>
      </c>
      <c r="H96" s="737">
        <v>0</v>
      </c>
      <c r="I96" s="736">
        <v>-2.0152105994444419E-3</v>
      </c>
      <c r="J96" s="736">
        <v>0</v>
      </c>
      <c r="K96" s="737">
        <v>4.769248590514627E-3</v>
      </c>
      <c r="L96" s="737">
        <v>7.773876516718424E-3</v>
      </c>
      <c r="M96" s="737">
        <v>0</v>
      </c>
      <c r="N96" s="736">
        <v>6.0806929715095312E-3</v>
      </c>
      <c r="O96" s="736">
        <v>0</v>
      </c>
      <c r="P96" s="737">
        <v>0</v>
      </c>
      <c r="Q96" s="736">
        <v>0</v>
      </c>
      <c r="R96" s="736">
        <v>0</v>
      </c>
      <c r="S96" s="736">
        <v>0</v>
      </c>
      <c r="T96" s="380">
        <v>0</v>
      </c>
      <c r="U96" s="380">
        <v>0</v>
      </c>
      <c r="V96" s="380">
        <v>0</v>
      </c>
      <c r="W96" s="381">
        <v>0</v>
      </c>
      <c r="X96" s="380">
        <v>0</v>
      </c>
      <c r="Y96" s="380">
        <v>0</v>
      </c>
      <c r="Z96" s="380">
        <v>0</v>
      </c>
      <c r="AA96" s="381">
        <v>0</v>
      </c>
    </row>
    <row r="97" spans="1:27">
      <c r="A97" s="365" t="s">
        <v>533</v>
      </c>
      <c r="B97" s="384" t="s">
        <v>10</v>
      </c>
      <c r="C97" s="388">
        <v>5276587</v>
      </c>
      <c r="D97" s="389">
        <v>1332619</v>
      </c>
      <c r="E97" s="389">
        <v>4280207</v>
      </c>
      <c r="F97" s="389">
        <v>122116</v>
      </c>
      <c r="G97" s="389">
        <v>338929</v>
      </c>
      <c r="H97" s="389">
        <v>54166</v>
      </c>
      <c r="I97" s="388">
        <v>11404624</v>
      </c>
      <c r="J97" s="388">
        <v>767841</v>
      </c>
      <c r="K97" s="389">
        <v>11367099</v>
      </c>
      <c r="L97" s="389">
        <v>2472189</v>
      </c>
      <c r="M97" s="389">
        <v>356783</v>
      </c>
      <c r="N97" s="388">
        <v>14963912</v>
      </c>
      <c r="O97" s="388">
        <v>2539494</v>
      </c>
      <c r="P97" s="389">
        <v>2539494</v>
      </c>
      <c r="Q97" s="388">
        <v>0</v>
      </c>
      <c r="R97" s="388">
        <v>0</v>
      </c>
      <c r="S97" s="388">
        <v>0</v>
      </c>
      <c r="T97" s="372">
        <v>31544</v>
      </c>
      <c r="U97" s="372">
        <v>31544</v>
      </c>
      <c r="V97" s="372">
        <v>2066042</v>
      </c>
      <c r="W97" s="373">
        <v>2066042</v>
      </c>
      <c r="X97" s="372">
        <v>411468</v>
      </c>
      <c r="Y97" s="372">
        <v>411468</v>
      </c>
      <c r="Z97" s="372">
        <v>61984</v>
      </c>
      <c r="AA97" s="373">
        <v>61984</v>
      </c>
    </row>
    <row r="98" spans="1:27" s="1" customFormat="1">
      <c r="A98" s="182"/>
      <c r="B98" s="477" t="s">
        <v>14</v>
      </c>
      <c r="C98" s="390">
        <v>5951</v>
      </c>
      <c r="D98" s="107">
        <v>1221</v>
      </c>
      <c r="E98" s="107">
        <v>35767</v>
      </c>
      <c r="F98" s="107">
        <v>16</v>
      </c>
      <c r="G98" s="107">
        <v>373</v>
      </c>
      <c r="H98" s="107">
        <v>0</v>
      </c>
      <c r="I98" s="390">
        <v>43328</v>
      </c>
      <c r="J98" s="390">
        <v>127511</v>
      </c>
      <c r="K98" s="107">
        <v>658118</v>
      </c>
      <c r="L98" s="107">
        <v>221135</v>
      </c>
      <c r="M98" s="107">
        <v>33298</v>
      </c>
      <c r="N98" s="390">
        <v>1040062</v>
      </c>
      <c r="O98" s="390">
        <v>189806</v>
      </c>
      <c r="P98" s="107">
        <v>189806</v>
      </c>
      <c r="Q98" s="390">
        <v>0</v>
      </c>
      <c r="R98" s="390">
        <v>0</v>
      </c>
      <c r="S98" s="390">
        <v>0</v>
      </c>
      <c r="T98" s="374">
        <v>0</v>
      </c>
      <c r="U98" s="374">
        <v>0</v>
      </c>
      <c r="V98" s="374">
        <v>163085</v>
      </c>
      <c r="W98" s="375">
        <v>163085</v>
      </c>
      <c r="X98" s="374">
        <v>24605</v>
      </c>
      <c r="Y98" s="374">
        <v>24605</v>
      </c>
      <c r="Z98" s="374">
        <v>2116</v>
      </c>
      <c r="AA98" s="375">
        <v>2116</v>
      </c>
    </row>
    <row r="99" spans="1:27">
      <c r="A99" s="182"/>
      <c r="B99" s="476" t="s">
        <v>16</v>
      </c>
      <c r="C99" s="476">
        <v>1.1278123529470849E-3</v>
      </c>
      <c r="D99" s="735">
        <v>9.1624087604934344E-4</v>
      </c>
      <c r="E99" s="735">
        <v>8.3563715493199277E-3</v>
      </c>
      <c r="F99" s="735">
        <v>1.310229617740509E-4</v>
      </c>
      <c r="G99" s="735">
        <v>1.1005254787875927E-3</v>
      </c>
      <c r="H99" s="735">
        <v>0</v>
      </c>
      <c r="I99" s="476">
        <v>3.7991607614595623E-3</v>
      </c>
      <c r="J99" s="476">
        <v>0.16606432842216032</v>
      </c>
      <c r="K99" s="735">
        <v>5.7896742167900535E-2</v>
      </c>
      <c r="L99" s="735">
        <v>8.9449067203195232E-2</v>
      </c>
      <c r="M99" s="735">
        <v>9.3328437733860639E-2</v>
      </c>
      <c r="N99" s="476">
        <v>6.9504685673104735E-2</v>
      </c>
      <c r="O99" s="476">
        <v>7.4741661134068438E-2</v>
      </c>
      <c r="P99" s="735">
        <v>7.4741661134068438E-2</v>
      </c>
      <c r="Q99" s="476">
        <v>0</v>
      </c>
      <c r="R99" s="476">
        <v>0</v>
      </c>
      <c r="S99" s="476">
        <v>0</v>
      </c>
      <c r="T99" s="376">
        <v>0</v>
      </c>
      <c r="U99" s="376">
        <v>0</v>
      </c>
      <c r="V99" s="376">
        <v>7.893595580341542E-2</v>
      </c>
      <c r="W99" s="377">
        <v>7.893595580341542E-2</v>
      </c>
      <c r="X99" s="376">
        <v>5.9798088794268324E-2</v>
      </c>
      <c r="Y99" s="376">
        <v>5.9798088794268324E-2</v>
      </c>
      <c r="Z99" s="376">
        <v>3.4137842023748061E-2</v>
      </c>
      <c r="AA99" s="377">
        <v>3.4137842023748061E-2</v>
      </c>
    </row>
    <row r="100" spans="1:27" s="1" customFormat="1">
      <c r="A100" s="182"/>
      <c r="B100" s="477" t="s">
        <v>11</v>
      </c>
      <c r="C100" s="390">
        <v>5362188</v>
      </c>
      <c r="D100" s="107">
        <v>1330092</v>
      </c>
      <c r="E100" s="107">
        <v>4347074</v>
      </c>
      <c r="F100" s="107">
        <v>128059</v>
      </c>
      <c r="G100" s="107">
        <v>353179</v>
      </c>
      <c r="H100" s="107">
        <v>54015</v>
      </c>
      <c r="I100" s="390">
        <v>11574607</v>
      </c>
      <c r="J100" s="390">
        <v>743608</v>
      </c>
      <c r="K100" s="107">
        <v>10957295</v>
      </c>
      <c r="L100" s="107">
        <v>2326853</v>
      </c>
      <c r="M100" s="107">
        <v>347670</v>
      </c>
      <c r="N100" s="390">
        <v>14375426</v>
      </c>
      <c r="O100" s="390">
        <v>187039</v>
      </c>
      <c r="P100" s="107">
        <v>187039</v>
      </c>
      <c r="Q100" s="390">
        <v>0</v>
      </c>
      <c r="R100" s="390">
        <v>0</v>
      </c>
      <c r="S100" s="390">
        <v>0</v>
      </c>
      <c r="T100" s="374">
        <v>33373</v>
      </c>
      <c r="U100" s="374">
        <v>33373</v>
      </c>
      <c r="V100" s="374">
        <v>3842630</v>
      </c>
      <c r="W100" s="375">
        <v>3842630</v>
      </c>
      <c r="X100" s="374">
        <v>284522</v>
      </c>
      <c r="Y100" s="374">
        <v>284522</v>
      </c>
      <c r="Z100" s="374">
        <v>72753</v>
      </c>
      <c r="AA100" s="375">
        <v>72753</v>
      </c>
    </row>
    <row r="101" spans="1:27">
      <c r="A101" s="182"/>
      <c r="B101" s="477" t="s">
        <v>15</v>
      </c>
      <c r="C101" s="390">
        <v>1798</v>
      </c>
      <c r="D101" s="107">
        <v>2205</v>
      </c>
      <c r="E101" s="107">
        <v>33900</v>
      </c>
      <c r="F101" s="107">
        <v>0</v>
      </c>
      <c r="G101" s="107">
        <v>677</v>
      </c>
      <c r="H101" s="107">
        <v>0</v>
      </c>
      <c r="I101" s="390">
        <v>38580</v>
      </c>
      <c r="J101" s="390">
        <v>143838</v>
      </c>
      <c r="K101" s="107">
        <v>695860</v>
      </c>
      <c r="L101" s="107">
        <v>227446</v>
      </c>
      <c r="M101" s="107">
        <v>36360</v>
      </c>
      <c r="N101" s="390">
        <v>1103504</v>
      </c>
      <c r="O101" s="390">
        <v>20679</v>
      </c>
      <c r="P101" s="107">
        <v>20679</v>
      </c>
      <c r="Q101" s="390">
        <v>0</v>
      </c>
      <c r="R101" s="390">
        <v>0</v>
      </c>
      <c r="S101" s="390">
        <v>0</v>
      </c>
      <c r="T101" s="374">
        <v>0</v>
      </c>
      <c r="U101" s="374">
        <v>0</v>
      </c>
      <c r="V101" s="374">
        <v>264290</v>
      </c>
      <c r="W101" s="375">
        <v>264290</v>
      </c>
      <c r="X101" s="374">
        <v>17256</v>
      </c>
      <c r="Y101" s="374">
        <v>17256</v>
      </c>
      <c r="Z101" s="374">
        <v>6617</v>
      </c>
      <c r="AA101" s="375">
        <v>6617</v>
      </c>
    </row>
    <row r="102" spans="1:27">
      <c r="A102" s="182"/>
      <c r="B102" s="475" t="s">
        <v>17</v>
      </c>
      <c r="C102" s="476">
        <v>3.3531088428827933E-4</v>
      </c>
      <c r="D102" s="735">
        <v>1.6577800633339648E-3</v>
      </c>
      <c r="E102" s="735">
        <v>7.7983489584028242E-3</v>
      </c>
      <c r="F102" s="735">
        <v>0</v>
      </c>
      <c r="G102" s="735">
        <v>1.9168750123874862E-3</v>
      </c>
      <c r="H102" s="735">
        <v>0</v>
      </c>
      <c r="I102" s="476">
        <v>3.3331585253823307E-3</v>
      </c>
      <c r="J102" s="476">
        <v>0.19343256124194469</v>
      </c>
      <c r="K102" s="735">
        <v>6.35065497460824E-2</v>
      </c>
      <c r="L102" s="735">
        <v>9.7748332189442136E-2</v>
      </c>
      <c r="M102" s="735">
        <v>0.10458193114159979</v>
      </c>
      <c r="N102" s="476">
        <v>7.6763220790813436E-2</v>
      </c>
      <c r="O102" s="476">
        <v>0.11055982976812323</v>
      </c>
      <c r="P102" s="735">
        <v>0.11055982976812323</v>
      </c>
      <c r="Q102" s="476">
        <v>0</v>
      </c>
      <c r="R102" s="475">
        <v>0</v>
      </c>
      <c r="S102" s="475">
        <v>0</v>
      </c>
      <c r="T102" s="378">
        <v>0</v>
      </c>
      <c r="U102" s="378">
        <v>0</v>
      </c>
      <c r="V102" s="378">
        <v>6.8778414783624758E-2</v>
      </c>
      <c r="W102" s="379">
        <v>6.8778414783624758E-2</v>
      </c>
      <c r="X102" s="378">
        <v>6.0649088646923616E-2</v>
      </c>
      <c r="Y102" s="378">
        <v>6.0649088646923616E-2</v>
      </c>
      <c r="Z102" s="378">
        <v>9.0951575880032443E-2</v>
      </c>
      <c r="AA102" s="379">
        <v>9.0951575880032443E-2</v>
      </c>
    </row>
    <row r="103" spans="1:27">
      <c r="A103" s="182"/>
      <c r="B103" s="474" t="s">
        <v>229</v>
      </c>
      <c r="C103" s="736">
        <v>-7.9250146865880559E-4</v>
      </c>
      <c r="D103" s="737">
        <v>7.4153918728462134E-4</v>
      </c>
      <c r="E103" s="737">
        <v>-5.5802259091710348E-4</v>
      </c>
      <c r="F103" s="737">
        <v>-1.310229617740509E-4</v>
      </c>
      <c r="G103" s="737">
        <v>8.1634953359989351E-4</v>
      </c>
      <c r="H103" s="737">
        <v>0</v>
      </c>
      <c r="I103" s="736">
        <v>-4.6600223607723163E-4</v>
      </c>
      <c r="J103" s="771">
        <v>2.7368232819784372E-2</v>
      </c>
      <c r="K103" s="737">
        <v>5.6098075781818649E-3</v>
      </c>
      <c r="L103" s="737">
        <v>8.2992649862469042E-3</v>
      </c>
      <c r="M103" s="772">
        <v>1.1253493407739151E-2</v>
      </c>
      <c r="N103" s="736">
        <v>7.2585351177087004E-3</v>
      </c>
      <c r="O103" s="771">
        <v>3.5818168634054792E-2</v>
      </c>
      <c r="P103" s="737">
        <v>3.5818168634054792E-2</v>
      </c>
      <c r="Q103" s="736">
        <v>0</v>
      </c>
      <c r="R103" s="736">
        <v>0</v>
      </c>
      <c r="S103" s="736">
        <v>0</v>
      </c>
      <c r="T103" s="380">
        <v>0</v>
      </c>
      <c r="U103" s="380">
        <v>0</v>
      </c>
      <c r="V103" s="380">
        <v>-1.0157541019790661E-2</v>
      </c>
      <c r="W103" s="381">
        <v>-1.0157541019790661E-2</v>
      </c>
      <c r="X103" s="380">
        <v>8.5099985265529171E-4</v>
      </c>
      <c r="Y103" s="380">
        <v>8.5099985265529171E-4</v>
      </c>
      <c r="Z103" s="380">
        <v>5.6813733856284382E-2</v>
      </c>
      <c r="AA103" s="381">
        <v>5.6813733856284382E-2</v>
      </c>
    </row>
    <row r="104" spans="1:27">
      <c r="A104" s="365" t="s">
        <v>918</v>
      </c>
      <c r="B104" s="384" t="s">
        <v>10</v>
      </c>
      <c r="C104" s="388">
        <v>2288856</v>
      </c>
      <c r="D104" s="389">
        <v>825507.5</v>
      </c>
      <c r="E104" s="389">
        <v>694589</v>
      </c>
      <c r="F104" s="389">
        <v>528869</v>
      </c>
      <c r="G104" s="389">
        <v>267460</v>
      </c>
      <c r="H104" s="389">
        <v>51710</v>
      </c>
      <c r="I104" s="388">
        <v>4656991.5</v>
      </c>
      <c r="J104" s="388">
        <v>0</v>
      </c>
      <c r="K104" s="389">
        <v>2216538</v>
      </c>
      <c r="L104" s="389">
        <v>1461494</v>
      </c>
      <c r="M104" s="389">
        <v>231085</v>
      </c>
      <c r="N104" s="388">
        <v>3909117</v>
      </c>
      <c r="O104" s="388">
        <v>3848311</v>
      </c>
      <c r="P104" s="389">
        <v>3848311</v>
      </c>
      <c r="Q104" s="388">
        <v>0</v>
      </c>
      <c r="R104" s="388">
        <v>0</v>
      </c>
      <c r="S104" s="388">
        <v>0</v>
      </c>
      <c r="T104" s="372">
        <v>0</v>
      </c>
      <c r="U104" s="372">
        <v>0</v>
      </c>
      <c r="V104" s="372">
        <v>2216538</v>
      </c>
      <c r="W104" s="373">
        <v>2216538</v>
      </c>
      <c r="X104" s="372">
        <v>1396399</v>
      </c>
      <c r="Y104" s="372">
        <v>1396399</v>
      </c>
      <c r="Z104" s="372">
        <v>321733</v>
      </c>
      <c r="AA104" s="373">
        <v>321733</v>
      </c>
    </row>
    <row r="105" spans="1:27">
      <c r="A105" s="182"/>
      <c r="B105" s="477" t="s">
        <v>14</v>
      </c>
      <c r="C105" s="390">
        <v>24514</v>
      </c>
      <c r="D105" s="107">
        <v>7584</v>
      </c>
      <c r="E105" s="107">
        <v>6124</v>
      </c>
      <c r="F105" s="107">
        <v>256</v>
      </c>
      <c r="G105" s="107">
        <v>30</v>
      </c>
      <c r="H105" s="107">
        <v>81</v>
      </c>
      <c r="I105" s="390">
        <v>38589</v>
      </c>
      <c r="J105" s="390">
        <v>0</v>
      </c>
      <c r="K105" s="107">
        <v>81589</v>
      </c>
      <c r="L105" s="107">
        <v>391858</v>
      </c>
      <c r="M105" s="107">
        <v>81979</v>
      </c>
      <c r="N105" s="390">
        <v>555426</v>
      </c>
      <c r="O105" s="390">
        <v>516361</v>
      </c>
      <c r="P105" s="107">
        <v>516361</v>
      </c>
      <c r="Q105" s="390">
        <v>0</v>
      </c>
      <c r="R105" s="390">
        <v>0</v>
      </c>
      <c r="S105" s="390">
        <v>0</v>
      </c>
      <c r="T105" s="374">
        <v>0</v>
      </c>
      <c r="U105" s="374">
        <v>0</v>
      </c>
      <c r="V105" s="374">
        <v>81589</v>
      </c>
      <c r="W105" s="375">
        <v>81589</v>
      </c>
      <c r="X105" s="374">
        <v>371173</v>
      </c>
      <c r="Y105" s="374">
        <v>371173</v>
      </c>
      <c r="Z105" s="374">
        <v>137442</v>
      </c>
      <c r="AA105" s="375">
        <v>137442</v>
      </c>
    </row>
    <row r="106" spans="1:27">
      <c r="A106" s="182"/>
      <c r="B106" s="476" t="s">
        <v>16</v>
      </c>
      <c r="C106" s="476">
        <v>1.071015389347342E-2</v>
      </c>
      <c r="D106" s="735">
        <v>9.1870758291111836E-3</v>
      </c>
      <c r="E106" s="735">
        <v>8.816724710584244E-3</v>
      </c>
      <c r="F106" s="735">
        <v>4.8405181623426593E-4</v>
      </c>
      <c r="G106" s="735">
        <v>1.1216630524190533E-4</v>
      </c>
      <c r="H106" s="735">
        <v>1.566428157029588E-3</v>
      </c>
      <c r="I106" s="476">
        <v>8.2862508982462172E-3</v>
      </c>
      <c r="J106" s="476">
        <v>0</v>
      </c>
      <c r="K106" s="735">
        <v>3.6809204263585825E-2</v>
      </c>
      <c r="L106" s="735">
        <v>0.26812152496007507</v>
      </c>
      <c r="M106" s="735">
        <v>0.35475690763139106</v>
      </c>
      <c r="N106" s="476">
        <v>0.14208477259698291</v>
      </c>
      <c r="O106" s="476">
        <v>0.13417860458783087</v>
      </c>
      <c r="P106" s="735">
        <v>0.13417860458783087</v>
      </c>
      <c r="Q106" s="476">
        <v>0</v>
      </c>
      <c r="R106" s="476">
        <v>0</v>
      </c>
      <c r="S106" s="476">
        <v>0</v>
      </c>
      <c r="T106" s="376">
        <v>0</v>
      </c>
      <c r="U106" s="376">
        <v>0</v>
      </c>
      <c r="V106" s="376">
        <v>3.6809204263585825E-2</v>
      </c>
      <c r="W106" s="377">
        <v>3.6809204263585825E-2</v>
      </c>
      <c r="X106" s="376">
        <v>0.26580726568838847</v>
      </c>
      <c r="Y106" s="376">
        <v>0.26580726568838847</v>
      </c>
      <c r="Z106" s="376">
        <v>0.42719273434804639</v>
      </c>
      <c r="AA106" s="377">
        <v>0.42719273434804639</v>
      </c>
    </row>
    <row r="107" spans="1:27">
      <c r="A107" s="182"/>
      <c r="B107" s="477" t="s">
        <v>11</v>
      </c>
      <c r="C107" s="390">
        <v>2316831</v>
      </c>
      <c r="D107" s="107">
        <v>840178.5</v>
      </c>
      <c r="E107" s="107">
        <v>708551</v>
      </c>
      <c r="F107" s="107">
        <v>543269</v>
      </c>
      <c r="G107" s="107">
        <v>270838</v>
      </c>
      <c r="H107" s="107">
        <v>53837</v>
      </c>
      <c r="I107" s="390">
        <v>4733504.5</v>
      </c>
      <c r="J107" s="390">
        <v>0</v>
      </c>
      <c r="K107" s="107">
        <v>2221275</v>
      </c>
      <c r="L107" s="107">
        <v>1423260</v>
      </c>
      <c r="M107" s="107">
        <v>224526</v>
      </c>
      <c r="N107" s="390">
        <v>3869061</v>
      </c>
      <c r="O107" s="390">
        <v>0</v>
      </c>
      <c r="P107" s="107">
        <v>0</v>
      </c>
      <c r="Q107" s="390">
        <v>0</v>
      </c>
      <c r="R107" s="390">
        <v>0</v>
      </c>
      <c r="S107" s="390">
        <v>0</v>
      </c>
      <c r="T107" s="374">
        <v>0</v>
      </c>
      <c r="U107" s="374">
        <v>0</v>
      </c>
      <c r="V107" s="374">
        <v>0</v>
      </c>
      <c r="W107" s="375">
        <v>0</v>
      </c>
      <c r="X107" s="374">
        <v>0</v>
      </c>
      <c r="Y107" s="374">
        <v>0</v>
      </c>
      <c r="Z107" s="374">
        <v>0</v>
      </c>
      <c r="AA107" s="375">
        <v>0</v>
      </c>
    </row>
    <row r="108" spans="1:27">
      <c r="A108" s="182"/>
      <c r="B108" s="477" t="s">
        <v>15</v>
      </c>
      <c r="C108" s="390">
        <v>27643</v>
      </c>
      <c r="D108" s="107">
        <v>7800</v>
      </c>
      <c r="E108" s="107">
        <v>6169</v>
      </c>
      <c r="F108" s="107">
        <v>239</v>
      </c>
      <c r="G108" s="107">
        <v>43</v>
      </c>
      <c r="H108" s="107">
        <v>26</v>
      </c>
      <c r="I108" s="390">
        <v>41920</v>
      </c>
      <c r="J108" s="390">
        <v>0</v>
      </c>
      <c r="K108" s="107">
        <v>84454</v>
      </c>
      <c r="L108" s="107">
        <v>401736</v>
      </c>
      <c r="M108" s="107">
        <v>85978</v>
      </c>
      <c r="N108" s="390">
        <v>572168</v>
      </c>
      <c r="O108" s="390">
        <v>0</v>
      </c>
      <c r="P108" s="107">
        <v>0</v>
      </c>
      <c r="Q108" s="390">
        <v>0</v>
      </c>
      <c r="R108" s="390">
        <v>0</v>
      </c>
      <c r="S108" s="390">
        <v>0</v>
      </c>
      <c r="T108" s="374">
        <v>0</v>
      </c>
      <c r="U108" s="374">
        <v>0</v>
      </c>
      <c r="V108" s="374">
        <v>0</v>
      </c>
      <c r="W108" s="375">
        <v>0</v>
      </c>
      <c r="X108" s="374">
        <v>0</v>
      </c>
      <c r="Y108" s="374">
        <v>0</v>
      </c>
      <c r="Z108" s="374">
        <v>0</v>
      </c>
      <c r="AA108" s="375">
        <v>0</v>
      </c>
    </row>
    <row r="109" spans="1:27">
      <c r="A109" s="182"/>
      <c r="B109" s="475" t="s">
        <v>17</v>
      </c>
      <c r="C109" s="476">
        <v>1.1931383860108917E-2</v>
      </c>
      <c r="D109" s="735">
        <v>9.2837414906475225E-3</v>
      </c>
      <c r="E109" s="735">
        <v>8.7065010140413325E-3</v>
      </c>
      <c r="F109" s="735">
        <v>4.3992939041248444E-4</v>
      </c>
      <c r="G109" s="735">
        <v>1.5876649510039213E-4</v>
      </c>
      <c r="H109" s="735">
        <v>4.829392425283727E-4</v>
      </c>
      <c r="I109" s="476">
        <v>8.8560177771036235E-3</v>
      </c>
      <c r="J109" s="476">
        <v>0</v>
      </c>
      <c r="K109" s="735">
        <v>3.8020506240785137E-2</v>
      </c>
      <c r="L109" s="735">
        <v>0.28226466000590195</v>
      </c>
      <c r="M109" s="735">
        <v>0.38293115273954909</v>
      </c>
      <c r="N109" s="476">
        <v>0.1478829100911048</v>
      </c>
      <c r="O109" s="476">
        <v>0</v>
      </c>
      <c r="P109" s="735">
        <v>0</v>
      </c>
      <c r="Q109" s="476">
        <v>0</v>
      </c>
      <c r="R109" s="475">
        <v>0</v>
      </c>
      <c r="S109" s="475">
        <v>0</v>
      </c>
      <c r="T109" s="378">
        <v>0</v>
      </c>
      <c r="U109" s="378">
        <v>0</v>
      </c>
      <c r="V109" s="378">
        <v>0</v>
      </c>
      <c r="W109" s="379">
        <v>0</v>
      </c>
      <c r="X109" s="378">
        <v>0</v>
      </c>
      <c r="Y109" s="378">
        <v>0</v>
      </c>
      <c r="Z109" s="378">
        <v>0</v>
      </c>
      <c r="AA109" s="379">
        <v>0</v>
      </c>
    </row>
    <row r="110" spans="1:27">
      <c r="A110" s="182"/>
      <c r="B110" s="474" t="s">
        <v>229</v>
      </c>
      <c r="C110" s="736">
        <v>1.2212299666354964E-3</v>
      </c>
      <c r="D110" s="737">
        <v>9.6665661536338848E-5</v>
      </c>
      <c r="E110" s="737">
        <v>-1.1022369654291146E-4</v>
      </c>
      <c r="F110" s="737">
        <v>-4.412242582178149E-5</v>
      </c>
      <c r="G110" s="737">
        <v>4.6600189858486796E-5</v>
      </c>
      <c r="H110" s="737">
        <v>-1.0834889145012153E-3</v>
      </c>
      <c r="I110" s="736">
        <v>5.6976687885740632E-4</v>
      </c>
      <c r="J110" s="736">
        <v>0</v>
      </c>
      <c r="K110" s="737">
        <v>1.2113019771993125E-3</v>
      </c>
      <c r="L110" s="772">
        <v>1.4143135045826871E-2</v>
      </c>
      <c r="M110" s="772">
        <v>2.8174245108158025E-2</v>
      </c>
      <c r="N110" s="736">
        <v>5.7981374941218911E-3</v>
      </c>
      <c r="O110" s="771">
        <v>-0.13417860458783087</v>
      </c>
      <c r="P110" s="737">
        <v>-0.13417860458783087</v>
      </c>
      <c r="Q110" s="736">
        <v>0</v>
      </c>
      <c r="R110" s="736">
        <v>0</v>
      </c>
      <c r="S110" s="736">
        <v>0</v>
      </c>
      <c r="T110" s="380">
        <v>0</v>
      </c>
      <c r="U110" s="380">
        <v>0</v>
      </c>
      <c r="V110" s="380">
        <v>-3.6809204263585825E-2</v>
      </c>
      <c r="W110" s="381">
        <v>-3.6809204263585825E-2</v>
      </c>
      <c r="X110" s="380">
        <v>-0.26580726568838847</v>
      </c>
      <c r="Y110" s="380">
        <v>-0.26580726568838847</v>
      </c>
      <c r="Z110" s="380">
        <v>-0.42719273434804639</v>
      </c>
      <c r="AA110" s="381">
        <v>-0.42719273434804639</v>
      </c>
    </row>
    <row r="111" spans="1:27">
      <c r="A111" s="365" t="s">
        <v>429</v>
      </c>
      <c r="B111" s="384" t="s">
        <v>10</v>
      </c>
      <c r="C111" s="388">
        <v>655638</v>
      </c>
      <c r="D111" s="389">
        <v>0</v>
      </c>
      <c r="E111" s="389">
        <v>270446</v>
      </c>
      <c r="F111" s="389">
        <v>0</v>
      </c>
      <c r="G111" s="389">
        <v>232460.5</v>
      </c>
      <c r="H111" s="389">
        <v>359472.2</v>
      </c>
      <c r="I111" s="388">
        <v>1518016.7</v>
      </c>
      <c r="J111" s="388">
        <v>148566</v>
      </c>
      <c r="K111" s="389">
        <v>0</v>
      </c>
      <c r="L111" s="389">
        <v>203498.2</v>
      </c>
      <c r="M111" s="389">
        <v>233644.9</v>
      </c>
      <c r="N111" s="388">
        <v>585709.1</v>
      </c>
      <c r="O111" s="388">
        <v>0</v>
      </c>
      <c r="P111" s="389">
        <v>0</v>
      </c>
      <c r="Q111" s="388">
        <v>0</v>
      </c>
      <c r="R111" s="388">
        <v>0</v>
      </c>
      <c r="S111" s="388">
        <v>0</v>
      </c>
      <c r="T111" s="372">
        <v>0</v>
      </c>
      <c r="U111" s="372">
        <v>0</v>
      </c>
      <c r="V111" s="372">
        <v>0</v>
      </c>
      <c r="W111" s="373">
        <v>0</v>
      </c>
      <c r="X111" s="372">
        <v>0</v>
      </c>
      <c r="Y111" s="372">
        <v>0</v>
      </c>
      <c r="Z111" s="372">
        <v>0</v>
      </c>
      <c r="AA111" s="373">
        <v>0</v>
      </c>
    </row>
    <row r="112" spans="1:27">
      <c r="A112" s="182"/>
      <c r="B112" s="477" t="s">
        <v>14</v>
      </c>
      <c r="C112" s="390">
        <v>3023</v>
      </c>
      <c r="D112" s="107">
        <v>0</v>
      </c>
      <c r="E112" s="107">
        <v>4055</v>
      </c>
      <c r="F112" s="107">
        <v>0</v>
      </c>
      <c r="G112" s="107">
        <v>108</v>
      </c>
      <c r="H112" s="107">
        <v>7674</v>
      </c>
      <c r="I112" s="390">
        <v>14860</v>
      </c>
      <c r="J112" s="390">
        <v>5743</v>
      </c>
      <c r="K112" s="107">
        <v>0</v>
      </c>
      <c r="L112" s="107">
        <v>9030.5</v>
      </c>
      <c r="M112" s="107">
        <v>7849.3</v>
      </c>
      <c r="N112" s="390">
        <v>22622.799999999999</v>
      </c>
      <c r="O112" s="390">
        <v>0</v>
      </c>
      <c r="P112" s="107">
        <v>0</v>
      </c>
      <c r="Q112" s="390">
        <v>0</v>
      </c>
      <c r="R112" s="390">
        <v>0</v>
      </c>
      <c r="S112" s="390">
        <v>0</v>
      </c>
      <c r="T112" s="374">
        <v>0</v>
      </c>
      <c r="U112" s="374">
        <v>0</v>
      </c>
      <c r="V112" s="374">
        <v>0</v>
      </c>
      <c r="W112" s="375">
        <v>0</v>
      </c>
      <c r="X112" s="374">
        <v>0</v>
      </c>
      <c r="Y112" s="374">
        <v>0</v>
      </c>
      <c r="Z112" s="374">
        <v>0</v>
      </c>
      <c r="AA112" s="375">
        <v>0</v>
      </c>
    </row>
    <row r="113" spans="1:27">
      <c r="A113" s="182"/>
      <c r="B113" s="476" t="s">
        <v>16</v>
      </c>
      <c r="C113" s="476">
        <v>4.6107760685012156E-3</v>
      </c>
      <c r="D113" s="735">
        <v>0</v>
      </c>
      <c r="E113" s="735">
        <v>1.4993751063058799E-2</v>
      </c>
      <c r="F113" s="735">
        <v>0</v>
      </c>
      <c r="G113" s="735">
        <v>4.6459506023604011E-4</v>
      </c>
      <c r="H113" s="735">
        <v>2.1347965155580875E-2</v>
      </c>
      <c r="I113" s="476">
        <v>9.7890886180632929E-3</v>
      </c>
      <c r="J113" s="476">
        <v>3.8656220131120175E-2</v>
      </c>
      <c r="K113" s="735">
        <v>0</v>
      </c>
      <c r="L113" s="735">
        <v>4.4376313893685543E-2</v>
      </c>
      <c r="M113" s="735">
        <v>3.3594998221660309E-2</v>
      </c>
      <c r="N113" s="476">
        <v>3.8624634652253138E-2</v>
      </c>
      <c r="O113" s="476">
        <v>0</v>
      </c>
      <c r="P113" s="735">
        <v>0</v>
      </c>
      <c r="Q113" s="476">
        <v>0</v>
      </c>
      <c r="R113" s="476">
        <v>0</v>
      </c>
      <c r="S113" s="476">
        <v>0</v>
      </c>
      <c r="T113" s="376">
        <v>0</v>
      </c>
      <c r="U113" s="376">
        <v>0</v>
      </c>
      <c r="V113" s="376">
        <v>0</v>
      </c>
      <c r="W113" s="377">
        <v>0</v>
      </c>
      <c r="X113" s="376">
        <v>0</v>
      </c>
      <c r="Y113" s="376">
        <v>0</v>
      </c>
      <c r="Z113" s="376">
        <v>0</v>
      </c>
      <c r="AA113" s="377">
        <v>0</v>
      </c>
    </row>
    <row r="114" spans="1:27">
      <c r="A114" s="182"/>
      <c r="B114" s="477" t="s">
        <v>11</v>
      </c>
      <c r="C114" s="390">
        <v>661417</v>
      </c>
      <c r="D114" s="107">
        <v>0</v>
      </c>
      <c r="E114" s="107">
        <v>264060</v>
      </c>
      <c r="F114" s="107">
        <v>0</v>
      </c>
      <c r="G114" s="107">
        <v>227629</v>
      </c>
      <c r="H114" s="107">
        <v>344267.1</v>
      </c>
      <c r="I114" s="390">
        <v>1497373.1</v>
      </c>
      <c r="J114" s="390">
        <v>134175</v>
      </c>
      <c r="K114" s="107">
        <v>0</v>
      </c>
      <c r="L114" s="107">
        <v>189406.3</v>
      </c>
      <c r="M114" s="107">
        <v>227401.1</v>
      </c>
      <c r="N114" s="390">
        <v>550982.40000000002</v>
      </c>
      <c r="O114" s="390">
        <v>0</v>
      </c>
      <c r="P114" s="107">
        <v>0</v>
      </c>
      <c r="Q114" s="390">
        <v>0</v>
      </c>
      <c r="R114" s="390">
        <v>0</v>
      </c>
      <c r="S114" s="390">
        <v>0</v>
      </c>
      <c r="T114" s="374">
        <v>0</v>
      </c>
      <c r="U114" s="374">
        <v>0</v>
      </c>
      <c r="V114" s="374">
        <v>0</v>
      </c>
      <c r="W114" s="375">
        <v>0</v>
      </c>
      <c r="X114" s="374">
        <v>0</v>
      </c>
      <c r="Y114" s="374">
        <v>0</v>
      </c>
      <c r="Z114" s="374">
        <v>0</v>
      </c>
      <c r="AA114" s="375">
        <v>0</v>
      </c>
    </row>
    <row r="115" spans="1:27">
      <c r="A115" s="182"/>
      <c r="B115" s="477" t="s">
        <v>15</v>
      </c>
      <c r="C115" s="390">
        <v>3343</v>
      </c>
      <c r="D115" s="107">
        <v>0</v>
      </c>
      <c r="E115" s="107">
        <v>4215</v>
      </c>
      <c r="F115" s="107">
        <v>0</v>
      </c>
      <c r="G115" s="107">
        <v>142</v>
      </c>
      <c r="H115" s="107">
        <v>7911</v>
      </c>
      <c r="I115" s="390">
        <v>15611</v>
      </c>
      <c r="J115" s="390">
        <v>5428</v>
      </c>
      <c r="K115" s="107">
        <v>0</v>
      </c>
      <c r="L115" s="107">
        <v>8403</v>
      </c>
      <c r="M115" s="107">
        <v>6890.8</v>
      </c>
      <c r="N115" s="390">
        <v>20721.8</v>
      </c>
      <c r="O115" s="390">
        <v>0</v>
      </c>
      <c r="P115" s="107">
        <v>0</v>
      </c>
      <c r="Q115" s="390">
        <v>0</v>
      </c>
      <c r="R115" s="390">
        <v>0</v>
      </c>
      <c r="S115" s="390">
        <v>0</v>
      </c>
      <c r="T115" s="374">
        <v>0</v>
      </c>
      <c r="U115" s="374">
        <v>0</v>
      </c>
      <c r="V115" s="374">
        <v>0</v>
      </c>
      <c r="W115" s="375">
        <v>0</v>
      </c>
      <c r="X115" s="374">
        <v>0</v>
      </c>
      <c r="Y115" s="374">
        <v>0</v>
      </c>
      <c r="Z115" s="374">
        <v>0</v>
      </c>
      <c r="AA115" s="375">
        <v>0</v>
      </c>
    </row>
    <row r="116" spans="1:27">
      <c r="A116" s="182"/>
      <c r="B116" s="475" t="s">
        <v>17</v>
      </c>
      <c r="C116" s="476">
        <v>5.0543000860274233E-3</v>
      </c>
      <c r="D116" s="735">
        <v>0</v>
      </c>
      <c r="E116" s="735">
        <v>1.5962281299704614E-2</v>
      </c>
      <c r="F116" s="735">
        <v>0</v>
      </c>
      <c r="G116" s="735">
        <v>6.238220964815555E-4</v>
      </c>
      <c r="H116" s="735">
        <v>2.2979250703886605E-2</v>
      </c>
      <c r="I116" s="476">
        <v>1.0425591323899166E-2</v>
      </c>
      <c r="J116" s="476">
        <v>4.0454630147195823E-2</v>
      </c>
      <c r="K116" s="735">
        <v>0</v>
      </c>
      <c r="L116" s="735">
        <v>4.4364944566257829E-2</v>
      </c>
      <c r="M116" s="735">
        <v>3.0302403990130216E-2</v>
      </c>
      <c r="N116" s="476">
        <v>3.7608823802720376E-2</v>
      </c>
      <c r="O116" s="476">
        <v>0</v>
      </c>
      <c r="P116" s="735">
        <v>0</v>
      </c>
      <c r="Q116" s="476">
        <v>0</v>
      </c>
      <c r="R116" s="475">
        <v>0</v>
      </c>
      <c r="S116" s="475">
        <v>0</v>
      </c>
      <c r="T116" s="378">
        <v>0</v>
      </c>
      <c r="U116" s="378">
        <v>0</v>
      </c>
      <c r="V116" s="378">
        <v>0</v>
      </c>
      <c r="W116" s="379">
        <v>0</v>
      </c>
      <c r="X116" s="378">
        <v>0</v>
      </c>
      <c r="Y116" s="378">
        <v>0</v>
      </c>
      <c r="Z116" s="378">
        <v>0</v>
      </c>
      <c r="AA116" s="379">
        <v>0</v>
      </c>
    </row>
    <row r="117" spans="1:27">
      <c r="A117" s="182"/>
      <c r="B117" s="474" t="s">
        <v>229</v>
      </c>
      <c r="C117" s="736">
        <v>4.4352401752620774E-4</v>
      </c>
      <c r="D117" s="737">
        <v>0</v>
      </c>
      <c r="E117" s="737">
        <v>9.6853023664581449E-4</v>
      </c>
      <c r="F117" s="737">
        <v>0</v>
      </c>
      <c r="G117" s="737">
        <v>1.5922703624551539E-4</v>
      </c>
      <c r="H117" s="737">
        <v>1.6312855483057304E-3</v>
      </c>
      <c r="I117" s="736">
        <v>6.3650270583587298E-4</v>
      </c>
      <c r="J117" s="736">
        <v>1.798410016075648E-3</v>
      </c>
      <c r="K117" s="737">
        <v>0</v>
      </c>
      <c r="L117" s="737">
        <v>-1.1369327427714071E-5</v>
      </c>
      <c r="M117" s="737">
        <v>-3.2925942315300931E-3</v>
      </c>
      <c r="N117" s="736">
        <v>-1.0158108495327625E-3</v>
      </c>
      <c r="O117" s="736">
        <v>0</v>
      </c>
      <c r="P117" s="737">
        <v>0</v>
      </c>
      <c r="Q117" s="736">
        <v>0</v>
      </c>
      <c r="R117" s="736">
        <v>0</v>
      </c>
      <c r="S117" s="736">
        <v>0</v>
      </c>
      <c r="T117" s="380">
        <v>0</v>
      </c>
      <c r="U117" s="380">
        <v>0</v>
      </c>
      <c r="V117" s="380">
        <v>0</v>
      </c>
      <c r="W117" s="381">
        <v>0</v>
      </c>
      <c r="X117" s="380">
        <v>0</v>
      </c>
      <c r="Y117" s="380">
        <v>0</v>
      </c>
      <c r="Z117" s="380">
        <v>0</v>
      </c>
      <c r="AA117" s="381">
        <v>0</v>
      </c>
    </row>
    <row r="118" spans="1:27">
      <c r="A118" s="820" t="s">
        <v>12</v>
      </c>
      <c r="B118" s="391"/>
      <c r="C118" s="392">
        <v>21890891.100000001</v>
      </c>
      <c r="D118" s="393">
        <v>5616561.5</v>
      </c>
      <c r="E118" s="393">
        <v>14039734.5</v>
      </c>
      <c r="F118" s="393">
        <v>4749033.9000000004</v>
      </c>
      <c r="G118" s="393">
        <v>2881520.5</v>
      </c>
      <c r="H118" s="393">
        <v>1942549.2</v>
      </c>
      <c r="I118" s="392">
        <v>51120290.700000003</v>
      </c>
      <c r="J118" s="392">
        <v>18652029</v>
      </c>
      <c r="K118" s="393">
        <v>38622697.68</v>
      </c>
      <c r="L118" s="393">
        <v>14331483.73</v>
      </c>
      <c r="M118" s="393">
        <v>3901832.1500000004</v>
      </c>
      <c r="N118" s="392">
        <v>75508042.560000002</v>
      </c>
      <c r="O118" s="392">
        <v>6387805</v>
      </c>
      <c r="P118" s="393">
        <v>6387805</v>
      </c>
      <c r="Q118" s="392">
        <v>3654027.5000000009</v>
      </c>
      <c r="R118" s="392">
        <v>74055</v>
      </c>
      <c r="S118" s="392">
        <v>3728082.5000000009</v>
      </c>
      <c r="T118" s="372">
        <v>31544</v>
      </c>
      <c r="U118" s="372">
        <v>31544</v>
      </c>
      <c r="V118" s="372">
        <v>4282580</v>
      </c>
      <c r="W118" s="373">
        <v>4282580</v>
      </c>
      <c r="X118" s="372">
        <v>1807867</v>
      </c>
      <c r="Y118" s="372">
        <v>1807867</v>
      </c>
      <c r="Z118" s="372">
        <v>383717</v>
      </c>
      <c r="AA118" s="373">
        <v>383717</v>
      </c>
    </row>
    <row r="119" spans="1:27">
      <c r="A119" s="821" t="s">
        <v>18</v>
      </c>
      <c r="B119" s="394"/>
      <c r="C119" s="395">
        <v>71228.5</v>
      </c>
      <c r="D119" s="362">
        <v>29753</v>
      </c>
      <c r="E119" s="362">
        <v>137858</v>
      </c>
      <c r="F119" s="362">
        <v>43469</v>
      </c>
      <c r="G119" s="362">
        <v>23595</v>
      </c>
      <c r="H119" s="362">
        <v>24096</v>
      </c>
      <c r="I119" s="395">
        <v>329999.5</v>
      </c>
      <c r="J119" s="395">
        <v>424939</v>
      </c>
      <c r="K119" s="362">
        <v>1404061</v>
      </c>
      <c r="L119" s="362">
        <v>1135235</v>
      </c>
      <c r="M119" s="362">
        <v>312208.3</v>
      </c>
      <c r="N119" s="395">
        <v>3276443.3</v>
      </c>
      <c r="O119" s="395">
        <v>706167</v>
      </c>
      <c r="P119" s="362">
        <v>706167</v>
      </c>
      <c r="Q119" s="395">
        <v>134167.5</v>
      </c>
      <c r="R119" s="395">
        <v>1566</v>
      </c>
      <c r="S119" s="395">
        <v>135733.5</v>
      </c>
      <c r="T119" s="374">
        <v>0</v>
      </c>
      <c r="U119" s="374">
        <v>0</v>
      </c>
      <c r="V119" s="374">
        <v>244674</v>
      </c>
      <c r="W119" s="375">
        <v>244674</v>
      </c>
      <c r="X119" s="374">
        <v>395778</v>
      </c>
      <c r="Y119" s="374">
        <v>395778</v>
      </c>
      <c r="Z119" s="374">
        <v>139558</v>
      </c>
      <c r="AA119" s="375">
        <v>139558</v>
      </c>
    </row>
    <row r="120" spans="1:27">
      <c r="A120" s="821" t="s">
        <v>20</v>
      </c>
      <c r="B120" s="396"/>
      <c r="C120" s="396">
        <v>3.2537962787636356E-3</v>
      </c>
      <c r="D120" s="822">
        <v>5.2973692178034546E-3</v>
      </c>
      <c r="E120" s="822">
        <v>9.8191315512412298E-3</v>
      </c>
      <c r="F120" s="822">
        <v>9.1532300917034921E-3</v>
      </c>
      <c r="G120" s="822">
        <v>8.1883852639604675E-3</v>
      </c>
      <c r="H120" s="822">
        <v>1.2404319025742051E-2</v>
      </c>
      <c r="I120" s="396">
        <v>6.4553525709899768E-3</v>
      </c>
      <c r="J120" s="396">
        <v>2.2782454391423047E-2</v>
      </c>
      <c r="K120" s="822">
        <v>3.6353260759593838E-2</v>
      </c>
      <c r="L120" s="822">
        <v>7.9212663628373661E-2</v>
      </c>
      <c r="M120" s="822">
        <v>8.0015820260233378E-2</v>
      </c>
      <c r="N120" s="396">
        <v>4.3391977714115432E-2</v>
      </c>
      <c r="O120" s="396">
        <v>0.1105492418757304</v>
      </c>
      <c r="P120" s="822">
        <v>0.1105492418757304</v>
      </c>
      <c r="Q120" s="396">
        <v>3.6717703958166696E-2</v>
      </c>
      <c r="R120" s="396">
        <v>2.1146445209641481E-2</v>
      </c>
      <c r="S120" s="396">
        <v>3.6408394932247332E-2</v>
      </c>
      <c r="T120" s="376">
        <v>0</v>
      </c>
      <c r="U120" s="376">
        <v>0</v>
      </c>
      <c r="V120" s="376">
        <v>5.7132382815966075E-2</v>
      </c>
      <c r="W120" s="377">
        <v>5.7132382815966075E-2</v>
      </c>
      <c r="X120" s="376">
        <v>0.21891986523344914</v>
      </c>
      <c r="Y120" s="376">
        <v>0.21891986523344914</v>
      </c>
      <c r="Z120" s="376">
        <v>0.36370033123369566</v>
      </c>
      <c r="AA120" s="377">
        <v>0.36370033123369566</v>
      </c>
    </row>
    <row r="121" spans="1:27">
      <c r="A121" s="821" t="s">
        <v>13</v>
      </c>
      <c r="B121" s="394"/>
      <c r="C121" s="395">
        <v>22192148.399999999</v>
      </c>
      <c r="D121" s="362">
        <v>5628737.5</v>
      </c>
      <c r="E121" s="362">
        <v>13930967.5</v>
      </c>
      <c r="F121" s="362">
        <v>4724461.5</v>
      </c>
      <c r="G121" s="362">
        <v>2517357</v>
      </c>
      <c r="H121" s="362">
        <v>1979637.11</v>
      </c>
      <c r="I121" s="395">
        <v>50973309.009999998</v>
      </c>
      <c r="J121" s="395">
        <v>15709514</v>
      </c>
      <c r="K121" s="362">
        <v>36642920.68</v>
      </c>
      <c r="L121" s="362">
        <v>13305361.330000002</v>
      </c>
      <c r="M121" s="362">
        <v>3704297.3500000006</v>
      </c>
      <c r="N121" s="395">
        <v>69362093.359999999</v>
      </c>
      <c r="O121" s="395">
        <v>187039</v>
      </c>
      <c r="P121" s="362">
        <v>187039</v>
      </c>
      <c r="Q121" s="395">
        <v>2956367.7</v>
      </c>
      <c r="R121" s="395">
        <v>63064</v>
      </c>
      <c r="S121" s="395">
        <v>3019431.7</v>
      </c>
      <c r="T121" s="374">
        <v>33373</v>
      </c>
      <c r="U121" s="374">
        <v>33373</v>
      </c>
      <c r="V121" s="374">
        <v>3842630</v>
      </c>
      <c r="W121" s="375">
        <v>3842630</v>
      </c>
      <c r="X121" s="374">
        <v>284522</v>
      </c>
      <c r="Y121" s="374">
        <v>284522</v>
      </c>
      <c r="Z121" s="374">
        <v>72753</v>
      </c>
      <c r="AA121" s="375">
        <v>72753</v>
      </c>
    </row>
    <row r="122" spans="1:27">
      <c r="A122" s="821" t="s">
        <v>19</v>
      </c>
      <c r="B122" s="394"/>
      <c r="C122" s="395">
        <v>80782</v>
      </c>
      <c r="D122" s="362">
        <v>36107</v>
      </c>
      <c r="E122" s="362">
        <v>149321</v>
      </c>
      <c r="F122" s="362">
        <v>49593</v>
      </c>
      <c r="G122" s="362">
        <v>22247</v>
      </c>
      <c r="H122" s="362">
        <v>25006</v>
      </c>
      <c r="I122" s="395">
        <v>363056</v>
      </c>
      <c r="J122" s="395">
        <v>456722</v>
      </c>
      <c r="K122" s="362">
        <v>1453688</v>
      </c>
      <c r="L122" s="362">
        <v>1133126.5</v>
      </c>
      <c r="M122" s="362">
        <v>325189.8</v>
      </c>
      <c r="N122" s="395">
        <v>3368726.3</v>
      </c>
      <c r="O122" s="395">
        <v>20679</v>
      </c>
      <c r="P122" s="362">
        <v>20679</v>
      </c>
      <c r="Q122" s="395">
        <v>118925.1</v>
      </c>
      <c r="R122" s="395">
        <v>3371</v>
      </c>
      <c r="S122" s="395">
        <v>122296.1</v>
      </c>
      <c r="T122" s="374">
        <v>0</v>
      </c>
      <c r="U122" s="374">
        <v>0</v>
      </c>
      <c r="V122" s="374">
        <v>264290</v>
      </c>
      <c r="W122" s="375">
        <v>264290</v>
      </c>
      <c r="X122" s="374">
        <v>17256</v>
      </c>
      <c r="Y122" s="374">
        <v>17256</v>
      </c>
      <c r="Z122" s="374">
        <v>6617</v>
      </c>
      <c r="AA122" s="375">
        <v>6617</v>
      </c>
    </row>
    <row r="123" spans="1:27">
      <c r="A123" s="821" t="s">
        <v>21</v>
      </c>
      <c r="B123" s="397"/>
      <c r="C123" s="396">
        <v>3.6401162494028748E-3</v>
      </c>
      <c r="D123" s="822">
        <v>6.4147599705973142E-3</v>
      </c>
      <c r="E123" s="822">
        <v>1.0718638170679818E-2</v>
      </c>
      <c r="F123" s="822">
        <v>1.0497069348538453E-2</v>
      </c>
      <c r="G123" s="822">
        <v>8.8374433979765288E-3</v>
      </c>
      <c r="H123" s="822">
        <v>1.2631608022341024E-2</v>
      </c>
      <c r="I123" s="396">
        <v>7.1224726636596276E-3</v>
      </c>
      <c r="J123" s="396">
        <v>2.9072955407786646E-2</v>
      </c>
      <c r="K123" s="822">
        <v>3.9671728481879297E-2</v>
      </c>
      <c r="L123" s="822">
        <v>8.5163151296395484E-2</v>
      </c>
      <c r="M123" s="822">
        <v>8.7787175076536425E-2</v>
      </c>
      <c r="N123" s="396">
        <v>4.8567252469094165E-2</v>
      </c>
      <c r="O123" s="396">
        <v>0.11055982976812323</v>
      </c>
      <c r="P123" s="822">
        <v>0.11055982976812323</v>
      </c>
      <c r="Q123" s="396">
        <v>4.0226762049930392E-2</v>
      </c>
      <c r="R123" s="397">
        <v>5.345363440314601E-2</v>
      </c>
      <c r="S123" s="397">
        <v>4.0503019160857322E-2</v>
      </c>
      <c r="T123" s="378">
        <v>0</v>
      </c>
      <c r="U123" s="378">
        <v>0</v>
      </c>
      <c r="V123" s="378">
        <v>6.8778414783624758E-2</v>
      </c>
      <c r="W123" s="379">
        <v>6.8778414783624758E-2</v>
      </c>
      <c r="X123" s="378">
        <v>6.0649088646923616E-2</v>
      </c>
      <c r="Y123" s="378">
        <v>6.0649088646923616E-2</v>
      </c>
      <c r="Z123" s="378">
        <v>9.0951575880032443E-2</v>
      </c>
      <c r="AA123" s="379">
        <v>9.0951575880032443E-2</v>
      </c>
    </row>
    <row r="124" spans="1:27">
      <c r="A124" s="821" t="s">
        <v>230</v>
      </c>
      <c r="B124" s="823"/>
      <c r="C124" s="771">
        <v>3.8631997063923911E-4</v>
      </c>
      <c r="D124" s="772">
        <v>1.1173907527938596E-3</v>
      </c>
      <c r="E124" s="772">
        <v>8.9950661943858853E-4</v>
      </c>
      <c r="F124" s="772">
        <v>1.3438392568349607E-3</v>
      </c>
      <c r="G124" s="772">
        <v>6.4905813401606137E-4</v>
      </c>
      <c r="H124" s="772">
        <v>2.2728899659897259E-4</v>
      </c>
      <c r="I124" s="771">
        <v>6.6712009266965081E-4</v>
      </c>
      <c r="J124" s="771">
        <v>6.2905010163635984E-3</v>
      </c>
      <c r="K124" s="772">
        <v>3.3184677222854592E-3</v>
      </c>
      <c r="L124" s="772">
        <v>5.9504876680218227E-3</v>
      </c>
      <c r="M124" s="772">
        <v>7.7713548163030471E-3</v>
      </c>
      <c r="N124" s="771">
        <v>5.1752747549787328E-3</v>
      </c>
      <c r="O124" s="771">
        <v>1.0587892392832643E-5</v>
      </c>
      <c r="P124" s="772">
        <v>1.0587892392832643E-5</v>
      </c>
      <c r="Q124" s="771">
        <v>3.5090580917636963E-3</v>
      </c>
      <c r="R124" s="771">
        <v>3.2307189193504532E-2</v>
      </c>
      <c r="S124" s="771">
        <v>4.0946242286099901E-3</v>
      </c>
      <c r="T124" s="380">
        <v>0</v>
      </c>
      <c r="U124" s="380">
        <v>0</v>
      </c>
      <c r="V124" s="380">
        <v>1.1646031967658683E-2</v>
      </c>
      <c r="W124" s="381">
        <v>1.1646031967658683E-2</v>
      </c>
      <c r="X124" s="380">
        <v>-0.15827077658652552</v>
      </c>
      <c r="Y124" s="380">
        <v>-0.15827077658652552</v>
      </c>
      <c r="Z124" s="380">
        <v>-0.27274875535366322</v>
      </c>
      <c r="AA124" s="381">
        <v>-0.27274875535366322</v>
      </c>
    </row>
    <row r="125" spans="1:27">
      <c r="A125" s="398" t="s">
        <v>231</v>
      </c>
      <c r="B125"/>
      <c r="C125" s="334"/>
      <c r="D125" s="334"/>
      <c r="E125" s="334"/>
      <c r="F125" s="334"/>
      <c r="G125" s="334"/>
      <c r="H125" s="334"/>
      <c r="I125" s="334"/>
      <c r="J125" s="334"/>
      <c r="K125" s="334"/>
      <c r="L125" s="334"/>
      <c r="M125" s="334"/>
      <c r="N125" s="334"/>
      <c r="O125" s="334"/>
      <c r="P125" s="334"/>
      <c r="Q125" s="334"/>
      <c r="R125" s="334"/>
      <c r="S125" s="334"/>
      <c r="T125"/>
      <c r="U125"/>
      <c r="V125"/>
      <c r="W125"/>
      <c r="X125"/>
      <c r="Y125"/>
      <c r="Z125"/>
      <c r="AA125"/>
    </row>
    <row r="126" spans="1:27">
      <c r="A126"/>
      <c r="B126"/>
      <c r="C126" s="334"/>
      <c r="D126" s="334"/>
      <c r="E126" s="334"/>
      <c r="F126" s="334"/>
      <c r="G126" s="334"/>
      <c r="H126" s="334"/>
      <c r="I126" s="334"/>
      <c r="J126" s="334"/>
      <c r="K126" s="334"/>
      <c r="L126" s="334"/>
      <c r="M126" s="334"/>
      <c r="N126" s="334"/>
      <c r="O126" s="334"/>
      <c r="P126" s="334"/>
      <c r="Q126" s="334"/>
      <c r="R126" s="334"/>
      <c r="S126" s="334"/>
      <c r="T126"/>
      <c r="U126"/>
      <c r="V126"/>
      <c r="W126"/>
      <c r="X126"/>
      <c r="Y126"/>
      <c r="Z126"/>
      <c r="AA126"/>
    </row>
    <row r="127" spans="1:27">
      <c r="A127"/>
      <c r="B127"/>
      <c r="C127" s="334"/>
      <c r="D127" s="334"/>
      <c r="E127" s="334"/>
      <c r="F127" s="334"/>
      <c r="G127" s="334"/>
      <c r="H127" s="334"/>
      <c r="I127" s="334"/>
      <c r="J127" s="334"/>
      <c r="K127" s="334"/>
      <c r="L127" s="334"/>
      <c r="M127" s="334"/>
      <c r="N127" s="334"/>
      <c r="O127" s="334"/>
      <c r="P127" s="334"/>
      <c r="Q127" s="334"/>
      <c r="R127" s="334"/>
      <c r="S127" s="334"/>
      <c r="T127"/>
      <c r="U127"/>
      <c r="V127"/>
      <c r="W127"/>
      <c r="X127"/>
      <c r="Y127"/>
      <c r="Z127"/>
      <c r="AA127"/>
    </row>
    <row r="128" spans="1:27">
      <c r="A128"/>
      <c r="B128"/>
      <c r="C128" s="334"/>
      <c r="D128" s="334"/>
      <c r="E128" s="334"/>
      <c r="F128" s="334"/>
      <c r="G128" s="334"/>
      <c r="H128" s="334"/>
      <c r="I128" s="334"/>
      <c r="J128" s="334"/>
      <c r="K128" s="334"/>
      <c r="L128" s="334"/>
      <c r="M128" s="334"/>
      <c r="N128" s="334"/>
      <c r="O128" s="334"/>
      <c r="P128" s="334"/>
      <c r="Q128" s="334"/>
      <c r="R128" s="334"/>
      <c r="S128" s="334"/>
      <c r="T128"/>
      <c r="U128"/>
      <c r="V128"/>
      <c r="W128"/>
      <c r="X128"/>
      <c r="Y128"/>
      <c r="Z128"/>
      <c r="AA128"/>
    </row>
    <row r="129" spans="1:27">
      <c r="A129"/>
      <c r="B129"/>
      <c r="C129" s="334"/>
      <c r="D129" s="334"/>
      <c r="E129" s="334"/>
      <c r="F129" s="334"/>
      <c r="G129" s="334"/>
      <c r="H129" s="334"/>
      <c r="I129" s="334"/>
      <c r="J129" s="334"/>
      <c r="K129" s="334"/>
      <c r="L129" s="334"/>
      <c r="M129" s="334"/>
      <c r="N129" s="334"/>
      <c r="O129" s="334"/>
      <c r="P129" s="334"/>
      <c r="Q129" s="334"/>
      <c r="R129" s="334"/>
      <c r="S129" s="334"/>
      <c r="T129"/>
      <c r="U129"/>
      <c r="V129"/>
      <c r="W129"/>
      <c r="X129"/>
      <c r="Y129"/>
      <c r="Z129"/>
      <c r="AA129"/>
    </row>
    <row r="130" spans="1:27">
      <c r="A130"/>
      <c r="B130"/>
      <c r="C130" s="334"/>
      <c r="D130" s="334"/>
      <c r="E130" s="334"/>
      <c r="F130" s="334"/>
      <c r="G130" s="334"/>
      <c r="H130" s="334"/>
      <c r="I130" s="334"/>
      <c r="J130" s="334"/>
      <c r="K130" s="334"/>
      <c r="L130" s="334"/>
      <c r="M130" s="334"/>
      <c r="N130" s="334"/>
      <c r="O130" s="334"/>
      <c r="P130" s="334"/>
      <c r="Q130" s="334"/>
      <c r="R130" s="334"/>
      <c r="S130" s="334"/>
      <c r="T130"/>
      <c r="U130"/>
      <c r="V130"/>
      <c r="W130"/>
      <c r="X130"/>
      <c r="Y130"/>
      <c r="Z130"/>
      <c r="AA130"/>
    </row>
    <row r="131" spans="1:27">
      <c r="A131"/>
      <c r="B131"/>
      <c r="C131" s="334"/>
      <c r="D131" s="334"/>
      <c r="E131" s="334"/>
      <c r="F131" s="334"/>
      <c r="G131" s="334"/>
      <c r="H131" s="334"/>
      <c r="I131" s="334"/>
      <c r="J131" s="334"/>
      <c r="K131" s="334"/>
      <c r="L131" s="334"/>
      <c r="M131" s="334"/>
      <c r="N131" s="334"/>
      <c r="O131" s="334"/>
      <c r="P131" s="334"/>
      <c r="Q131" s="334"/>
      <c r="R131" s="334"/>
      <c r="S131" s="334"/>
      <c r="T131"/>
      <c r="U131"/>
      <c r="V131"/>
      <c r="W131"/>
      <c r="X131"/>
      <c r="Y131"/>
      <c r="Z131"/>
      <c r="AA131"/>
    </row>
    <row r="132" spans="1:27">
      <c r="A132"/>
      <c r="B132"/>
      <c r="C132" s="334"/>
      <c r="D132" s="334"/>
      <c r="E132" s="334"/>
      <c r="F132" s="334"/>
      <c r="G132" s="334"/>
      <c r="H132" s="334"/>
      <c r="I132" s="334"/>
      <c r="J132" s="334"/>
      <c r="K132" s="334"/>
      <c r="L132" s="334"/>
      <c r="M132" s="334"/>
      <c r="N132" s="334"/>
      <c r="O132" s="334"/>
      <c r="P132" s="334"/>
      <c r="Q132" s="334"/>
      <c r="R132" s="334"/>
      <c r="S132" s="334"/>
      <c r="T132"/>
      <c r="X132"/>
    </row>
    <row r="133" spans="1:27">
      <c r="A133"/>
      <c r="B133"/>
      <c r="C133" s="334"/>
      <c r="D133" s="334"/>
      <c r="E133" s="334"/>
      <c r="F133" s="334"/>
      <c r="G133" s="334"/>
      <c r="H133" s="334"/>
      <c r="I133" s="334"/>
      <c r="J133" s="334"/>
      <c r="K133" s="334"/>
      <c r="L133" s="334"/>
      <c r="M133" s="334"/>
      <c r="N133" s="334"/>
      <c r="O133" s="334"/>
      <c r="P133" s="334"/>
      <c r="Q133" s="334"/>
      <c r="R133" s="334"/>
      <c r="S133" s="334"/>
      <c r="T133"/>
      <c r="X133"/>
    </row>
    <row r="134" spans="1:27">
      <c r="A134"/>
      <c r="B134"/>
      <c r="C134" s="334"/>
      <c r="D134" s="334"/>
      <c r="E134" s="334"/>
      <c r="F134" s="334"/>
      <c r="G134" s="334"/>
      <c r="H134" s="334"/>
      <c r="I134" s="334"/>
      <c r="J134" s="334"/>
      <c r="K134" s="334"/>
      <c r="L134" s="334"/>
      <c r="M134" s="334"/>
      <c r="N134" s="334"/>
      <c r="O134" s="334"/>
      <c r="P134" s="334"/>
      <c r="Q134" s="334"/>
      <c r="R134" s="334"/>
      <c r="S134" s="334"/>
      <c r="T134"/>
      <c r="X134"/>
    </row>
    <row r="135" spans="1:27">
      <c r="A135"/>
      <c r="B135"/>
      <c r="C135" s="334"/>
      <c r="D135" s="334"/>
      <c r="E135" s="334"/>
      <c r="F135" s="334"/>
      <c r="G135" s="334"/>
      <c r="H135" s="334"/>
      <c r="I135" s="334"/>
      <c r="J135" s="334"/>
      <c r="K135" s="334"/>
      <c r="L135" s="334"/>
      <c r="M135" s="334"/>
      <c r="N135" s="334"/>
      <c r="O135" s="334"/>
      <c r="P135" s="334"/>
      <c r="Q135" s="334"/>
      <c r="R135" s="334"/>
      <c r="S135" s="334"/>
      <c r="T135"/>
      <c r="X135"/>
    </row>
    <row r="136" spans="1:27">
      <c r="A136"/>
      <c r="B136"/>
      <c r="C136" s="334"/>
      <c r="D136" s="334"/>
      <c r="E136" s="334"/>
      <c r="F136" s="334"/>
      <c r="G136" s="334"/>
      <c r="H136" s="334"/>
      <c r="I136" s="334"/>
      <c r="J136" s="334"/>
      <c r="K136" s="334"/>
      <c r="L136" s="334"/>
      <c r="M136" s="334"/>
      <c r="N136" s="334"/>
      <c r="O136" s="334"/>
      <c r="P136" s="334"/>
      <c r="Q136" s="334"/>
      <c r="R136" s="334"/>
      <c r="S136" s="334"/>
      <c r="T136"/>
      <c r="X136"/>
    </row>
    <row r="137" spans="1:27">
      <c r="A137"/>
      <c r="B137"/>
      <c r="C137" s="334"/>
      <c r="D137" s="334"/>
      <c r="E137" s="334"/>
      <c r="F137" s="334"/>
      <c r="G137" s="334"/>
      <c r="H137" s="334"/>
      <c r="I137" s="334"/>
      <c r="J137" s="334"/>
      <c r="K137" s="334"/>
      <c r="L137" s="334"/>
      <c r="M137" s="334"/>
      <c r="N137" s="334"/>
      <c r="O137" s="334"/>
      <c r="P137" s="334"/>
      <c r="Q137" s="334"/>
      <c r="R137" s="334"/>
      <c r="S137" s="334"/>
      <c r="T137"/>
      <c r="X137"/>
    </row>
    <row r="138" spans="1:27">
      <c r="A138"/>
      <c r="B138"/>
      <c r="C138" s="334"/>
      <c r="D138" s="334"/>
      <c r="E138" s="334"/>
      <c r="F138" s="334"/>
      <c r="G138" s="334"/>
      <c r="H138" s="334"/>
      <c r="I138" s="334"/>
      <c r="J138" s="334"/>
      <c r="K138" s="334"/>
      <c r="L138" s="334"/>
      <c r="M138" s="334"/>
      <c r="N138" s="334"/>
      <c r="O138" s="334"/>
      <c r="P138" s="334"/>
      <c r="Q138" s="334"/>
      <c r="R138" s="334"/>
      <c r="S138" s="334"/>
      <c r="T138"/>
      <c r="X138"/>
    </row>
    <row r="139" spans="1:27">
      <c r="A139"/>
      <c r="B139"/>
      <c r="C139" s="334"/>
      <c r="D139" s="334"/>
      <c r="E139" s="334"/>
      <c r="F139" s="334"/>
      <c r="G139" s="334"/>
      <c r="H139" s="334"/>
      <c r="I139" s="334"/>
      <c r="J139" s="334"/>
      <c r="K139" s="334"/>
      <c r="L139" s="334"/>
      <c r="M139" s="334"/>
      <c r="N139" s="334"/>
      <c r="O139" s="334"/>
      <c r="P139" s="334"/>
      <c r="Q139" s="334"/>
      <c r="R139" s="334"/>
      <c r="S139" s="334"/>
      <c r="T139"/>
      <c r="X139"/>
    </row>
    <row r="140" spans="1:27">
      <c r="A140"/>
      <c r="B140"/>
      <c r="C140" s="334"/>
      <c r="D140" s="334"/>
      <c r="E140" s="334"/>
      <c r="F140" s="334"/>
      <c r="G140" s="334"/>
      <c r="H140" s="334"/>
      <c r="I140" s="334"/>
      <c r="J140" s="334"/>
      <c r="K140" s="334"/>
      <c r="L140" s="334"/>
      <c r="M140" s="334"/>
      <c r="N140" s="334"/>
      <c r="O140" s="334"/>
      <c r="P140" s="334"/>
      <c r="Q140" s="334"/>
      <c r="R140" s="334"/>
      <c r="S140" s="334"/>
      <c r="T140"/>
      <c r="X140"/>
    </row>
    <row r="141" spans="1:27">
      <c r="A141"/>
      <c r="B141"/>
      <c r="C141" s="334"/>
      <c r="D141" s="334"/>
      <c r="E141" s="334"/>
      <c r="F141" s="334"/>
      <c r="G141" s="334"/>
      <c r="H141" s="334"/>
      <c r="I141" s="334"/>
      <c r="J141" s="334"/>
      <c r="K141" s="334"/>
      <c r="L141" s="334"/>
      <c r="M141" s="334"/>
      <c r="N141" s="334"/>
      <c r="O141" s="334"/>
      <c r="P141" s="334"/>
      <c r="Q141" s="334"/>
      <c r="R141" s="334"/>
      <c r="S141" s="334"/>
      <c r="T141"/>
      <c r="X141"/>
    </row>
    <row r="145" spans="3:19">
      <c r="C145" s="181"/>
      <c r="D145" s="181"/>
      <c r="E145" s="181"/>
      <c r="F145" s="181"/>
      <c r="G145" s="181"/>
      <c r="H145" s="181"/>
      <c r="I145" s="181"/>
      <c r="J145" s="181"/>
      <c r="K145" s="181"/>
      <c r="L145" s="181"/>
      <c r="M145" s="181"/>
      <c r="N145" s="181"/>
      <c r="O145" s="181"/>
      <c r="P145" s="181"/>
      <c r="Q145" s="181"/>
      <c r="R145" s="181"/>
      <c r="S145" s="181"/>
    </row>
    <row r="146" spans="3:19">
      <c r="C146" s="181"/>
      <c r="D146" s="181"/>
      <c r="E146" s="181"/>
      <c r="F146" s="181"/>
      <c r="G146" s="181"/>
      <c r="H146" s="181"/>
      <c r="I146" s="181"/>
      <c r="J146" s="181"/>
      <c r="K146" s="181"/>
      <c r="L146" s="181"/>
      <c r="M146" s="181"/>
      <c r="N146" s="181"/>
      <c r="O146" s="181"/>
      <c r="P146" s="181"/>
      <c r="Q146" s="181"/>
      <c r="R146" s="181"/>
      <c r="S146" s="181"/>
    </row>
    <row r="147" spans="3:19">
      <c r="C147" s="181"/>
      <c r="D147" s="181"/>
      <c r="E147" s="181"/>
      <c r="F147" s="181"/>
      <c r="G147" s="181"/>
      <c r="H147" s="181"/>
      <c r="I147" s="181"/>
      <c r="J147" s="181"/>
      <c r="K147" s="181"/>
      <c r="L147" s="181"/>
      <c r="M147" s="181"/>
      <c r="N147" s="181"/>
      <c r="O147" s="181"/>
      <c r="P147" s="181"/>
      <c r="Q147" s="181"/>
      <c r="R147" s="181"/>
      <c r="S147" s="181"/>
    </row>
    <row r="148" spans="3:19">
      <c r="C148" s="181"/>
      <c r="D148" s="181"/>
      <c r="E148" s="181"/>
      <c r="F148" s="181"/>
      <c r="G148" s="181"/>
      <c r="H148" s="181"/>
      <c r="I148" s="181"/>
      <c r="J148" s="181"/>
      <c r="K148" s="181"/>
      <c r="L148" s="181"/>
      <c r="M148" s="181"/>
      <c r="N148" s="181"/>
      <c r="O148" s="181"/>
      <c r="P148" s="181"/>
      <c r="Q148" s="181"/>
      <c r="R148" s="181"/>
      <c r="S148" s="181"/>
    </row>
  </sheetData>
  <phoneticPr fontId="0" type="noConversion"/>
  <pageMargins left="0.7" right="0.7" top="0.75" bottom="0.75" header="0.3" footer="0.3"/>
  <pageSetup scale="77" pageOrder="overThenDown" orientation="landscape" r:id="rId2"/>
  <headerFooter>
    <oddHeader>&amp;L&amp;"Arial,Bold"SREB-State Data Exchange&amp;C&amp;"Arial,Bold"Preliminary Tables&amp;R&amp;"Arial,Bold"Part 4  -- High School Student Portion of FTE Enrollment</oddHeader>
    <oddFooter>&amp;L&amp;"Arial,Bold"For Agency Review Only&amp;R&amp;"Arial,Bold"October 2009</oddFooter>
  </headerFooter>
  <rowBreaks count="15" manualBreakCount="15">
    <brk id="11" min="2" max="23" man="1"/>
    <brk id="17" min="2" max="23" man="1"/>
    <brk id="23" min="2" max="23" man="1"/>
    <brk id="29" min="2" max="23" man="1"/>
    <brk id="35" min="2" max="23" man="1"/>
    <brk id="41" min="2" max="23" man="1"/>
    <brk id="47" min="2" max="23" man="1"/>
    <brk id="53" min="2" max="23" man="1"/>
    <brk id="59" min="2" max="23" man="1"/>
    <brk id="65" min="2" max="23" man="1"/>
    <brk id="71" min="2" max="23" man="1"/>
    <brk id="77" min="2" max="23" man="1"/>
    <brk id="83" min="2" max="23" man="1"/>
    <brk id="89" min="2" max="23" man="1"/>
    <brk id="95" min="2" max="23" man="1"/>
  </rowBreaks>
  <colBreaks count="1" manualBreakCount="1">
    <brk id="9" min="5" max="100"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tabColor indexed="12"/>
  </sheetPr>
  <dimension ref="A1:BA692"/>
  <sheetViews>
    <sheetView workbookViewId="0">
      <pane xSplit="5" ySplit="6" topLeftCell="F7" activePane="bottomRight" state="frozen"/>
      <selection pane="topRight" activeCell="F1" sqref="F1"/>
      <selection pane="bottomLeft" activeCell="A7" sqref="A7"/>
      <selection pane="bottomRight" activeCell="A2" sqref="A2"/>
    </sheetView>
  </sheetViews>
  <sheetFormatPr defaultRowHeight="12.75"/>
  <cols>
    <col min="1" max="1" width="6.5" style="156" customWidth="1"/>
    <col min="2" max="2" width="48.1640625" style="156" customWidth="1"/>
    <col min="3" max="3" width="22.83203125" style="156" customWidth="1"/>
    <col min="4" max="4" width="11.1640625" style="158" customWidth="1"/>
    <col min="5" max="5" width="11.1640625" style="159" customWidth="1"/>
    <col min="6" max="6" width="10.6640625" style="160" customWidth="1"/>
    <col min="7" max="7" width="8.83203125" style="161" customWidth="1"/>
    <col min="8" max="8" width="10.83203125" style="162" customWidth="1"/>
    <col min="9" max="9" width="12.5" style="157" customWidth="1"/>
    <col min="10" max="10" width="12.6640625" style="162" customWidth="1"/>
    <col min="11" max="11" width="12.5" style="157" customWidth="1"/>
    <col min="12" max="12" width="12.33203125" style="162" customWidth="1"/>
    <col min="13" max="13" width="12.1640625" style="157" customWidth="1"/>
    <col min="14" max="14" width="12.6640625" style="162" customWidth="1"/>
    <col min="15" max="15" width="12.6640625" style="157" customWidth="1"/>
    <col min="16" max="16" width="11.6640625" style="162" customWidth="1"/>
    <col min="17" max="17" width="10.83203125" style="162" customWidth="1"/>
    <col min="18" max="18" width="13.1640625" style="157" customWidth="1"/>
    <col min="19" max="19" width="9.5" style="157" customWidth="1"/>
    <col min="20" max="20" width="11.5" style="157" customWidth="1"/>
    <col min="21" max="21" width="11.1640625" style="157" bestFit="1" customWidth="1"/>
    <col min="22" max="22" width="13.33203125" style="162" customWidth="1"/>
    <col min="23" max="23" width="12.1640625" style="162" customWidth="1"/>
    <col min="24" max="24" width="12.83203125" style="162" customWidth="1"/>
    <col min="25" max="25" width="12.1640625" style="157" customWidth="1"/>
    <col min="26" max="26" width="11.5" style="162" customWidth="1"/>
    <col min="27" max="27" width="11.83203125" style="157" customWidth="1"/>
    <col min="28" max="28" width="13.33203125" style="162" customWidth="1"/>
    <col min="29" max="29" width="12.33203125" style="157" customWidth="1"/>
    <col min="30" max="30" width="15.1640625" style="162" customWidth="1"/>
    <col min="31" max="31" width="18.1640625" style="157" customWidth="1"/>
    <col min="32" max="32" width="12.6640625" style="162" customWidth="1"/>
    <col min="33" max="33" width="12" style="162" customWidth="1"/>
    <col min="34" max="34" width="13" style="157" customWidth="1"/>
    <col min="35" max="35" width="10.83203125" style="157" customWidth="1"/>
    <col min="36" max="36" width="12.33203125" style="157" customWidth="1"/>
    <col min="37" max="37" width="12" style="157" customWidth="1"/>
    <col min="38" max="39" width="12.6640625" style="162" customWidth="1"/>
    <col min="40" max="40" width="10.83203125" style="162" customWidth="1"/>
    <col min="41" max="41" width="10.83203125" style="157" customWidth="1"/>
    <col min="42" max="42" width="10.83203125" style="162" customWidth="1"/>
    <col min="43" max="43" width="10.83203125" style="157" customWidth="1"/>
    <col min="44" max="44" width="10.83203125" style="162" customWidth="1"/>
    <col min="45" max="45" width="10.83203125" style="157" customWidth="1"/>
    <col min="46" max="46" width="10.83203125" style="162" customWidth="1"/>
    <col min="47" max="47" width="10.83203125" style="157" customWidth="1"/>
    <col min="48" max="48" width="12.5" style="162" customWidth="1"/>
    <col min="49" max="49" width="10.83203125" style="162" customWidth="1"/>
    <col min="50" max="50" width="12.5" style="157" customWidth="1"/>
    <col min="51" max="53" width="10.83203125" style="156" customWidth="1"/>
    <col min="54" max="16384" width="9.33203125" style="156"/>
  </cols>
  <sheetData>
    <row r="1" spans="1:53" s="85" customFormat="1" hidden="1">
      <c r="A1" s="325"/>
      <c r="B1" s="325"/>
      <c r="C1" s="325"/>
      <c r="D1" s="326"/>
      <c r="E1" s="327"/>
      <c r="F1" s="328"/>
      <c r="G1" s="329"/>
      <c r="H1" s="330"/>
      <c r="I1" s="331"/>
      <c r="J1" s="330"/>
      <c r="K1" s="331"/>
      <c r="L1" s="330"/>
      <c r="M1" s="331"/>
      <c r="N1" s="330"/>
      <c r="O1" s="331"/>
      <c r="P1" s="293">
        <f t="shared" ref="P1" si="0">SUM(H1,J1,L1,N1)</f>
        <v>0</v>
      </c>
      <c r="Q1" s="294">
        <f t="shared" ref="Q1" si="1">+P1/30</f>
        <v>0</v>
      </c>
      <c r="R1" s="295">
        <f t="shared" ref="R1" si="2">SUM(I1,K1,M1,O1)</f>
        <v>0</v>
      </c>
      <c r="S1" s="296">
        <f t="shared" ref="S1" si="3">+R1/30</f>
        <v>0</v>
      </c>
      <c r="T1" s="330"/>
      <c r="U1" s="331"/>
      <c r="V1" s="293">
        <f t="shared" ref="V1" si="4">IF(ISBLANK(T1),0,P1)</f>
        <v>0</v>
      </c>
      <c r="W1" s="297">
        <f>IF(ISBLANK(U1),0,R1)</f>
        <v>0</v>
      </c>
      <c r="X1" s="332"/>
      <c r="Y1" s="331"/>
      <c r="Z1" s="330"/>
      <c r="AA1" s="331"/>
      <c r="AB1" s="330"/>
      <c r="AC1" s="331"/>
      <c r="AD1" s="330"/>
      <c r="AE1" s="331"/>
      <c r="AF1" s="293">
        <f t="shared" ref="AF1" si="5">SUM(X1,Z1,AB1,AD1)</f>
        <v>0</v>
      </c>
      <c r="AG1" s="294">
        <f t="shared" ref="AG1" si="6">+AF1/900</f>
        <v>0</v>
      </c>
      <c r="AH1" s="295">
        <f t="shared" ref="AH1" si="7">SUM(Y1,AA1,AC1,AE1)</f>
        <v>0</v>
      </c>
      <c r="AI1" s="295">
        <f t="shared" ref="AI1" si="8">+AH1/900</f>
        <v>0</v>
      </c>
      <c r="AJ1" s="330"/>
      <c r="AK1" s="331"/>
      <c r="AL1" s="293">
        <f t="shared" ref="AL1" si="9">IF(ISBLANK(AJ1),0,AF1)</f>
        <v>0</v>
      </c>
      <c r="AM1" s="296">
        <f t="shared" ref="AM1" si="10">IF(ISBLANK(AK1),0,AH1)</f>
        <v>0</v>
      </c>
      <c r="AN1" s="330"/>
      <c r="AO1" s="330"/>
      <c r="AP1" s="330"/>
      <c r="AQ1" s="330"/>
      <c r="AR1" s="330"/>
      <c r="AS1" s="330"/>
      <c r="AT1" s="330"/>
      <c r="AU1" s="330"/>
      <c r="AV1" s="293">
        <f t="shared" ref="AV1" si="11">SUM(AN1,AP1,AR1,AT1)</f>
        <v>0</v>
      </c>
      <c r="AW1" s="298">
        <f t="shared" ref="AW1" si="12">+AV1/24</f>
        <v>0</v>
      </c>
      <c r="AX1" s="295">
        <f t="shared" ref="AX1" si="13">SUM(AO1,AQ1,AS1,AU1)</f>
        <v>0</v>
      </c>
      <c r="AY1" s="299">
        <f t="shared" ref="AY1" si="14">+AX1/24</f>
        <v>0</v>
      </c>
      <c r="AZ1" s="300">
        <f>SUM(Q1,AG1,AW1)</f>
        <v>0</v>
      </c>
      <c r="BA1" s="295">
        <f>SUM(S1,AI1,AY1)</f>
        <v>0</v>
      </c>
    </row>
    <row r="2" spans="1:53" ht="18.75" thickBot="1">
      <c r="A2" s="315" t="s">
        <v>200</v>
      </c>
      <c r="B2" s="315"/>
      <c r="C2" s="315"/>
      <c r="D2" s="315"/>
      <c r="E2" s="315"/>
    </row>
    <row r="3" spans="1:53" s="72" customFormat="1" ht="23.25" customHeight="1" thickTop="1">
      <c r="A3" s="316" t="s">
        <v>201</v>
      </c>
      <c r="B3" s="317"/>
      <c r="C3" s="317"/>
      <c r="D3" s="317"/>
      <c r="E3" s="317"/>
      <c r="F3" s="318"/>
      <c r="G3" s="319"/>
      <c r="H3" s="320" t="s">
        <v>107</v>
      </c>
      <c r="I3" s="303"/>
      <c r="J3" s="308"/>
      <c r="K3" s="321"/>
      <c r="L3" s="308"/>
      <c r="M3" s="321"/>
      <c r="N3" s="308"/>
      <c r="O3" s="321"/>
      <c r="P3" s="303" t="s">
        <v>110</v>
      </c>
      <c r="Q3" s="303"/>
      <c r="R3" s="303"/>
      <c r="S3" s="303"/>
      <c r="T3" s="213"/>
      <c r="U3" s="147"/>
      <c r="V3" s="303" t="s">
        <v>110</v>
      </c>
      <c r="W3" s="305"/>
      <c r="X3" s="307" t="s">
        <v>108</v>
      </c>
      <c r="Y3" s="303"/>
      <c r="Z3" s="308"/>
      <c r="AA3" s="321"/>
      <c r="AB3" s="308"/>
      <c r="AC3" s="321"/>
      <c r="AD3" s="308"/>
      <c r="AE3" s="321"/>
      <c r="AF3" s="303" t="s">
        <v>110</v>
      </c>
      <c r="AG3" s="303"/>
      <c r="AH3" s="303"/>
      <c r="AI3" s="303"/>
      <c r="AJ3" s="213"/>
      <c r="AK3" s="147"/>
      <c r="AL3" s="303" t="s">
        <v>110</v>
      </c>
      <c r="AM3" s="305"/>
      <c r="AN3" s="307" t="s">
        <v>109</v>
      </c>
      <c r="AO3" s="303"/>
      <c r="AP3" s="308"/>
      <c r="AQ3" s="321"/>
      <c r="AR3" s="308"/>
      <c r="AS3" s="321"/>
      <c r="AT3" s="308"/>
      <c r="AU3" s="321"/>
      <c r="AV3" s="304" t="s">
        <v>110</v>
      </c>
      <c r="AW3" s="303"/>
      <c r="AX3" s="322"/>
      <c r="AY3" s="303"/>
      <c r="AZ3" s="851" t="s">
        <v>59</v>
      </c>
      <c r="BA3" s="852"/>
    </row>
    <row r="4" spans="1:53" s="72" customFormat="1" ht="82.5" customHeight="1" thickBot="1">
      <c r="A4" s="323" t="s">
        <v>202</v>
      </c>
      <c r="B4" s="324"/>
      <c r="C4" s="324"/>
      <c r="D4" s="324"/>
      <c r="E4" s="324"/>
      <c r="F4" s="289" t="s">
        <v>190</v>
      </c>
      <c r="G4" s="290"/>
      <c r="H4" s="289" t="s">
        <v>111</v>
      </c>
      <c r="I4" s="290"/>
      <c r="J4" s="289" t="s">
        <v>112</v>
      </c>
      <c r="K4" s="290"/>
      <c r="L4" s="289" t="s">
        <v>113</v>
      </c>
      <c r="M4" s="290"/>
      <c r="N4" s="289" t="s">
        <v>114</v>
      </c>
      <c r="O4" s="290"/>
      <c r="P4" s="301" t="s">
        <v>191</v>
      </c>
      <c r="Q4" s="301" t="s">
        <v>139</v>
      </c>
      <c r="R4" s="302" t="s">
        <v>191</v>
      </c>
      <c r="S4" s="306" t="s">
        <v>139</v>
      </c>
      <c r="T4" s="291" t="s">
        <v>152</v>
      </c>
      <c r="U4" s="292"/>
      <c r="V4" s="291" t="s">
        <v>192</v>
      </c>
      <c r="W4" s="292"/>
      <c r="X4" s="289" t="s">
        <v>111</v>
      </c>
      <c r="Y4" s="290"/>
      <c r="Z4" s="289" t="s">
        <v>112</v>
      </c>
      <c r="AA4" s="290"/>
      <c r="AB4" s="289" t="s">
        <v>113</v>
      </c>
      <c r="AC4" s="290"/>
      <c r="AD4" s="289" t="s">
        <v>114</v>
      </c>
      <c r="AE4" s="290"/>
      <c r="AF4" s="301" t="s">
        <v>191</v>
      </c>
      <c r="AG4" s="301" t="s">
        <v>139</v>
      </c>
      <c r="AH4" s="302" t="s">
        <v>191</v>
      </c>
      <c r="AI4" s="306" t="s">
        <v>139</v>
      </c>
      <c r="AJ4" s="291" t="s">
        <v>152</v>
      </c>
      <c r="AK4" s="292"/>
      <c r="AL4" s="291" t="s">
        <v>192</v>
      </c>
      <c r="AM4" s="292"/>
      <c r="AN4" s="289" t="s">
        <v>111</v>
      </c>
      <c r="AO4" s="290"/>
      <c r="AP4" s="289" t="s">
        <v>112</v>
      </c>
      <c r="AQ4" s="290"/>
      <c r="AR4" s="289" t="s">
        <v>113</v>
      </c>
      <c r="AS4" s="290"/>
      <c r="AT4" s="289" t="s">
        <v>114</v>
      </c>
      <c r="AU4" s="290"/>
      <c r="AV4" s="301" t="s">
        <v>191</v>
      </c>
      <c r="AW4" s="301" t="s">
        <v>139</v>
      </c>
      <c r="AX4" s="302" t="s">
        <v>191</v>
      </c>
      <c r="AY4" s="302" t="s">
        <v>139</v>
      </c>
      <c r="AZ4" s="472" t="s">
        <v>26</v>
      </c>
      <c r="BA4" s="473"/>
    </row>
    <row r="5" spans="1:53" s="288" customFormat="1" ht="25.5" customHeight="1" thickTop="1" thickBot="1">
      <c r="A5" s="271" t="s">
        <v>105</v>
      </c>
      <c r="B5" s="272" t="s">
        <v>103</v>
      </c>
      <c r="C5" s="272" t="s">
        <v>203</v>
      </c>
      <c r="D5" s="273" t="s">
        <v>189</v>
      </c>
      <c r="E5" s="274" t="s">
        <v>104</v>
      </c>
      <c r="F5" s="275">
        <v>2011</v>
      </c>
      <c r="G5" s="276">
        <v>2012</v>
      </c>
      <c r="H5" s="275">
        <v>2011</v>
      </c>
      <c r="I5" s="276">
        <v>2012</v>
      </c>
      <c r="J5" s="275">
        <v>2011</v>
      </c>
      <c r="K5" s="276">
        <v>2012</v>
      </c>
      <c r="L5" s="275">
        <v>2011</v>
      </c>
      <c r="M5" s="276">
        <v>2012</v>
      </c>
      <c r="N5" s="275">
        <v>2011</v>
      </c>
      <c r="O5" s="276">
        <v>2012</v>
      </c>
      <c r="P5" s="277">
        <v>2011</v>
      </c>
      <c r="Q5" s="278">
        <v>2011</v>
      </c>
      <c r="R5" s="279">
        <v>2012</v>
      </c>
      <c r="S5" s="280">
        <v>2012</v>
      </c>
      <c r="T5" s="275">
        <v>2011</v>
      </c>
      <c r="U5" s="276">
        <v>2012</v>
      </c>
      <c r="V5" s="277">
        <v>2011</v>
      </c>
      <c r="W5" s="281">
        <v>2012</v>
      </c>
      <c r="X5" s="275">
        <v>2011</v>
      </c>
      <c r="Y5" s="276">
        <v>2012</v>
      </c>
      <c r="Z5" s="275">
        <v>2011</v>
      </c>
      <c r="AA5" s="276">
        <v>2012</v>
      </c>
      <c r="AB5" s="275">
        <v>2011</v>
      </c>
      <c r="AC5" s="276">
        <v>2012</v>
      </c>
      <c r="AD5" s="275">
        <v>2011</v>
      </c>
      <c r="AE5" s="276">
        <v>2012</v>
      </c>
      <c r="AF5" s="282">
        <v>2011</v>
      </c>
      <c r="AG5" s="283">
        <v>2011</v>
      </c>
      <c r="AH5" s="284">
        <v>2012</v>
      </c>
      <c r="AI5" s="284">
        <v>2012</v>
      </c>
      <c r="AJ5" s="275">
        <v>2011</v>
      </c>
      <c r="AK5" s="276">
        <v>2012</v>
      </c>
      <c r="AL5" s="283">
        <v>2011</v>
      </c>
      <c r="AM5" s="285">
        <v>2012</v>
      </c>
      <c r="AN5" s="275">
        <v>2011</v>
      </c>
      <c r="AO5" s="276">
        <v>2012</v>
      </c>
      <c r="AP5" s="275">
        <v>2011</v>
      </c>
      <c r="AQ5" s="276">
        <v>2012</v>
      </c>
      <c r="AR5" s="275">
        <v>2011</v>
      </c>
      <c r="AS5" s="276">
        <v>2012</v>
      </c>
      <c r="AT5" s="275">
        <v>2011</v>
      </c>
      <c r="AU5" s="276">
        <v>2012</v>
      </c>
      <c r="AV5" s="282">
        <v>2011</v>
      </c>
      <c r="AW5" s="282">
        <v>2011</v>
      </c>
      <c r="AX5" s="284">
        <v>2012</v>
      </c>
      <c r="AY5" s="286">
        <v>2012</v>
      </c>
      <c r="AZ5" s="287">
        <v>2011</v>
      </c>
      <c r="BA5" s="284">
        <v>2012</v>
      </c>
    </row>
    <row r="6" spans="1:53" s="155" customFormat="1" ht="57" hidden="1" customHeight="1" thickTop="1">
      <c r="A6" s="148" t="s">
        <v>105</v>
      </c>
      <c r="B6" s="148" t="s">
        <v>103</v>
      </c>
      <c r="C6" s="148" t="s">
        <v>193</v>
      </c>
      <c r="D6" s="149" t="s">
        <v>106</v>
      </c>
      <c r="E6" s="150" t="s">
        <v>104</v>
      </c>
      <c r="F6" s="151" t="s">
        <v>46</v>
      </c>
      <c r="G6" s="151" t="s">
        <v>47</v>
      </c>
      <c r="H6" s="151" t="s">
        <v>115</v>
      </c>
      <c r="I6" s="151" t="s">
        <v>116</v>
      </c>
      <c r="J6" s="151" t="s">
        <v>117</v>
      </c>
      <c r="K6" s="151" t="s">
        <v>118</v>
      </c>
      <c r="L6" s="151" t="s">
        <v>119</v>
      </c>
      <c r="M6" s="151" t="s">
        <v>120</v>
      </c>
      <c r="N6" s="151" t="s">
        <v>121</v>
      </c>
      <c r="O6" s="151" t="s">
        <v>122</v>
      </c>
      <c r="P6" s="151" t="s">
        <v>48</v>
      </c>
      <c r="Q6" s="151" t="s">
        <v>55</v>
      </c>
      <c r="R6" s="151" t="s">
        <v>49</v>
      </c>
      <c r="S6" s="151" t="s">
        <v>56</v>
      </c>
      <c r="T6" s="151" t="s">
        <v>146</v>
      </c>
      <c r="U6" s="151" t="s">
        <v>147</v>
      </c>
      <c r="V6" s="151" t="s">
        <v>158</v>
      </c>
      <c r="W6" s="151" t="s">
        <v>159</v>
      </c>
      <c r="X6" s="151" t="s">
        <v>123</v>
      </c>
      <c r="Y6" s="151" t="s">
        <v>124</v>
      </c>
      <c r="Z6" s="151" t="s">
        <v>125</v>
      </c>
      <c r="AA6" s="151" t="s">
        <v>126</v>
      </c>
      <c r="AB6" s="151" t="s">
        <v>127</v>
      </c>
      <c r="AC6" s="151" t="s">
        <v>128</v>
      </c>
      <c r="AD6" s="151" t="s">
        <v>129</v>
      </c>
      <c r="AE6" s="151" t="s">
        <v>130</v>
      </c>
      <c r="AF6" s="152" t="s">
        <v>43</v>
      </c>
      <c r="AG6" s="152" t="s">
        <v>44</v>
      </c>
      <c r="AH6" s="151" t="s">
        <v>50</v>
      </c>
      <c r="AI6" s="151" t="s">
        <v>57</v>
      </c>
      <c r="AJ6" s="151" t="s">
        <v>148</v>
      </c>
      <c r="AK6" s="151" t="s">
        <v>149</v>
      </c>
      <c r="AL6" s="151" t="s">
        <v>160</v>
      </c>
      <c r="AM6" s="151" t="s">
        <v>161</v>
      </c>
      <c r="AN6" s="151" t="s">
        <v>131</v>
      </c>
      <c r="AO6" s="151" t="s">
        <v>132</v>
      </c>
      <c r="AP6" s="151" t="s">
        <v>133</v>
      </c>
      <c r="AQ6" s="247" t="s">
        <v>134</v>
      </c>
      <c r="AR6" s="151" t="s">
        <v>135</v>
      </c>
      <c r="AS6" s="247" t="s">
        <v>136</v>
      </c>
      <c r="AT6" s="151" t="s">
        <v>137</v>
      </c>
      <c r="AU6" s="247" t="s">
        <v>138</v>
      </c>
      <c r="AV6" s="151" t="s">
        <v>51</v>
      </c>
      <c r="AW6" s="151" t="s">
        <v>53</v>
      </c>
      <c r="AX6" s="151" t="s">
        <v>52</v>
      </c>
      <c r="AY6" s="151" t="s">
        <v>54</v>
      </c>
      <c r="AZ6" s="153" t="s">
        <v>60</v>
      </c>
      <c r="BA6" s="154" t="s">
        <v>61</v>
      </c>
    </row>
    <row r="7" spans="1:53" ht="13.5" thickTop="1">
      <c r="A7" s="522" t="s">
        <v>281</v>
      </c>
      <c r="B7" s="523" t="s">
        <v>282</v>
      </c>
      <c r="C7" s="539"/>
      <c r="D7" s="542">
        <v>100858</v>
      </c>
      <c r="E7" s="542">
        <v>1</v>
      </c>
      <c r="F7" s="491" t="s">
        <v>41</v>
      </c>
      <c r="G7" s="492"/>
      <c r="H7" s="493"/>
      <c r="I7" s="752"/>
      <c r="J7" s="493">
        <v>256295</v>
      </c>
      <c r="K7" s="753">
        <v>259985</v>
      </c>
      <c r="L7" s="493">
        <v>55115</v>
      </c>
      <c r="M7" s="753">
        <v>52912</v>
      </c>
      <c r="N7" s="493">
        <v>281868</v>
      </c>
      <c r="O7" s="753">
        <v>281418</v>
      </c>
      <c r="P7" s="478">
        <f t="shared" ref="P7" si="15">SUM(H7,J7,L7,N7)</f>
        <v>593278</v>
      </c>
      <c r="Q7" s="479">
        <f t="shared" ref="Q7" si="16">+P7/30</f>
        <v>19775.933333333334</v>
      </c>
      <c r="R7" s="480">
        <f t="shared" ref="R7" si="17">SUM(I7,K7,M7,O7)</f>
        <v>594315</v>
      </c>
      <c r="S7" s="481">
        <f t="shared" ref="S7" si="18">+R7/30</f>
        <v>19810.5</v>
      </c>
      <c r="T7" s="493">
        <v>27</v>
      </c>
      <c r="U7" s="754">
        <v>25</v>
      </c>
      <c r="V7" s="478">
        <f t="shared" ref="V7" si="19">IF(ISBLANK(T7),0,P7)</f>
        <v>593278</v>
      </c>
      <c r="W7" s="482">
        <f t="shared" ref="W7" si="20">IF(ISBLANK(U7),0,R7)</f>
        <v>594315</v>
      </c>
      <c r="X7" s="495"/>
      <c r="Y7" s="752"/>
      <c r="Z7" s="493"/>
      <c r="AA7" s="752"/>
      <c r="AB7" s="493"/>
      <c r="AC7" s="752"/>
      <c r="AD7" s="493"/>
      <c r="AE7" s="752"/>
      <c r="AF7" s="478">
        <f t="shared" ref="AF7" si="21">SUM(X7,Z7,AB7,AD7)</f>
        <v>0</v>
      </c>
      <c r="AG7" s="479">
        <f t="shared" ref="AG7" si="22">+AF7/900</f>
        <v>0</v>
      </c>
      <c r="AH7" s="480">
        <f t="shared" ref="AH7" si="23">SUM(Y7,AA7,AC7,AE7)</f>
        <v>0</v>
      </c>
      <c r="AI7" s="480">
        <f t="shared" ref="AI7" si="24">+AH7/900</f>
        <v>0</v>
      </c>
      <c r="AJ7" s="493"/>
      <c r="AK7" s="752"/>
      <c r="AL7" s="478">
        <f t="shared" ref="AL7" si="25">IF(ISBLANK(AJ7),0,AF7)</f>
        <v>0</v>
      </c>
      <c r="AM7" s="481">
        <f t="shared" ref="AM7" si="26">IF(ISBLANK(AK7),0,AH7)</f>
        <v>0</v>
      </c>
      <c r="AN7" s="496"/>
      <c r="AO7" s="761"/>
      <c r="AP7" s="493">
        <v>36783</v>
      </c>
      <c r="AQ7" s="763">
        <v>44811</v>
      </c>
      <c r="AR7" s="493">
        <v>19220</v>
      </c>
      <c r="AS7" s="763">
        <v>19717</v>
      </c>
      <c r="AT7" s="493">
        <v>39047</v>
      </c>
      <c r="AU7" s="763">
        <v>47080</v>
      </c>
      <c r="AV7" s="478">
        <f t="shared" ref="AV7" si="27">SUM(AN7,AP7,AR7,AT7)</f>
        <v>95050</v>
      </c>
      <c r="AW7" s="483">
        <f t="shared" ref="AW7" si="28">+AV7/24</f>
        <v>3960.4166666666665</v>
      </c>
      <c r="AX7" s="480">
        <f t="shared" ref="AX7" si="29">SUM(AO7,AQ7,AS7,AU7)</f>
        <v>111608</v>
      </c>
      <c r="AY7" s="484">
        <f t="shared" ref="AY7" si="30">+AX7/24</f>
        <v>4650.333333333333</v>
      </c>
      <c r="AZ7" s="485">
        <f t="shared" ref="AZ7" si="31">SUM(Q7,AG7,AW7)</f>
        <v>23736.350000000002</v>
      </c>
      <c r="BA7" s="480">
        <f t="shared" ref="BA7" si="32">SUM(S7,AI7,AY7)</f>
        <v>24460.833333333332</v>
      </c>
    </row>
    <row r="8" spans="1:53">
      <c r="A8" s="629" t="s">
        <v>281</v>
      </c>
      <c r="B8" s="523" t="s">
        <v>283</v>
      </c>
      <c r="C8" s="539"/>
      <c r="D8" s="542">
        <v>100751</v>
      </c>
      <c r="E8" s="501">
        <v>1</v>
      </c>
      <c r="F8" s="491" t="s">
        <v>41</v>
      </c>
      <c r="G8" s="492"/>
      <c r="H8" s="493"/>
      <c r="I8" s="494"/>
      <c r="J8" s="493">
        <v>316793</v>
      </c>
      <c r="K8" s="494">
        <v>335465</v>
      </c>
      <c r="L8" s="493">
        <v>60132</v>
      </c>
      <c r="M8" s="494">
        <v>65235</v>
      </c>
      <c r="N8" s="493">
        <v>353356</v>
      </c>
      <c r="O8" s="494">
        <v>378743</v>
      </c>
      <c r="P8" s="506">
        <f t="shared" ref="P8:P71" si="33">SUM(H8,J8,L8,N8)</f>
        <v>730281</v>
      </c>
      <c r="Q8" s="507">
        <f t="shared" ref="Q8:Q71" si="34">+P8/30</f>
        <v>24342.7</v>
      </c>
      <c r="R8" s="508">
        <f t="shared" ref="R8:R71" si="35">SUM(I8,K8,M8,O8)</f>
        <v>779443</v>
      </c>
      <c r="S8" s="509">
        <f t="shared" ref="S8:S71" si="36">+R8/30</f>
        <v>25981.433333333334</v>
      </c>
      <c r="T8" s="493">
        <v>1685</v>
      </c>
      <c r="U8" s="494">
        <v>2270</v>
      </c>
      <c r="V8" s="506">
        <f t="shared" ref="V8:V71" si="37">IF(ISBLANK(T8),0,P8)</f>
        <v>730281</v>
      </c>
      <c r="W8" s="510">
        <f t="shared" ref="W8:W71" si="38">IF(ISBLANK(U8),0,R8)</f>
        <v>779443</v>
      </c>
      <c r="X8" s="495"/>
      <c r="Y8" s="494"/>
      <c r="Z8" s="493"/>
      <c r="AA8" s="494"/>
      <c r="AB8" s="493"/>
      <c r="AC8" s="494"/>
      <c r="AD8" s="493"/>
      <c r="AE8" s="494"/>
      <c r="AF8" s="506">
        <f t="shared" ref="AF8:AF71" si="39">SUM(X8,Z8,AB8,AD8)</f>
        <v>0</v>
      </c>
      <c r="AG8" s="507">
        <f t="shared" ref="AG8:AG71" si="40">+AF8/900</f>
        <v>0</v>
      </c>
      <c r="AH8" s="508">
        <f t="shared" ref="AH8:AH71" si="41">SUM(Y8,AA8,AC8,AE8)</f>
        <v>0</v>
      </c>
      <c r="AI8" s="508">
        <f t="shared" ref="AI8:AI71" si="42">+AH8/900</f>
        <v>0</v>
      </c>
      <c r="AJ8" s="493"/>
      <c r="AK8" s="494"/>
      <c r="AL8" s="506">
        <f t="shared" ref="AL8:AL71" si="43">IF(ISBLANK(AJ8),0,AF8)</f>
        <v>0</v>
      </c>
      <c r="AM8" s="509">
        <f t="shared" ref="AM8:AM71" si="44">IF(ISBLANK(AK8),0,AH8)</f>
        <v>0</v>
      </c>
      <c r="AN8" s="496"/>
      <c r="AO8" s="497"/>
      <c r="AP8" s="493">
        <v>42753</v>
      </c>
      <c r="AQ8" s="497">
        <v>44097</v>
      </c>
      <c r="AR8" s="493">
        <v>12218</v>
      </c>
      <c r="AS8" s="497">
        <v>11779</v>
      </c>
      <c r="AT8" s="493">
        <v>44057</v>
      </c>
      <c r="AU8" s="497">
        <v>42685</v>
      </c>
      <c r="AV8" s="506">
        <f t="shared" ref="AV8:AV71" si="45">SUM(AN8,AP8,AR8,AT8)</f>
        <v>99028</v>
      </c>
      <c r="AW8" s="511">
        <f t="shared" ref="AW8:AW71" si="46">+AV8/24</f>
        <v>4126.166666666667</v>
      </c>
      <c r="AX8" s="508">
        <f t="shared" ref="AX8:AX71" si="47">SUM(AO8,AQ8,AS8,AU8)</f>
        <v>98561</v>
      </c>
      <c r="AY8" s="512">
        <f t="shared" ref="AY8:AY71" si="48">+AX8/24</f>
        <v>4106.708333333333</v>
      </c>
      <c r="AZ8" s="513">
        <f t="shared" ref="AZ8:AZ71" si="49">SUM(Q8,AG8,AW8)</f>
        <v>28468.866666666669</v>
      </c>
      <c r="BA8" s="508">
        <f t="shared" ref="BA8:BA71" si="50">SUM(S8,AI8,AY8)</f>
        <v>30088.141666666666</v>
      </c>
    </row>
    <row r="9" spans="1:53">
      <c r="A9" s="629" t="s">
        <v>281</v>
      </c>
      <c r="B9" s="523" t="s">
        <v>284</v>
      </c>
      <c r="C9" s="540" t="s">
        <v>323</v>
      </c>
      <c r="D9" s="542">
        <v>100663</v>
      </c>
      <c r="E9" s="543">
        <v>2</v>
      </c>
      <c r="F9" s="491" t="s">
        <v>41</v>
      </c>
      <c r="G9" s="492"/>
      <c r="H9" s="493"/>
      <c r="I9" s="494"/>
      <c r="J9" s="493">
        <v>113224</v>
      </c>
      <c r="K9" s="494">
        <v>114176</v>
      </c>
      <c r="L9" s="493">
        <v>28982</v>
      </c>
      <c r="M9" s="494">
        <v>27236</v>
      </c>
      <c r="N9" s="493">
        <v>122877</v>
      </c>
      <c r="O9" s="494">
        <v>125808</v>
      </c>
      <c r="P9" s="506">
        <f t="shared" si="33"/>
        <v>265083</v>
      </c>
      <c r="Q9" s="507">
        <f t="shared" si="34"/>
        <v>8836.1</v>
      </c>
      <c r="R9" s="508">
        <f t="shared" si="35"/>
        <v>267220</v>
      </c>
      <c r="S9" s="509">
        <f t="shared" si="36"/>
        <v>8907.3333333333339</v>
      </c>
      <c r="T9" s="493">
        <v>55</v>
      </c>
      <c r="U9" s="494">
        <v>53</v>
      </c>
      <c r="V9" s="506">
        <f t="shared" si="37"/>
        <v>265083</v>
      </c>
      <c r="W9" s="510">
        <f t="shared" si="38"/>
        <v>267220</v>
      </c>
      <c r="X9" s="495"/>
      <c r="Y9" s="494"/>
      <c r="Z9" s="493"/>
      <c r="AA9" s="494"/>
      <c r="AB9" s="493"/>
      <c r="AC9" s="494"/>
      <c r="AD9" s="493"/>
      <c r="AE9" s="494"/>
      <c r="AF9" s="506">
        <f t="shared" si="39"/>
        <v>0</v>
      </c>
      <c r="AG9" s="507">
        <f t="shared" si="40"/>
        <v>0</v>
      </c>
      <c r="AH9" s="508">
        <f t="shared" si="41"/>
        <v>0</v>
      </c>
      <c r="AI9" s="508">
        <f t="shared" si="42"/>
        <v>0</v>
      </c>
      <c r="AJ9" s="493"/>
      <c r="AK9" s="494"/>
      <c r="AL9" s="506">
        <f t="shared" si="43"/>
        <v>0</v>
      </c>
      <c r="AM9" s="509">
        <f t="shared" si="44"/>
        <v>0</v>
      </c>
      <c r="AN9" s="496"/>
      <c r="AO9" s="497"/>
      <c r="AP9" s="493">
        <v>17547</v>
      </c>
      <c r="AQ9" s="497">
        <v>17419</v>
      </c>
      <c r="AR9" s="493">
        <v>11619</v>
      </c>
      <c r="AS9" s="497">
        <v>10686</v>
      </c>
      <c r="AT9" s="493">
        <v>17378</v>
      </c>
      <c r="AU9" s="497">
        <v>17307</v>
      </c>
      <c r="AV9" s="506">
        <f t="shared" si="45"/>
        <v>46544</v>
      </c>
      <c r="AW9" s="511">
        <f t="shared" si="46"/>
        <v>1939.3333333333333</v>
      </c>
      <c r="AX9" s="508">
        <f t="shared" si="47"/>
        <v>45412</v>
      </c>
      <c r="AY9" s="512">
        <f t="shared" si="48"/>
        <v>1892.1666666666667</v>
      </c>
      <c r="AZ9" s="513">
        <f t="shared" si="49"/>
        <v>10775.433333333334</v>
      </c>
      <c r="BA9" s="508">
        <f t="shared" si="50"/>
        <v>10799.5</v>
      </c>
    </row>
    <row r="10" spans="1:53">
      <c r="A10" s="629" t="s">
        <v>281</v>
      </c>
      <c r="B10" s="523" t="s">
        <v>285</v>
      </c>
      <c r="C10" s="539"/>
      <c r="D10" s="542">
        <v>100706</v>
      </c>
      <c r="E10" s="542">
        <v>2</v>
      </c>
      <c r="F10" s="491" t="s">
        <v>41</v>
      </c>
      <c r="G10" s="492"/>
      <c r="H10" s="493"/>
      <c r="I10" s="494"/>
      <c r="J10" s="493">
        <v>66744</v>
      </c>
      <c r="K10" s="494">
        <v>67235</v>
      </c>
      <c r="L10" s="493">
        <v>17137</v>
      </c>
      <c r="M10" s="494">
        <v>16673</v>
      </c>
      <c r="N10" s="493">
        <v>71501</v>
      </c>
      <c r="O10" s="494">
        <v>70916</v>
      </c>
      <c r="P10" s="506">
        <f t="shared" si="33"/>
        <v>155382</v>
      </c>
      <c r="Q10" s="507">
        <f t="shared" si="34"/>
        <v>5179.3999999999996</v>
      </c>
      <c r="R10" s="508">
        <f t="shared" si="35"/>
        <v>154824</v>
      </c>
      <c r="S10" s="509">
        <f t="shared" si="36"/>
        <v>5160.8</v>
      </c>
      <c r="T10" s="493">
        <v>416</v>
      </c>
      <c r="U10" s="494">
        <v>429</v>
      </c>
      <c r="V10" s="506">
        <f t="shared" si="37"/>
        <v>155382</v>
      </c>
      <c r="W10" s="510">
        <f t="shared" si="38"/>
        <v>154824</v>
      </c>
      <c r="X10" s="495"/>
      <c r="Y10" s="494"/>
      <c r="Z10" s="493"/>
      <c r="AA10" s="494"/>
      <c r="AB10" s="493"/>
      <c r="AC10" s="494"/>
      <c r="AD10" s="493"/>
      <c r="AE10" s="494"/>
      <c r="AF10" s="506">
        <f t="shared" si="39"/>
        <v>0</v>
      </c>
      <c r="AG10" s="507">
        <f t="shared" si="40"/>
        <v>0</v>
      </c>
      <c r="AH10" s="508">
        <f t="shared" si="41"/>
        <v>0</v>
      </c>
      <c r="AI10" s="508">
        <f t="shared" si="42"/>
        <v>0</v>
      </c>
      <c r="AJ10" s="493"/>
      <c r="AK10" s="494"/>
      <c r="AL10" s="506">
        <f t="shared" si="43"/>
        <v>0</v>
      </c>
      <c r="AM10" s="509">
        <f t="shared" si="44"/>
        <v>0</v>
      </c>
      <c r="AN10" s="496"/>
      <c r="AO10" s="497"/>
      <c r="AP10" s="493">
        <v>8799</v>
      </c>
      <c r="AQ10" s="497">
        <v>9641</v>
      </c>
      <c r="AR10" s="493">
        <v>4219</v>
      </c>
      <c r="AS10" s="497">
        <v>4718</v>
      </c>
      <c r="AT10" s="493">
        <v>10158</v>
      </c>
      <c r="AU10" s="497">
        <v>10609</v>
      </c>
      <c r="AV10" s="506">
        <f t="shared" si="45"/>
        <v>23176</v>
      </c>
      <c r="AW10" s="511">
        <f t="shared" si="46"/>
        <v>965.66666666666663</v>
      </c>
      <c r="AX10" s="508">
        <f t="shared" si="47"/>
        <v>24968</v>
      </c>
      <c r="AY10" s="512">
        <f t="shared" si="48"/>
        <v>1040.3333333333333</v>
      </c>
      <c r="AZ10" s="513">
        <f t="shared" si="49"/>
        <v>6145.0666666666666</v>
      </c>
      <c r="BA10" s="508">
        <f t="shared" si="50"/>
        <v>6201.1333333333332</v>
      </c>
    </row>
    <row r="11" spans="1:53">
      <c r="A11" s="629" t="s">
        <v>281</v>
      </c>
      <c r="B11" s="523" t="s">
        <v>286</v>
      </c>
      <c r="C11" s="539"/>
      <c r="D11" s="542">
        <v>100654</v>
      </c>
      <c r="E11" s="542">
        <v>3</v>
      </c>
      <c r="F11" s="491" t="s">
        <v>41</v>
      </c>
      <c r="G11" s="492"/>
      <c r="H11" s="493"/>
      <c r="I11" s="494"/>
      <c r="J11" s="493">
        <v>60071</v>
      </c>
      <c r="K11" s="494">
        <v>51589</v>
      </c>
      <c r="L11" s="493">
        <v>21464</v>
      </c>
      <c r="M11" s="494">
        <v>5098</v>
      </c>
      <c r="N11" s="493">
        <v>59381</v>
      </c>
      <c r="O11" s="494">
        <v>56726</v>
      </c>
      <c r="P11" s="506">
        <f t="shared" si="33"/>
        <v>140916</v>
      </c>
      <c r="Q11" s="507">
        <f t="shared" si="34"/>
        <v>4697.2</v>
      </c>
      <c r="R11" s="508">
        <f t="shared" si="35"/>
        <v>113413</v>
      </c>
      <c r="S11" s="509">
        <f t="shared" si="36"/>
        <v>3780.4333333333334</v>
      </c>
      <c r="T11" s="493">
        <v>9</v>
      </c>
      <c r="U11" s="494">
        <v>0</v>
      </c>
      <c r="V11" s="506">
        <f t="shared" si="37"/>
        <v>140916</v>
      </c>
      <c r="W11" s="510">
        <f t="shared" si="38"/>
        <v>113413</v>
      </c>
      <c r="X11" s="495"/>
      <c r="Y11" s="494"/>
      <c r="Z11" s="493"/>
      <c r="AA11" s="494"/>
      <c r="AB11" s="493"/>
      <c r="AC11" s="494"/>
      <c r="AD11" s="493"/>
      <c r="AE11" s="494"/>
      <c r="AF11" s="506">
        <f t="shared" si="39"/>
        <v>0</v>
      </c>
      <c r="AG11" s="507">
        <f t="shared" si="40"/>
        <v>0</v>
      </c>
      <c r="AH11" s="508">
        <f t="shared" si="41"/>
        <v>0</v>
      </c>
      <c r="AI11" s="508">
        <f t="shared" si="42"/>
        <v>0</v>
      </c>
      <c r="AJ11" s="493"/>
      <c r="AK11" s="494"/>
      <c r="AL11" s="506">
        <f t="shared" si="43"/>
        <v>0</v>
      </c>
      <c r="AM11" s="509">
        <f t="shared" si="44"/>
        <v>0</v>
      </c>
      <c r="AN11" s="496"/>
      <c r="AO11" s="497"/>
      <c r="AP11" s="493">
        <v>6287</v>
      </c>
      <c r="AQ11" s="497">
        <v>5570</v>
      </c>
      <c r="AR11" s="493">
        <v>4889</v>
      </c>
      <c r="AS11" s="497">
        <v>2533</v>
      </c>
      <c r="AT11" s="493">
        <v>6123</v>
      </c>
      <c r="AU11" s="497">
        <v>6049</v>
      </c>
      <c r="AV11" s="506">
        <f t="shared" si="45"/>
        <v>17299</v>
      </c>
      <c r="AW11" s="511">
        <f t="shared" si="46"/>
        <v>720.79166666666663</v>
      </c>
      <c r="AX11" s="508">
        <f t="shared" si="47"/>
        <v>14152</v>
      </c>
      <c r="AY11" s="512">
        <f t="shared" si="48"/>
        <v>589.66666666666663</v>
      </c>
      <c r="AZ11" s="513">
        <f t="shared" si="49"/>
        <v>5417.9916666666668</v>
      </c>
      <c r="BA11" s="508">
        <f t="shared" si="50"/>
        <v>4370.1000000000004</v>
      </c>
    </row>
    <row r="12" spans="1:53">
      <c r="A12" s="629" t="s">
        <v>281</v>
      </c>
      <c r="B12" s="523" t="s">
        <v>287</v>
      </c>
      <c r="C12" s="532"/>
      <c r="D12" s="522">
        <v>101480</v>
      </c>
      <c r="E12" s="522">
        <v>3</v>
      </c>
      <c r="F12" s="491" t="s">
        <v>41</v>
      </c>
      <c r="G12" s="492"/>
      <c r="H12" s="493"/>
      <c r="I12" s="494"/>
      <c r="J12" s="493">
        <v>88230</v>
      </c>
      <c r="K12" s="559">
        <v>90905</v>
      </c>
      <c r="L12" s="493">
        <v>27021</v>
      </c>
      <c r="M12" s="494">
        <v>24046</v>
      </c>
      <c r="N12" s="493">
        <v>98584</v>
      </c>
      <c r="O12" s="494">
        <v>96360</v>
      </c>
      <c r="P12" s="506">
        <f t="shared" si="33"/>
        <v>213835</v>
      </c>
      <c r="Q12" s="507">
        <f t="shared" si="34"/>
        <v>7127.833333333333</v>
      </c>
      <c r="R12" s="508">
        <f t="shared" si="35"/>
        <v>211311</v>
      </c>
      <c r="S12" s="509">
        <f t="shared" si="36"/>
        <v>7043.7</v>
      </c>
      <c r="T12" s="493">
        <v>1906</v>
      </c>
      <c r="U12" s="494">
        <v>842</v>
      </c>
      <c r="V12" s="506">
        <f t="shared" si="37"/>
        <v>213835</v>
      </c>
      <c r="W12" s="510">
        <f t="shared" si="38"/>
        <v>211311</v>
      </c>
      <c r="X12" s="495"/>
      <c r="Y12" s="494"/>
      <c r="Z12" s="493"/>
      <c r="AA12" s="494"/>
      <c r="AB12" s="493"/>
      <c r="AC12" s="494"/>
      <c r="AD12" s="493"/>
      <c r="AE12" s="494"/>
      <c r="AF12" s="506">
        <f t="shared" si="39"/>
        <v>0</v>
      </c>
      <c r="AG12" s="507">
        <f t="shared" si="40"/>
        <v>0</v>
      </c>
      <c r="AH12" s="508">
        <f t="shared" si="41"/>
        <v>0</v>
      </c>
      <c r="AI12" s="508">
        <f t="shared" si="42"/>
        <v>0</v>
      </c>
      <c r="AJ12" s="493"/>
      <c r="AK12" s="494"/>
      <c r="AL12" s="506">
        <f t="shared" si="43"/>
        <v>0</v>
      </c>
      <c r="AM12" s="509">
        <f t="shared" si="44"/>
        <v>0</v>
      </c>
      <c r="AN12" s="496"/>
      <c r="AO12" s="497"/>
      <c r="AP12" s="493">
        <v>8484</v>
      </c>
      <c r="AQ12" s="497">
        <v>6595</v>
      </c>
      <c r="AR12" s="493">
        <v>6173</v>
      </c>
      <c r="AS12" s="497">
        <v>4374</v>
      </c>
      <c r="AT12" s="493">
        <v>7178</v>
      </c>
      <c r="AU12" s="497">
        <v>6726</v>
      </c>
      <c r="AV12" s="506">
        <f t="shared" si="45"/>
        <v>21835</v>
      </c>
      <c r="AW12" s="511">
        <f t="shared" si="46"/>
        <v>909.79166666666663</v>
      </c>
      <c r="AX12" s="508">
        <f t="shared" si="47"/>
        <v>17695</v>
      </c>
      <c r="AY12" s="512">
        <f t="shared" si="48"/>
        <v>737.29166666666663</v>
      </c>
      <c r="AZ12" s="513">
        <f t="shared" si="49"/>
        <v>8037.625</v>
      </c>
      <c r="BA12" s="508">
        <f t="shared" si="50"/>
        <v>7780.9916666666668</v>
      </c>
    </row>
    <row r="13" spans="1:53">
      <c r="A13" s="629" t="s">
        <v>281</v>
      </c>
      <c r="B13" s="523" t="s">
        <v>288</v>
      </c>
      <c r="C13" s="539"/>
      <c r="D13" s="542">
        <v>102368</v>
      </c>
      <c r="E13" s="542">
        <v>3</v>
      </c>
      <c r="F13" s="491" t="s">
        <v>41</v>
      </c>
      <c r="G13" s="492"/>
      <c r="H13" s="493"/>
      <c r="I13" s="494"/>
      <c r="J13" s="493">
        <v>146595</v>
      </c>
      <c r="K13" s="494">
        <v>132577</v>
      </c>
      <c r="L13" s="493">
        <v>38268</v>
      </c>
      <c r="M13" s="494">
        <v>29852</v>
      </c>
      <c r="N13" s="493">
        <v>197682</v>
      </c>
      <c r="O13" s="494">
        <v>133008</v>
      </c>
      <c r="P13" s="506">
        <f t="shared" si="33"/>
        <v>382545</v>
      </c>
      <c r="Q13" s="507">
        <f t="shared" si="34"/>
        <v>12751.5</v>
      </c>
      <c r="R13" s="508">
        <f t="shared" si="35"/>
        <v>295437</v>
      </c>
      <c r="S13" s="509">
        <f t="shared" si="36"/>
        <v>9847.9</v>
      </c>
      <c r="T13" s="493">
        <v>286</v>
      </c>
      <c r="U13" s="494">
        <v>509</v>
      </c>
      <c r="V13" s="506">
        <f t="shared" si="37"/>
        <v>382545</v>
      </c>
      <c r="W13" s="510">
        <f t="shared" si="38"/>
        <v>295437</v>
      </c>
      <c r="X13" s="495"/>
      <c r="Y13" s="494"/>
      <c r="Z13" s="493"/>
      <c r="AA13" s="494"/>
      <c r="AB13" s="493"/>
      <c r="AC13" s="494"/>
      <c r="AD13" s="493"/>
      <c r="AE13" s="494"/>
      <c r="AF13" s="506">
        <f t="shared" si="39"/>
        <v>0</v>
      </c>
      <c r="AG13" s="507">
        <f t="shared" si="40"/>
        <v>0</v>
      </c>
      <c r="AH13" s="508">
        <f t="shared" si="41"/>
        <v>0</v>
      </c>
      <c r="AI13" s="508">
        <f t="shared" si="42"/>
        <v>0</v>
      </c>
      <c r="AJ13" s="493"/>
      <c r="AK13" s="494"/>
      <c r="AL13" s="506">
        <f t="shared" si="43"/>
        <v>0</v>
      </c>
      <c r="AM13" s="509">
        <f t="shared" si="44"/>
        <v>0</v>
      </c>
      <c r="AN13" s="496"/>
      <c r="AO13" s="497"/>
      <c r="AP13" s="493">
        <v>18084</v>
      </c>
      <c r="AQ13" s="497">
        <v>16623</v>
      </c>
      <c r="AR13" s="493">
        <v>7411</v>
      </c>
      <c r="AS13" s="497">
        <v>6676</v>
      </c>
      <c r="AT13" s="493">
        <v>28115</v>
      </c>
      <c r="AU13" s="497">
        <v>16194</v>
      </c>
      <c r="AV13" s="506">
        <f t="shared" si="45"/>
        <v>53610</v>
      </c>
      <c r="AW13" s="511">
        <f t="shared" si="46"/>
        <v>2233.75</v>
      </c>
      <c r="AX13" s="508">
        <f t="shared" si="47"/>
        <v>39493</v>
      </c>
      <c r="AY13" s="512">
        <f t="shared" si="48"/>
        <v>1645.5416666666667</v>
      </c>
      <c r="AZ13" s="513">
        <f t="shared" si="49"/>
        <v>14985.25</v>
      </c>
      <c r="BA13" s="508">
        <f t="shared" si="50"/>
        <v>11493.441666666666</v>
      </c>
    </row>
    <row r="14" spans="1:53">
      <c r="A14" s="522" t="s">
        <v>281</v>
      </c>
      <c r="B14" s="523" t="s">
        <v>289</v>
      </c>
      <c r="C14" s="539"/>
      <c r="D14" s="542">
        <v>102094</v>
      </c>
      <c r="E14" s="542">
        <v>3</v>
      </c>
      <c r="F14" s="491" t="s">
        <v>41</v>
      </c>
      <c r="G14" s="492"/>
      <c r="H14" s="493"/>
      <c r="I14" s="494"/>
      <c r="J14" s="493">
        <v>115521</v>
      </c>
      <c r="K14" s="494">
        <v>115368</v>
      </c>
      <c r="L14" s="493">
        <v>28710</v>
      </c>
      <c r="M14" s="494">
        <v>24909</v>
      </c>
      <c r="N14" s="493">
        <v>128593</v>
      </c>
      <c r="O14" s="494">
        <v>128798</v>
      </c>
      <c r="P14" s="506">
        <f t="shared" si="33"/>
        <v>272824</v>
      </c>
      <c r="Q14" s="507">
        <f t="shared" si="34"/>
        <v>9094.1333333333332</v>
      </c>
      <c r="R14" s="508">
        <f t="shared" si="35"/>
        <v>269075</v>
      </c>
      <c r="S14" s="509">
        <f t="shared" si="36"/>
        <v>8969.1666666666661</v>
      </c>
      <c r="T14" s="493">
        <v>384</v>
      </c>
      <c r="U14" s="494">
        <v>266</v>
      </c>
      <c r="V14" s="506">
        <f t="shared" si="37"/>
        <v>272824</v>
      </c>
      <c r="W14" s="510">
        <f t="shared" si="38"/>
        <v>269075</v>
      </c>
      <c r="X14" s="495"/>
      <c r="Y14" s="494"/>
      <c r="Z14" s="493"/>
      <c r="AA14" s="494"/>
      <c r="AB14" s="493"/>
      <c r="AC14" s="494"/>
      <c r="AD14" s="493"/>
      <c r="AE14" s="494"/>
      <c r="AF14" s="506">
        <f t="shared" si="39"/>
        <v>0</v>
      </c>
      <c r="AG14" s="507">
        <f t="shared" si="40"/>
        <v>0</v>
      </c>
      <c r="AH14" s="508">
        <f t="shared" si="41"/>
        <v>0</v>
      </c>
      <c r="AI14" s="508">
        <f t="shared" si="42"/>
        <v>0</v>
      </c>
      <c r="AJ14" s="493"/>
      <c r="AK14" s="494"/>
      <c r="AL14" s="506">
        <f t="shared" si="43"/>
        <v>0</v>
      </c>
      <c r="AM14" s="509">
        <f t="shared" si="44"/>
        <v>0</v>
      </c>
      <c r="AN14" s="496"/>
      <c r="AO14" s="497"/>
      <c r="AP14" s="493">
        <v>6658</v>
      </c>
      <c r="AQ14" s="497">
        <v>6102</v>
      </c>
      <c r="AR14" s="493">
        <v>3757</v>
      </c>
      <c r="AS14" s="497">
        <v>3231</v>
      </c>
      <c r="AT14" s="493">
        <v>6428</v>
      </c>
      <c r="AU14" s="497">
        <v>5916</v>
      </c>
      <c r="AV14" s="506">
        <f t="shared" si="45"/>
        <v>16843</v>
      </c>
      <c r="AW14" s="511">
        <f t="shared" si="46"/>
        <v>701.79166666666663</v>
      </c>
      <c r="AX14" s="508">
        <f t="shared" si="47"/>
        <v>15249</v>
      </c>
      <c r="AY14" s="512">
        <f t="shared" si="48"/>
        <v>635.375</v>
      </c>
      <c r="AZ14" s="513">
        <f t="shared" si="49"/>
        <v>9795.9249999999993</v>
      </c>
      <c r="BA14" s="508">
        <f t="shared" si="50"/>
        <v>9604.5416666666661</v>
      </c>
    </row>
    <row r="15" spans="1:53">
      <c r="A15" s="522" t="s">
        <v>281</v>
      </c>
      <c r="B15" s="523" t="s">
        <v>290</v>
      </c>
      <c r="C15" s="539"/>
      <c r="D15" s="542">
        <v>100724</v>
      </c>
      <c r="E15" s="542">
        <v>4</v>
      </c>
      <c r="F15" s="491" t="s">
        <v>41</v>
      </c>
      <c r="G15" s="492"/>
      <c r="H15" s="493"/>
      <c r="I15" s="494"/>
      <c r="J15" s="493">
        <v>70196</v>
      </c>
      <c r="K15" s="494">
        <v>64284</v>
      </c>
      <c r="L15" s="493">
        <v>16252</v>
      </c>
      <c r="M15" s="494">
        <v>15082</v>
      </c>
      <c r="N15" s="493">
        <v>69893</v>
      </c>
      <c r="O15" s="494">
        <v>74906</v>
      </c>
      <c r="P15" s="506">
        <f t="shared" si="33"/>
        <v>156341</v>
      </c>
      <c r="Q15" s="507">
        <f t="shared" si="34"/>
        <v>5211.3666666666668</v>
      </c>
      <c r="R15" s="508">
        <f t="shared" si="35"/>
        <v>154272</v>
      </c>
      <c r="S15" s="509">
        <f t="shared" si="36"/>
        <v>5142.3999999999996</v>
      </c>
      <c r="T15" s="493">
        <v>0</v>
      </c>
      <c r="U15" s="494">
        <v>0</v>
      </c>
      <c r="V15" s="506">
        <f t="shared" si="37"/>
        <v>156341</v>
      </c>
      <c r="W15" s="510">
        <f t="shared" si="38"/>
        <v>154272</v>
      </c>
      <c r="X15" s="495"/>
      <c r="Y15" s="494"/>
      <c r="Z15" s="493"/>
      <c r="AA15" s="494"/>
      <c r="AB15" s="493"/>
      <c r="AC15" s="494"/>
      <c r="AD15" s="493"/>
      <c r="AE15" s="494"/>
      <c r="AF15" s="506">
        <f t="shared" si="39"/>
        <v>0</v>
      </c>
      <c r="AG15" s="507">
        <f t="shared" si="40"/>
        <v>0</v>
      </c>
      <c r="AH15" s="508">
        <f t="shared" si="41"/>
        <v>0</v>
      </c>
      <c r="AI15" s="508">
        <f t="shared" si="42"/>
        <v>0</v>
      </c>
      <c r="AJ15" s="493"/>
      <c r="AK15" s="494"/>
      <c r="AL15" s="506">
        <f t="shared" si="43"/>
        <v>0</v>
      </c>
      <c r="AM15" s="509">
        <f t="shared" si="44"/>
        <v>0</v>
      </c>
      <c r="AN15" s="496"/>
      <c r="AO15" s="497"/>
      <c r="AP15" s="493">
        <v>5886</v>
      </c>
      <c r="AQ15" s="497">
        <v>5871</v>
      </c>
      <c r="AR15" s="493">
        <v>3448</v>
      </c>
      <c r="AS15" s="497">
        <v>3658</v>
      </c>
      <c r="AT15" s="493">
        <v>6108</v>
      </c>
      <c r="AU15" s="497">
        <v>4534</v>
      </c>
      <c r="AV15" s="506">
        <f t="shared" si="45"/>
        <v>15442</v>
      </c>
      <c r="AW15" s="511">
        <f t="shared" si="46"/>
        <v>643.41666666666663</v>
      </c>
      <c r="AX15" s="508">
        <f t="shared" si="47"/>
        <v>14063</v>
      </c>
      <c r="AY15" s="512">
        <f t="shared" si="48"/>
        <v>585.95833333333337</v>
      </c>
      <c r="AZ15" s="513">
        <f t="shared" si="49"/>
        <v>5854.7833333333338</v>
      </c>
      <c r="BA15" s="508">
        <f t="shared" si="50"/>
        <v>5728.3583333333327</v>
      </c>
    </row>
    <row r="16" spans="1:53">
      <c r="A16" s="522" t="s">
        <v>281</v>
      </c>
      <c r="B16" s="523" t="s">
        <v>291</v>
      </c>
      <c r="C16" s="539"/>
      <c r="D16" s="542">
        <v>100830</v>
      </c>
      <c r="E16" s="542">
        <v>4</v>
      </c>
      <c r="F16" s="491" t="s">
        <v>41</v>
      </c>
      <c r="G16" s="492"/>
      <c r="H16" s="493"/>
      <c r="I16" s="494"/>
      <c r="J16" s="493">
        <v>50147</v>
      </c>
      <c r="K16" s="494">
        <v>44134</v>
      </c>
      <c r="L16" s="493">
        <v>15040</v>
      </c>
      <c r="M16" s="494">
        <v>13607</v>
      </c>
      <c r="N16" s="493">
        <v>49118</v>
      </c>
      <c r="O16" s="494">
        <v>51295</v>
      </c>
      <c r="P16" s="506">
        <f t="shared" si="33"/>
        <v>114305</v>
      </c>
      <c r="Q16" s="507">
        <f t="shared" si="34"/>
        <v>3810.1666666666665</v>
      </c>
      <c r="R16" s="508">
        <f t="shared" si="35"/>
        <v>109036</v>
      </c>
      <c r="S16" s="509">
        <f t="shared" si="36"/>
        <v>3634.5333333333333</v>
      </c>
      <c r="T16" s="493">
        <v>77</v>
      </c>
      <c r="U16" s="524">
        <v>159</v>
      </c>
      <c r="V16" s="506">
        <f t="shared" si="37"/>
        <v>114305</v>
      </c>
      <c r="W16" s="510">
        <f t="shared" si="38"/>
        <v>109036</v>
      </c>
      <c r="X16" s="495"/>
      <c r="Y16" s="494"/>
      <c r="Z16" s="493"/>
      <c r="AA16" s="494"/>
      <c r="AB16" s="493"/>
      <c r="AC16" s="494"/>
      <c r="AD16" s="493"/>
      <c r="AE16" s="494"/>
      <c r="AF16" s="506">
        <f t="shared" si="39"/>
        <v>0</v>
      </c>
      <c r="AG16" s="507">
        <f t="shared" si="40"/>
        <v>0</v>
      </c>
      <c r="AH16" s="508">
        <f t="shared" si="41"/>
        <v>0</v>
      </c>
      <c r="AI16" s="508">
        <f t="shared" si="42"/>
        <v>0</v>
      </c>
      <c r="AJ16" s="493"/>
      <c r="AK16" s="494"/>
      <c r="AL16" s="506">
        <f t="shared" si="43"/>
        <v>0</v>
      </c>
      <c r="AM16" s="509">
        <f t="shared" si="44"/>
        <v>0</v>
      </c>
      <c r="AN16" s="496"/>
      <c r="AO16" s="497"/>
      <c r="AP16" s="493">
        <v>6140</v>
      </c>
      <c r="AQ16" s="497">
        <v>5482</v>
      </c>
      <c r="AR16" s="493">
        <v>2740</v>
      </c>
      <c r="AS16" s="497">
        <v>2655</v>
      </c>
      <c r="AT16" s="493">
        <v>5581</v>
      </c>
      <c r="AU16" s="497">
        <v>4907</v>
      </c>
      <c r="AV16" s="506">
        <f t="shared" si="45"/>
        <v>14461</v>
      </c>
      <c r="AW16" s="511">
        <f t="shared" si="46"/>
        <v>602.54166666666663</v>
      </c>
      <c r="AX16" s="508">
        <f t="shared" si="47"/>
        <v>13044</v>
      </c>
      <c r="AY16" s="512">
        <f t="shared" si="48"/>
        <v>543.5</v>
      </c>
      <c r="AZ16" s="513">
        <f t="shared" si="49"/>
        <v>4412.708333333333</v>
      </c>
      <c r="BA16" s="508">
        <f t="shared" si="50"/>
        <v>4178.0333333333328</v>
      </c>
    </row>
    <row r="17" spans="1:53">
      <c r="A17" s="629" t="s">
        <v>281</v>
      </c>
      <c r="B17" s="523" t="s">
        <v>292</v>
      </c>
      <c r="C17" s="539"/>
      <c r="D17" s="542">
        <v>101879</v>
      </c>
      <c r="E17" s="542">
        <v>4</v>
      </c>
      <c r="F17" s="491" t="s">
        <v>41</v>
      </c>
      <c r="G17" s="492"/>
      <c r="H17" s="493"/>
      <c r="I17" s="494"/>
      <c r="J17" s="493">
        <v>70318</v>
      </c>
      <c r="K17" s="494">
        <v>69517</v>
      </c>
      <c r="L17" s="493">
        <v>15907</v>
      </c>
      <c r="M17" s="494">
        <v>13695</v>
      </c>
      <c r="N17" s="493">
        <v>75370</v>
      </c>
      <c r="O17" s="494">
        <v>75503</v>
      </c>
      <c r="P17" s="506">
        <f t="shared" si="33"/>
        <v>161595</v>
      </c>
      <c r="Q17" s="507">
        <f t="shared" si="34"/>
        <v>5386.5</v>
      </c>
      <c r="R17" s="508">
        <f t="shared" si="35"/>
        <v>158715</v>
      </c>
      <c r="S17" s="509">
        <f t="shared" si="36"/>
        <v>5290.5</v>
      </c>
      <c r="T17" s="493">
        <v>2573</v>
      </c>
      <c r="U17" s="494">
        <v>2843</v>
      </c>
      <c r="V17" s="506">
        <f t="shared" si="37"/>
        <v>161595</v>
      </c>
      <c r="W17" s="510">
        <f t="shared" si="38"/>
        <v>158715</v>
      </c>
      <c r="X17" s="495"/>
      <c r="Y17" s="494"/>
      <c r="Z17" s="493"/>
      <c r="AA17" s="494"/>
      <c r="AB17" s="493"/>
      <c r="AC17" s="494"/>
      <c r="AD17" s="493"/>
      <c r="AE17" s="494"/>
      <c r="AF17" s="506">
        <f t="shared" si="39"/>
        <v>0</v>
      </c>
      <c r="AG17" s="507">
        <f t="shared" si="40"/>
        <v>0</v>
      </c>
      <c r="AH17" s="508">
        <f t="shared" si="41"/>
        <v>0</v>
      </c>
      <c r="AI17" s="508">
        <f t="shared" si="42"/>
        <v>0</v>
      </c>
      <c r="AJ17" s="493"/>
      <c r="AK17" s="494"/>
      <c r="AL17" s="506">
        <f t="shared" si="43"/>
        <v>0</v>
      </c>
      <c r="AM17" s="509">
        <f t="shared" si="44"/>
        <v>0</v>
      </c>
      <c r="AN17" s="496"/>
      <c r="AO17" s="497"/>
      <c r="AP17" s="493">
        <v>6629</v>
      </c>
      <c r="AQ17" s="497">
        <v>6294</v>
      </c>
      <c r="AR17" s="493">
        <v>2994</v>
      </c>
      <c r="AS17" s="497">
        <v>3167</v>
      </c>
      <c r="AT17" s="493">
        <v>5698</v>
      </c>
      <c r="AU17" s="497">
        <v>5777</v>
      </c>
      <c r="AV17" s="506">
        <f t="shared" si="45"/>
        <v>15321</v>
      </c>
      <c r="AW17" s="511">
        <f t="shared" si="46"/>
        <v>638.375</v>
      </c>
      <c r="AX17" s="508">
        <f t="shared" si="47"/>
        <v>15238</v>
      </c>
      <c r="AY17" s="512">
        <f t="shared" si="48"/>
        <v>634.91666666666663</v>
      </c>
      <c r="AZ17" s="513">
        <f t="shared" si="49"/>
        <v>6024.875</v>
      </c>
      <c r="BA17" s="508">
        <f t="shared" si="50"/>
        <v>5925.416666666667</v>
      </c>
    </row>
    <row r="18" spans="1:53">
      <c r="A18" s="629" t="s">
        <v>281</v>
      </c>
      <c r="B18" s="523" t="s">
        <v>293</v>
      </c>
      <c r="C18" s="539"/>
      <c r="D18" s="542">
        <v>101709</v>
      </c>
      <c r="E18" s="542">
        <v>5</v>
      </c>
      <c r="F18" s="491" t="s">
        <v>41</v>
      </c>
      <c r="G18" s="492"/>
      <c r="H18" s="493"/>
      <c r="I18" s="494"/>
      <c r="J18" s="493">
        <v>31500</v>
      </c>
      <c r="K18" s="494">
        <v>31661</v>
      </c>
      <c r="L18" s="493">
        <v>6846</v>
      </c>
      <c r="M18" s="494">
        <v>5829</v>
      </c>
      <c r="N18" s="493">
        <v>34130</v>
      </c>
      <c r="O18" s="494">
        <v>35251</v>
      </c>
      <c r="P18" s="506">
        <f t="shared" si="33"/>
        <v>72476</v>
      </c>
      <c r="Q18" s="507">
        <f t="shared" si="34"/>
        <v>2415.8666666666668</v>
      </c>
      <c r="R18" s="508">
        <f t="shared" si="35"/>
        <v>72741</v>
      </c>
      <c r="S18" s="509">
        <f t="shared" si="36"/>
        <v>2424.6999999999998</v>
      </c>
      <c r="T18" s="493">
        <v>71</v>
      </c>
      <c r="U18" s="494">
        <v>52</v>
      </c>
      <c r="V18" s="506">
        <f t="shared" si="37"/>
        <v>72476</v>
      </c>
      <c r="W18" s="510">
        <f t="shared" si="38"/>
        <v>72741</v>
      </c>
      <c r="X18" s="495"/>
      <c r="Y18" s="494"/>
      <c r="Z18" s="493"/>
      <c r="AA18" s="494"/>
      <c r="AB18" s="493"/>
      <c r="AC18" s="494"/>
      <c r="AD18" s="493"/>
      <c r="AE18" s="494"/>
      <c r="AF18" s="506">
        <f t="shared" si="39"/>
        <v>0</v>
      </c>
      <c r="AG18" s="507">
        <f t="shared" si="40"/>
        <v>0</v>
      </c>
      <c r="AH18" s="508">
        <f t="shared" si="41"/>
        <v>0</v>
      </c>
      <c r="AI18" s="508">
        <f t="shared" si="42"/>
        <v>0</v>
      </c>
      <c r="AJ18" s="493"/>
      <c r="AK18" s="494"/>
      <c r="AL18" s="506">
        <f t="shared" si="43"/>
        <v>0</v>
      </c>
      <c r="AM18" s="509">
        <f t="shared" si="44"/>
        <v>0</v>
      </c>
      <c r="AN18" s="496"/>
      <c r="AO18" s="497"/>
      <c r="AP18" s="493">
        <v>3514</v>
      </c>
      <c r="AQ18" s="497">
        <v>3422</v>
      </c>
      <c r="AR18" s="493">
        <v>2488</v>
      </c>
      <c r="AS18" s="497">
        <v>2367</v>
      </c>
      <c r="AT18" s="493">
        <v>5698</v>
      </c>
      <c r="AU18" s="497">
        <v>3425</v>
      </c>
      <c r="AV18" s="506">
        <f t="shared" si="45"/>
        <v>11700</v>
      </c>
      <c r="AW18" s="511">
        <f t="shared" si="46"/>
        <v>487.5</v>
      </c>
      <c r="AX18" s="508">
        <f t="shared" si="47"/>
        <v>9214</v>
      </c>
      <c r="AY18" s="512">
        <f t="shared" si="48"/>
        <v>383.91666666666669</v>
      </c>
      <c r="AZ18" s="513">
        <f t="shared" si="49"/>
        <v>2903.3666666666668</v>
      </c>
      <c r="BA18" s="508">
        <f t="shared" si="50"/>
        <v>2808.6166666666663</v>
      </c>
    </row>
    <row r="19" spans="1:53">
      <c r="A19" s="629" t="s">
        <v>281</v>
      </c>
      <c r="B19" s="523" t="s">
        <v>294</v>
      </c>
      <c r="C19" s="539"/>
      <c r="D19" s="542">
        <v>101587</v>
      </c>
      <c r="E19" s="542">
        <v>5</v>
      </c>
      <c r="F19" s="491" t="s">
        <v>41</v>
      </c>
      <c r="G19" s="492"/>
      <c r="H19" s="493"/>
      <c r="I19" s="494"/>
      <c r="J19" s="493">
        <v>21131</v>
      </c>
      <c r="K19" s="494">
        <v>23498</v>
      </c>
      <c r="L19" s="493">
        <v>6056</v>
      </c>
      <c r="M19" s="494">
        <v>4215</v>
      </c>
      <c r="N19" s="493">
        <v>25093</v>
      </c>
      <c r="O19" s="494">
        <v>25288</v>
      </c>
      <c r="P19" s="506">
        <f t="shared" si="33"/>
        <v>52280</v>
      </c>
      <c r="Q19" s="507">
        <f t="shared" si="34"/>
        <v>1742.6666666666667</v>
      </c>
      <c r="R19" s="508">
        <f t="shared" si="35"/>
        <v>53001</v>
      </c>
      <c r="S19" s="509">
        <f t="shared" si="36"/>
        <v>1766.7</v>
      </c>
      <c r="T19" s="493">
        <v>87</v>
      </c>
      <c r="U19" s="494">
        <v>139</v>
      </c>
      <c r="V19" s="506">
        <f t="shared" si="37"/>
        <v>52280</v>
      </c>
      <c r="W19" s="510">
        <f t="shared" si="38"/>
        <v>53001</v>
      </c>
      <c r="X19" s="495"/>
      <c r="Y19" s="494"/>
      <c r="Z19" s="493"/>
      <c r="AA19" s="494"/>
      <c r="AB19" s="493"/>
      <c r="AC19" s="494"/>
      <c r="AD19" s="493"/>
      <c r="AE19" s="494"/>
      <c r="AF19" s="506">
        <f t="shared" si="39"/>
        <v>0</v>
      </c>
      <c r="AG19" s="507">
        <f t="shared" si="40"/>
        <v>0</v>
      </c>
      <c r="AH19" s="508">
        <f t="shared" si="41"/>
        <v>0</v>
      </c>
      <c r="AI19" s="508">
        <f t="shared" si="42"/>
        <v>0</v>
      </c>
      <c r="AJ19" s="493"/>
      <c r="AK19" s="494"/>
      <c r="AL19" s="506">
        <f t="shared" si="43"/>
        <v>0</v>
      </c>
      <c r="AM19" s="509">
        <f t="shared" si="44"/>
        <v>0</v>
      </c>
      <c r="AN19" s="496"/>
      <c r="AO19" s="497"/>
      <c r="AP19" s="493">
        <v>18582</v>
      </c>
      <c r="AQ19" s="497">
        <v>18625</v>
      </c>
      <c r="AR19" s="493">
        <v>10252</v>
      </c>
      <c r="AS19" s="497">
        <v>10100</v>
      </c>
      <c r="AT19" s="493">
        <v>17751</v>
      </c>
      <c r="AU19" s="497">
        <v>15711</v>
      </c>
      <c r="AV19" s="506">
        <f t="shared" si="45"/>
        <v>46585</v>
      </c>
      <c r="AW19" s="511">
        <f t="shared" si="46"/>
        <v>1941.0416666666667</v>
      </c>
      <c r="AX19" s="508">
        <f t="shared" si="47"/>
        <v>44436</v>
      </c>
      <c r="AY19" s="512">
        <f t="shared" si="48"/>
        <v>1851.5</v>
      </c>
      <c r="AZ19" s="513">
        <f t="shared" si="49"/>
        <v>3683.7083333333335</v>
      </c>
      <c r="BA19" s="508">
        <f t="shared" si="50"/>
        <v>3618.2</v>
      </c>
    </row>
    <row r="20" spans="1:53">
      <c r="A20" s="629" t="s">
        <v>281</v>
      </c>
      <c r="B20" s="523" t="s">
        <v>295</v>
      </c>
      <c r="C20" s="541"/>
      <c r="D20" s="538">
        <v>100812</v>
      </c>
      <c r="E20" s="542">
        <v>6</v>
      </c>
      <c r="F20" s="491" t="s">
        <v>41</v>
      </c>
      <c r="G20" s="492"/>
      <c r="H20" s="493"/>
      <c r="I20" s="494"/>
      <c r="J20" s="493">
        <v>32522</v>
      </c>
      <c r="K20" s="494">
        <v>31712</v>
      </c>
      <c r="L20" s="493">
        <v>20842</v>
      </c>
      <c r="M20" s="494">
        <v>19256</v>
      </c>
      <c r="N20" s="493">
        <v>32338</v>
      </c>
      <c r="O20" s="494">
        <v>32618</v>
      </c>
      <c r="P20" s="506">
        <f t="shared" si="33"/>
        <v>85702</v>
      </c>
      <c r="Q20" s="507">
        <f t="shared" si="34"/>
        <v>2856.7333333333331</v>
      </c>
      <c r="R20" s="508">
        <f t="shared" si="35"/>
        <v>83586</v>
      </c>
      <c r="S20" s="509">
        <f t="shared" si="36"/>
        <v>2786.2</v>
      </c>
      <c r="T20" s="493">
        <v>0</v>
      </c>
      <c r="U20" s="494">
        <v>0</v>
      </c>
      <c r="V20" s="506">
        <f t="shared" si="37"/>
        <v>85702</v>
      </c>
      <c r="W20" s="510">
        <f t="shared" si="38"/>
        <v>83586</v>
      </c>
      <c r="X20" s="495"/>
      <c r="Y20" s="494"/>
      <c r="Z20" s="493"/>
      <c r="AA20" s="494"/>
      <c r="AB20" s="493"/>
      <c r="AC20" s="494"/>
      <c r="AD20" s="493"/>
      <c r="AE20" s="494"/>
      <c r="AF20" s="506">
        <f t="shared" si="39"/>
        <v>0</v>
      </c>
      <c r="AG20" s="507">
        <f t="shared" si="40"/>
        <v>0</v>
      </c>
      <c r="AH20" s="508">
        <f t="shared" si="41"/>
        <v>0</v>
      </c>
      <c r="AI20" s="508">
        <f t="shared" si="42"/>
        <v>0</v>
      </c>
      <c r="AJ20" s="493"/>
      <c r="AK20" s="494"/>
      <c r="AL20" s="506">
        <f t="shared" si="43"/>
        <v>0</v>
      </c>
      <c r="AM20" s="509">
        <f t="shared" si="44"/>
        <v>0</v>
      </c>
      <c r="AN20" s="496"/>
      <c r="AO20" s="497"/>
      <c r="AP20" s="493"/>
      <c r="AQ20" s="497"/>
      <c r="AR20" s="493"/>
      <c r="AS20" s="497"/>
      <c r="AT20" s="493"/>
      <c r="AU20" s="497"/>
      <c r="AV20" s="506">
        <f t="shared" si="45"/>
        <v>0</v>
      </c>
      <c r="AW20" s="511">
        <f t="shared" si="46"/>
        <v>0</v>
      </c>
      <c r="AX20" s="508">
        <f t="shared" si="47"/>
        <v>0</v>
      </c>
      <c r="AY20" s="512">
        <f t="shared" si="48"/>
        <v>0</v>
      </c>
      <c r="AZ20" s="513">
        <f t="shared" si="49"/>
        <v>2856.7333333333331</v>
      </c>
      <c r="BA20" s="508">
        <f t="shared" si="50"/>
        <v>2786.2</v>
      </c>
    </row>
    <row r="21" spans="1:53">
      <c r="A21" s="629" t="s">
        <v>281</v>
      </c>
      <c r="B21" s="523" t="s">
        <v>296</v>
      </c>
      <c r="C21" s="535"/>
      <c r="D21" s="536">
        <v>101240</v>
      </c>
      <c r="E21" s="537">
        <v>8</v>
      </c>
      <c r="F21" s="491" t="s">
        <v>41</v>
      </c>
      <c r="G21" s="492"/>
      <c r="H21" s="493"/>
      <c r="I21" s="494"/>
      <c r="J21" s="493">
        <v>70362</v>
      </c>
      <c r="K21" s="494">
        <v>65629</v>
      </c>
      <c r="L21" s="493">
        <v>34759</v>
      </c>
      <c r="M21" s="494">
        <v>25636</v>
      </c>
      <c r="N21" s="493">
        <v>70491</v>
      </c>
      <c r="O21" s="494">
        <v>60162</v>
      </c>
      <c r="P21" s="506">
        <f t="shared" si="33"/>
        <v>175612</v>
      </c>
      <c r="Q21" s="507">
        <f t="shared" si="34"/>
        <v>5853.7333333333336</v>
      </c>
      <c r="R21" s="508">
        <f t="shared" si="35"/>
        <v>151427</v>
      </c>
      <c r="S21" s="509">
        <f t="shared" si="36"/>
        <v>5047.5666666666666</v>
      </c>
      <c r="T21" s="493">
        <v>2689</v>
      </c>
      <c r="U21" s="494">
        <v>2848</v>
      </c>
      <c r="V21" s="506">
        <f t="shared" si="37"/>
        <v>175612</v>
      </c>
      <c r="W21" s="510">
        <f t="shared" si="38"/>
        <v>151427</v>
      </c>
      <c r="X21" s="495"/>
      <c r="Y21" s="494"/>
      <c r="Z21" s="493"/>
      <c r="AA21" s="494"/>
      <c r="AB21" s="493"/>
      <c r="AC21" s="494"/>
      <c r="AD21" s="493"/>
      <c r="AE21" s="494"/>
      <c r="AF21" s="506">
        <f t="shared" si="39"/>
        <v>0</v>
      </c>
      <c r="AG21" s="507">
        <f t="shared" si="40"/>
        <v>0</v>
      </c>
      <c r="AH21" s="508">
        <f t="shared" si="41"/>
        <v>0</v>
      </c>
      <c r="AI21" s="508">
        <f t="shared" si="42"/>
        <v>0</v>
      </c>
      <c r="AJ21" s="493"/>
      <c r="AK21" s="494"/>
      <c r="AL21" s="506">
        <f t="shared" si="43"/>
        <v>0</v>
      </c>
      <c r="AM21" s="509">
        <f t="shared" si="44"/>
        <v>0</v>
      </c>
      <c r="AN21" s="496"/>
      <c r="AO21" s="497"/>
      <c r="AP21" s="493"/>
      <c r="AQ21" s="497"/>
      <c r="AR21" s="493"/>
      <c r="AS21" s="497"/>
      <c r="AT21" s="493"/>
      <c r="AU21" s="497"/>
      <c r="AV21" s="506">
        <f t="shared" si="45"/>
        <v>0</v>
      </c>
      <c r="AW21" s="511">
        <f t="shared" si="46"/>
        <v>0</v>
      </c>
      <c r="AX21" s="508">
        <f t="shared" si="47"/>
        <v>0</v>
      </c>
      <c r="AY21" s="512">
        <f t="shared" si="48"/>
        <v>0</v>
      </c>
      <c r="AZ21" s="513">
        <f t="shared" si="49"/>
        <v>5853.7333333333336</v>
      </c>
      <c r="BA21" s="508">
        <f t="shared" si="50"/>
        <v>5047.5666666666666</v>
      </c>
    </row>
    <row r="22" spans="1:53">
      <c r="A22" s="522" t="s">
        <v>281</v>
      </c>
      <c r="B22" s="523" t="s">
        <v>297</v>
      </c>
      <c r="C22" s="533"/>
      <c r="D22" s="536">
        <v>101505</v>
      </c>
      <c r="E22" s="536">
        <v>8</v>
      </c>
      <c r="F22" s="491" t="s">
        <v>41</v>
      </c>
      <c r="G22" s="492"/>
      <c r="H22" s="493"/>
      <c r="I22" s="494"/>
      <c r="J22" s="493">
        <v>78960</v>
      </c>
      <c r="K22" s="494">
        <v>74288</v>
      </c>
      <c r="L22" s="493">
        <v>41971</v>
      </c>
      <c r="M22" s="494">
        <v>39473</v>
      </c>
      <c r="N22" s="493">
        <v>81990</v>
      </c>
      <c r="O22" s="494">
        <v>75268</v>
      </c>
      <c r="P22" s="506">
        <f t="shared" si="33"/>
        <v>202921</v>
      </c>
      <c r="Q22" s="507">
        <f t="shared" si="34"/>
        <v>6764.0333333333338</v>
      </c>
      <c r="R22" s="508">
        <f t="shared" si="35"/>
        <v>189029</v>
      </c>
      <c r="S22" s="509">
        <f t="shared" si="36"/>
        <v>6300.9666666666662</v>
      </c>
      <c r="T22" s="493">
        <v>5753</v>
      </c>
      <c r="U22" s="494">
        <v>4722</v>
      </c>
      <c r="V22" s="506">
        <f t="shared" si="37"/>
        <v>202921</v>
      </c>
      <c r="W22" s="510">
        <f t="shared" si="38"/>
        <v>189029</v>
      </c>
      <c r="X22" s="495"/>
      <c r="Y22" s="494"/>
      <c r="Z22" s="493"/>
      <c r="AA22" s="494"/>
      <c r="AB22" s="493"/>
      <c r="AC22" s="494"/>
      <c r="AD22" s="493"/>
      <c r="AE22" s="494"/>
      <c r="AF22" s="506">
        <f t="shared" si="39"/>
        <v>0</v>
      </c>
      <c r="AG22" s="507">
        <f t="shared" si="40"/>
        <v>0</v>
      </c>
      <c r="AH22" s="508">
        <f t="shared" si="41"/>
        <v>0</v>
      </c>
      <c r="AI22" s="508">
        <f t="shared" si="42"/>
        <v>0</v>
      </c>
      <c r="AJ22" s="493"/>
      <c r="AK22" s="494"/>
      <c r="AL22" s="506">
        <f t="shared" si="43"/>
        <v>0</v>
      </c>
      <c r="AM22" s="509">
        <f t="shared" si="44"/>
        <v>0</v>
      </c>
      <c r="AN22" s="496"/>
      <c r="AO22" s="497"/>
      <c r="AP22" s="493"/>
      <c r="AQ22" s="497"/>
      <c r="AR22" s="493"/>
      <c r="AS22" s="497"/>
      <c r="AT22" s="493"/>
      <c r="AU22" s="497"/>
      <c r="AV22" s="506">
        <f t="shared" si="45"/>
        <v>0</v>
      </c>
      <c r="AW22" s="511">
        <f t="shared" si="46"/>
        <v>0</v>
      </c>
      <c r="AX22" s="508">
        <f t="shared" si="47"/>
        <v>0</v>
      </c>
      <c r="AY22" s="512">
        <f t="shared" si="48"/>
        <v>0</v>
      </c>
      <c r="AZ22" s="513">
        <f t="shared" si="49"/>
        <v>6764.0333333333338</v>
      </c>
      <c r="BA22" s="508">
        <f t="shared" si="50"/>
        <v>6300.9666666666662</v>
      </c>
    </row>
    <row r="23" spans="1:53">
      <c r="A23" s="629" t="s">
        <v>281</v>
      </c>
      <c r="B23" s="523" t="s">
        <v>298</v>
      </c>
      <c r="C23" s="533"/>
      <c r="D23" s="536">
        <v>101514</v>
      </c>
      <c r="E23" s="536">
        <v>8</v>
      </c>
      <c r="F23" s="491" t="s">
        <v>41</v>
      </c>
      <c r="G23" s="492"/>
      <c r="H23" s="493"/>
      <c r="I23" s="494"/>
      <c r="J23" s="493">
        <v>105691</v>
      </c>
      <c r="K23" s="494">
        <v>101146</v>
      </c>
      <c r="L23" s="493">
        <v>46471</v>
      </c>
      <c r="M23" s="494">
        <v>43406</v>
      </c>
      <c r="N23" s="493">
        <v>109962</v>
      </c>
      <c r="O23" s="494">
        <v>102046</v>
      </c>
      <c r="P23" s="506">
        <f t="shared" si="33"/>
        <v>262124</v>
      </c>
      <c r="Q23" s="507">
        <f t="shared" si="34"/>
        <v>8737.4666666666672</v>
      </c>
      <c r="R23" s="508">
        <f t="shared" si="35"/>
        <v>246598</v>
      </c>
      <c r="S23" s="509">
        <f t="shared" si="36"/>
        <v>8219.9333333333325</v>
      </c>
      <c r="T23" s="493">
        <v>9688</v>
      </c>
      <c r="U23" s="494">
        <v>9766</v>
      </c>
      <c r="V23" s="506">
        <f t="shared" si="37"/>
        <v>262124</v>
      </c>
      <c r="W23" s="510">
        <f t="shared" si="38"/>
        <v>246598</v>
      </c>
      <c r="X23" s="495"/>
      <c r="Y23" s="494"/>
      <c r="Z23" s="493"/>
      <c r="AA23" s="494"/>
      <c r="AB23" s="493"/>
      <c r="AC23" s="494"/>
      <c r="AD23" s="493"/>
      <c r="AE23" s="494"/>
      <c r="AF23" s="506">
        <f t="shared" si="39"/>
        <v>0</v>
      </c>
      <c r="AG23" s="507">
        <f t="shared" si="40"/>
        <v>0</v>
      </c>
      <c r="AH23" s="508">
        <f t="shared" si="41"/>
        <v>0</v>
      </c>
      <c r="AI23" s="508">
        <f t="shared" si="42"/>
        <v>0</v>
      </c>
      <c r="AJ23" s="493"/>
      <c r="AK23" s="494"/>
      <c r="AL23" s="506">
        <f t="shared" si="43"/>
        <v>0</v>
      </c>
      <c r="AM23" s="509">
        <f t="shared" si="44"/>
        <v>0</v>
      </c>
      <c r="AN23" s="496"/>
      <c r="AO23" s="497"/>
      <c r="AP23" s="493"/>
      <c r="AQ23" s="497"/>
      <c r="AR23" s="493"/>
      <c r="AS23" s="497"/>
      <c r="AT23" s="493"/>
      <c r="AU23" s="497"/>
      <c r="AV23" s="506">
        <f t="shared" si="45"/>
        <v>0</v>
      </c>
      <c r="AW23" s="511">
        <f t="shared" si="46"/>
        <v>0</v>
      </c>
      <c r="AX23" s="508">
        <f t="shared" si="47"/>
        <v>0</v>
      </c>
      <c r="AY23" s="512">
        <f t="shared" si="48"/>
        <v>0</v>
      </c>
      <c r="AZ23" s="513">
        <f t="shared" si="49"/>
        <v>8737.4666666666672</v>
      </c>
      <c r="BA23" s="508">
        <f t="shared" si="50"/>
        <v>8219.9333333333325</v>
      </c>
    </row>
    <row r="24" spans="1:53">
      <c r="A24" s="629" t="s">
        <v>281</v>
      </c>
      <c r="B24" s="523" t="s">
        <v>299</v>
      </c>
      <c r="C24" s="488" t="s">
        <v>321</v>
      </c>
      <c r="D24" s="536">
        <v>101295</v>
      </c>
      <c r="E24" s="537">
        <v>8</v>
      </c>
      <c r="F24" s="491" t="s">
        <v>41</v>
      </c>
      <c r="G24" s="492"/>
      <c r="H24" s="493"/>
      <c r="I24" s="494"/>
      <c r="J24" s="493">
        <v>67685</v>
      </c>
      <c r="K24" s="494">
        <v>59866</v>
      </c>
      <c r="L24" s="493">
        <v>31282</v>
      </c>
      <c r="M24" s="494">
        <v>27052</v>
      </c>
      <c r="N24" s="493">
        <v>61700</v>
      </c>
      <c r="O24" s="494">
        <v>59667</v>
      </c>
      <c r="P24" s="506">
        <f t="shared" si="33"/>
        <v>160667</v>
      </c>
      <c r="Q24" s="507">
        <f t="shared" si="34"/>
        <v>5355.5666666666666</v>
      </c>
      <c r="R24" s="508">
        <f t="shared" si="35"/>
        <v>146585</v>
      </c>
      <c r="S24" s="509">
        <f t="shared" si="36"/>
        <v>4886.166666666667</v>
      </c>
      <c r="T24" s="493">
        <v>4673</v>
      </c>
      <c r="U24" s="494">
        <v>5314</v>
      </c>
      <c r="V24" s="506">
        <f t="shared" si="37"/>
        <v>160667</v>
      </c>
      <c r="W24" s="510">
        <f t="shared" si="38"/>
        <v>146585</v>
      </c>
      <c r="X24" s="495"/>
      <c r="Y24" s="494"/>
      <c r="Z24" s="493"/>
      <c r="AA24" s="494"/>
      <c r="AB24" s="493"/>
      <c r="AC24" s="494"/>
      <c r="AD24" s="493"/>
      <c r="AE24" s="494"/>
      <c r="AF24" s="506">
        <f t="shared" si="39"/>
        <v>0</v>
      </c>
      <c r="AG24" s="507">
        <f t="shared" si="40"/>
        <v>0</v>
      </c>
      <c r="AH24" s="508">
        <f t="shared" si="41"/>
        <v>0</v>
      </c>
      <c r="AI24" s="508">
        <f t="shared" si="42"/>
        <v>0</v>
      </c>
      <c r="AJ24" s="493"/>
      <c r="AK24" s="494"/>
      <c r="AL24" s="506">
        <f t="shared" si="43"/>
        <v>0</v>
      </c>
      <c r="AM24" s="509">
        <f t="shared" si="44"/>
        <v>0</v>
      </c>
      <c r="AN24" s="496"/>
      <c r="AO24" s="497"/>
      <c r="AP24" s="493"/>
      <c r="AQ24" s="497"/>
      <c r="AR24" s="493"/>
      <c r="AS24" s="497"/>
      <c r="AT24" s="493"/>
      <c r="AU24" s="497"/>
      <c r="AV24" s="506">
        <f t="shared" si="45"/>
        <v>0</v>
      </c>
      <c r="AW24" s="511">
        <f t="shared" si="46"/>
        <v>0</v>
      </c>
      <c r="AX24" s="508">
        <f t="shared" si="47"/>
        <v>0</v>
      </c>
      <c r="AY24" s="512">
        <f t="shared" si="48"/>
        <v>0</v>
      </c>
      <c r="AZ24" s="513">
        <f t="shared" si="49"/>
        <v>5355.5666666666666</v>
      </c>
      <c r="BA24" s="508">
        <f t="shared" si="50"/>
        <v>4886.166666666667</v>
      </c>
    </row>
    <row r="25" spans="1:53">
      <c r="A25" s="629" t="s">
        <v>281</v>
      </c>
      <c r="B25" s="523" t="s">
        <v>300</v>
      </c>
      <c r="C25" s="533"/>
      <c r="D25" s="536">
        <v>102429</v>
      </c>
      <c r="E25" s="536">
        <v>9</v>
      </c>
      <c r="F25" s="491" t="s">
        <v>41</v>
      </c>
      <c r="G25" s="492"/>
      <c r="H25" s="493"/>
      <c r="I25" s="494"/>
      <c r="J25" s="493">
        <v>45434</v>
      </c>
      <c r="K25" s="494">
        <v>37298</v>
      </c>
      <c r="L25" s="493">
        <v>19403</v>
      </c>
      <c r="M25" s="494">
        <v>16306</v>
      </c>
      <c r="N25" s="493">
        <v>43114</v>
      </c>
      <c r="O25" s="494">
        <v>38890</v>
      </c>
      <c r="P25" s="506">
        <f t="shared" si="33"/>
        <v>107951</v>
      </c>
      <c r="Q25" s="507">
        <f t="shared" si="34"/>
        <v>3598.3666666666668</v>
      </c>
      <c r="R25" s="508">
        <f t="shared" si="35"/>
        <v>92494</v>
      </c>
      <c r="S25" s="509">
        <f t="shared" si="36"/>
        <v>3083.1333333333332</v>
      </c>
      <c r="T25" s="493">
        <v>1406</v>
      </c>
      <c r="U25" s="494">
        <v>2066</v>
      </c>
      <c r="V25" s="506">
        <f t="shared" si="37"/>
        <v>107951</v>
      </c>
      <c r="W25" s="510">
        <f t="shared" si="38"/>
        <v>92494</v>
      </c>
      <c r="X25" s="495"/>
      <c r="Y25" s="494"/>
      <c r="Z25" s="493"/>
      <c r="AA25" s="494"/>
      <c r="AB25" s="493"/>
      <c r="AC25" s="494"/>
      <c r="AD25" s="493"/>
      <c r="AE25" s="494"/>
      <c r="AF25" s="506">
        <f t="shared" si="39"/>
        <v>0</v>
      </c>
      <c r="AG25" s="507">
        <f t="shared" si="40"/>
        <v>0</v>
      </c>
      <c r="AH25" s="508">
        <f t="shared" si="41"/>
        <v>0</v>
      </c>
      <c r="AI25" s="508">
        <f t="shared" si="42"/>
        <v>0</v>
      </c>
      <c r="AJ25" s="493"/>
      <c r="AK25" s="494"/>
      <c r="AL25" s="506">
        <f t="shared" si="43"/>
        <v>0</v>
      </c>
      <c r="AM25" s="509">
        <f t="shared" si="44"/>
        <v>0</v>
      </c>
      <c r="AN25" s="496"/>
      <c r="AO25" s="497"/>
      <c r="AP25" s="493"/>
      <c r="AQ25" s="497"/>
      <c r="AR25" s="493"/>
      <c r="AS25" s="497"/>
      <c r="AT25" s="493"/>
      <c r="AU25" s="497"/>
      <c r="AV25" s="506">
        <f t="shared" si="45"/>
        <v>0</v>
      </c>
      <c r="AW25" s="511">
        <f t="shared" si="46"/>
        <v>0</v>
      </c>
      <c r="AX25" s="508">
        <f t="shared" si="47"/>
        <v>0</v>
      </c>
      <c r="AY25" s="512">
        <f t="shared" si="48"/>
        <v>0</v>
      </c>
      <c r="AZ25" s="513">
        <f t="shared" si="49"/>
        <v>3598.3666666666668</v>
      </c>
      <c r="BA25" s="508">
        <f t="shared" si="50"/>
        <v>3083.1333333333332</v>
      </c>
    </row>
    <row r="26" spans="1:53">
      <c r="A26" s="629" t="s">
        <v>281</v>
      </c>
      <c r="B26" s="525" t="s">
        <v>301</v>
      </c>
      <c r="C26" s="534"/>
      <c r="D26" s="536">
        <v>102030</v>
      </c>
      <c r="E26" s="536">
        <v>9</v>
      </c>
      <c r="F26" s="491" t="s">
        <v>41</v>
      </c>
      <c r="G26" s="492"/>
      <c r="H26" s="493"/>
      <c r="I26" s="494"/>
      <c r="J26" s="493">
        <v>36750</v>
      </c>
      <c r="K26" s="494">
        <v>36732</v>
      </c>
      <c r="L26" s="493">
        <v>16077</v>
      </c>
      <c r="M26" s="494">
        <v>12916</v>
      </c>
      <c r="N26" s="493">
        <v>37535</v>
      </c>
      <c r="O26" s="494">
        <v>37181</v>
      </c>
      <c r="P26" s="506">
        <f t="shared" si="33"/>
        <v>90362</v>
      </c>
      <c r="Q26" s="507">
        <f t="shared" si="34"/>
        <v>3012.0666666666666</v>
      </c>
      <c r="R26" s="508">
        <f t="shared" si="35"/>
        <v>86829</v>
      </c>
      <c r="S26" s="509">
        <f t="shared" si="36"/>
        <v>2894.3</v>
      </c>
      <c r="T26" s="493">
        <v>3808</v>
      </c>
      <c r="U26" s="494">
        <v>3231</v>
      </c>
      <c r="V26" s="506">
        <f t="shared" si="37"/>
        <v>90362</v>
      </c>
      <c r="W26" s="510">
        <f t="shared" si="38"/>
        <v>86829</v>
      </c>
      <c r="X26" s="495"/>
      <c r="Y26" s="494"/>
      <c r="Z26" s="493"/>
      <c r="AA26" s="494"/>
      <c r="AB26" s="493"/>
      <c r="AC26" s="494"/>
      <c r="AD26" s="493"/>
      <c r="AE26" s="494"/>
      <c r="AF26" s="506">
        <f t="shared" si="39"/>
        <v>0</v>
      </c>
      <c r="AG26" s="507">
        <f t="shared" si="40"/>
        <v>0</v>
      </c>
      <c r="AH26" s="508">
        <f t="shared" si="41"/>
        <v>0</v>
      </c>
      <c r="AI26" s="508">
        <f t="shared" si="42"/>
        <v>0</v>
      </c>
      <c r="AJ26" s="493"/>
      <c r="AK26" s="494"/>
      <c r="AL26" s="506">
        <f t="shared" si="43"/>
        <v>0</v>
      </c>
      <c r="AM26" s="509">
        <f t="shared" si="44"/>
        <v>0</v>
      </c>
      <c r="AN26" s="496"/>
      <c r="AO26" s="497"/>
      <c r="AP26" s="493"/>
      <c r="AQ26" s="497"/>
      <c r="AR26" s="493"/>
      <c r="AS26" s="497"/>
      <c r="AT26" s="493"/>
      <c r="AU26" s="497"/>
      <c r="AV26" s="506">
        <f t="shared" si="45"/>
        <v>0</v>
      </c>
      <c r="AW26" s="511">
        <f t="shared" si="46"/>
        <v>0</v>
      </c>
      <c r="AX26" s="508">
        <f t="shared" si="47"/>
        <v>0</v>
      </c>
      <c r="AY26" s="512">
        <f t="shared" si="48"/>
        <v>0</v>
      </c>
      <c r="AZ26" s="513">
        <f t="shared" si="49"/>
        <v>3012.0666666666666</v>
      </c>
      <c r="BA26" s="508">
        <f t="shared" si="50"/>
        <v>2894.3</v>
      </c>
    </row>
    <row r="27" spans="1:53">
      <c r="A27" s="629" t="s">
        <v>281</v>
      </c>
      <c r="B27" s="526" t="s">
        <v>302</v>
      </c>
      <c r="C27" s="488" t="s">
        <v>322</v>
      </c>
      <c r="D27" s="536">
        <v>100760</v>
      </c>
      <c r="E27" s="537">
        <v>9</v>
      </c>
      <c r="F27" s="491" t="s">
        <v>41</v>
      </c>
      <c r="G27" s="492"/>
      <c r="H27" s="493"/>
      <c r="I27" s="494"/>
      <c r="J27" s="493">
        <v>23564</v>
      </c>
      <c r="K27" s="494">
        <v>23002</v>
      </c>
      <c r="L27" s="493">
        <v>12652</v>
      </c>
      <c r="M27" s="494">
        <v>8636</v>
      </c>
      <c r="N27" s="493">
        <v>26211</v>
      </c>
      <c r="O27" s="494">
        <v>20219</v>
      </c>
      <c r="P27" s="506">
        <f t="shared" si="33"/>
        <v>62427</v>
      </c>
      <c r="Q27" s="507">
        <f t="shared" si="34"/>
        <v>2080.9</v>
      </c>
      <c r="R27" s="508">
        <f t="shared" si="35"/>
        <v>51857</v>
      </c>
      <c r="S27" s="509">
        <f t="shared" si="36"/>
        <v>1728.5666666666666</v>
      </c>
      <c r="T27" s="493">
        <v>870</v>
      </c>
      <c r="U27" s="494">
        <v>455</v>
      </c>
      <c r="V27" s="506">
        <f t="shared" si="37"/>
        <v>62427</v>
      </c>
      <c r="W27" s="510">
        <f t="shared" si="38"/>
        <v>51857</v>
      </c>
      <c r="X27" s="495"/>
      <c r="Y27" s="494"/>
      <c r="Z27" s="493"/>
      <c r="AA27" s="494"/>
      <c r="AB27" s="493"/>
      <c r="AC27" s="494"/>
      <c r="AD27" s="493"/>
      <c r="AE27" s="494"/>
      <c r="AF27" s="506">
        <f t="shared" si="39"/>
        <v>0</v>
      </c>
      <c r="AG27" s="507">
        <f t="shared" si="40"/>
        <v>0</v>
      </c>
      <c r="AH27" s="508">
        <f t="shared" si="41"/>
        <v>0</v>
      </c>
      <c r="AI27" s="508">
        <f t="shared" si="42"/>
        <v>0</v>
      </c>
      <c r="AJ27" s="493"/>
      <c r="AK27" s="494"/>
      <c r="AL27" s="506">
        <f t="shared" si="43"/>
        <v>0</v>
      </c>
      <c r="AM27" s="509">
        <f t="shared" si="44"/>
        <v>0</v>
      </c>
      <c r="AN27" s="496"/>
      <c r="AO27" s="497"/>
      <c r="AP27" s="493"/>
      <c r="AQ27" s="497"/>
      <c r="AR27" s="493"/>
      <c r="AS27" s="497"/>
      <c r="AT27" s="493"/>
      <c r="AU27" s="497"/>
      <c r="AV27" s="506">
        <f t="shared" si="45"/>
        <v>0</v>
      </c>
      <c r="AW27" s="511">
        <f t="shared" si="46"/>
        <v>0</v>
      </c>
      <c r="AX27" s="508">
        <f t="shared" si="47"/>
        <v>0</v>
      </c>
      <c r="AY27" s="512">
        <f t="shared" si="48"/>
        <v>0</v>
      </c>
      <c r="AZ27" s="513">
        <f t="shared" si="49"/>
        <v>2080.9</v>
      </c>
      <c r="BA27" s="508">
        <f t="shared" si="50"/>
        <v>1728.5666666666666</v>
      </c>
    </row>
    <row r="28" spans="1:53">
      <c r="A28" s="629" t="s">
        <v>281</v>
      </c>
      <c r="B28" s="526" t="s">
        <v>303</v>
      </c>
      <c r="C28" s="535"/>
      <c r="D28" s="536">
        <v>101143</v>
      </c>
      <c r="E28" s="537">
        <v>9</v>
      </c>
      <c r="F28" s="491" t="s">
        <v>41</v>
      </c>
      <c r="G28" s="492"/>
      <c r="H28" s="493"/>
      <c r="I28" s="494"/>
      <c r="J28" s="493">
        <v>32701</v>
      </c>
      <c r="K28" s="494">
        <v>29240</v>
      </c>
      <c r="L28" s="493">
        <v>17224</v>
      </c>
      <c r="M28" s="494">
        <v>12862</v>
      </c>
      <c r="N28" s="493">
        <v>31824</v>
      </c>
      <c r="O28" s="494">
        <v>27961</v>
      </c>
      <c r="P28" s="506">
        <f t="shared" si="33"/>
        <v>81749</v>
      </c>
      <c r="Q28" s="507">
        <f t="shared" si="34"/>
        <v>2724.9666666666667</v>
      </c>
      <c r="R28" s="508">
        <f t="shared" si="35"/>
        <v>70063</v>
      </c>
      <c r="S28" s="509">
        <f t="shared" si="36"/>
        <v>2335.4333333333334</v>
      </c>
      <c r="T28" s="493">
        <v>2660</v>
      </c>
      <c r="U28" s="494">
        <v>3088</v>
      </c>
      <c r="V28" s="506">
        <f t="shared" si="37"/>
        <v>81749</v>
      </c>
      <c r="W28" s="510">
        <f t="shared" si="38"/>
        <v>70063</v>
      </c>
      <c r="X28" s="495"/>
      <c r="Y28" s="494"/>
      <c r="Z28" s="493"/>
      <c r="AA28" s="494"/>
      <c r="AB28" s="493"/>
      <c r="AC28" s="494"/>
      <c r="AD28" s="493"/>
      <c r="AE28" s="494"/>
      <c r="AF28" s="506">
        <f t="shared" si="39"/>
        <v>0</v>
      </c>
      <c r="AG28" s="507">
        <f t="shared" si="40"/>
        <v>0</v>
      </c>
      <c r="AH28" s="508">
        <f t="shared" si="41"/>
        <v>0</v>
      </c>
      <c r="AI28" s="508">
        <f t="shared" si="42"/>
        <v>0</v>
      </c>
      <c r="AJ28" s="493"/>
      <c r="AK28" s="494"/>
      <c r="AL28" s="506">
        <f t="shared" si="43"/>
        <v>0</v>
      </c>
      <c r="AM28" s="509">
        <f t="shared" si="44"/>
        <v>0</v>
      </c>
      <c r="AN28" s="496"/>
      <c r="AO28" s="497"/>
      <c r="AP28" s="493"/>
      <c r="AQ28" s="497"/>
      <c r="AR28" s="493"/>
      <c r="AS28" s="497"/>
      <c r="AT28" s="493"/>
      <c r="AU28" s="497"/>
      <c r="AV28" s="506">
        <f t="shared" si="45"/>
        <v>0</v>
      </c>
      <c r="AW28" s="511">
        <f t="shared" si="46"/>
        <v>0</v>
      </c>
      <c r="AX28" s="508">
        <f t="shared" si="47"/>
        <v>0</v>
      </c>
      <c r="AY28" s="512">
        <f t="shared" si="48"/>
        <v>0</v>
      </c>
      <c r="AZ28" s="513">
        <f t="shared" si="49"/>
        <v>2724.9666666666667</v>
      </c>
      <c r="BA28" s="508">
        <f t="shared" si="50"/>
        <v>2335.4333333333334</v>
      </c>
    </row>
    <row r="29" spans="1:53">
      <c r="A29" s="629" t="s">
        <v>281</v>
      </c>
      <c r="B29" s="523" t="s">
        <v>304</v>
      </c>
      <c r="C29" s="533"/>
      <c r="D29" s="536">
        <v>101286</v>
      </c>
      <c r="E29" s="536">
        <v>9</v>
      </c>
      <c r="F29" s="491" t="s">
        <v>41</v>
      </c>
      <c r="G29" s="492"/>
      <c r="H29" s="493"/>
      <c r="I29" s="494"/>
      <c r="J29" s="493">
        <v>48365</v>
      </c>
      <c r="K29" s="494">
        <v>43429</v>
      </c>
      <c r="L29" s="493">
        <v>27326</v>
      </c>
      <c r="M29" s="494">
        <v>21192</v>
      </c>
      <c r="N29" s="493">
        <v>49568</v>
      </c>
      <c r="O29" s="494">
        <v>45168</v>
      </c>
      <c r="P29" s="506">
        <f t="shared" si="33"/>
        <v>125259</v>
      </c>
      <c r="Q29" s="507">
        <f t="shared" si="34"/>
        <v>4175.3</v>
      </c>
      <c r="R29" s="508">
        <f t="shared" si="35"/>
        <v>109789</v>
      </c>
      <c r="S29" s="509">
        <f t="shared" si="36"/>
        <v>3659.6333333333332</v>
      </c>
      <c r="T29" s="493">
        <v>1953</v>
      </c>
      <c r="U29" s="494">
        <v>2666</v>
      </c>
      <c r="V29" s="506">
        <f t="shared" si="37"/>
        <v>125259</v>
      </c>
      <c r="W29" s="510">
        <f t="shared" si="38"/>
        <v>109789</v>
      </c>
      <c r="X29" s="495"/>
      <c r="Y29" s="494"/>
      <c r="Z29" s="493"/>
      <c r="AA29" s="494"/>
      <c r="AB29" s="493"/>
      <c r="AC29" s="494"/>
      <c r="AD29" s="493"/>
      <c r="AE29" s="494"/>
      <c r="AF29" s="506">
        <f t="shared" si="39"/>
        <v>0</v>
      </c>
      <c r="AG29" s="507">
        <f t="shared" si="40"/>
        <v>0</v>
      </c>
      <c r="AH29" s="508">
        <f t="shared" si="41"/>
        <v>0</v>
      </c>
      <c r="AI29" s="508">
        <f t="shared" si="42"/>
        <v>0</v>
      </c>
      <c r="AJ29" s="493"/>
      <c r="AK29" s="494"/>
      <c r="AL29" s="506">
        <f t="shared" si="43"/>
        <v>0</v>
      </c>
      <c r="AM29" s="509">
        <f t="shared" si="44"/>
        <v>0</v>
      </c>
      <c r="AN29" s="496"/>
      <c r="AO29" s="497"/>
      <c r="AP29" s="493"/>
      <c r="AQ29" s="497"/>
      <c r="AR29" s="493"/>
      <c r="AS29" s="497"/>
      <c r="AT29" s="493"/>
      <c r="AU29" s="497"/>
      <c r="AV29" s="506">
        <f t="shared" si="45"/>
        <v>0</v>
      </c>
      <c r="AW29" s="511">
        <f t="shared" si="46"/>
        <v>0</v>
      </c>
      <c r="AX29" s="508">
        <f t="shared" si="47"/>
        <v>0</v>
      </c>
      <c r="AY29" s="512">
        <f t="shared" si="48"/>
        <v>0</v>
      </c>
      <c r="AZ29" s="513">
        <f t="shared" si="49"/>
        <v>4175.3</v>
      </c>
      <c r="BA29" s="508">
        <f t="shared" si="50"/>
        <v>3659.6333333333332</v>
      </c>
    </row>
    <row r="30" spans="1:53">
      <c r="A30" s="629" t="s">
        <v>281</v>
      </c>
      <c r="B30" s="523" t="s">
        <v>305</v>
      </c>
      <c r="C30" s="533"/>
      <c r="D30" s="536">
        <v>101161</v>
      </c>
      <c r="E30" s="536">
        <v>9</v>
      </c>
      <c r="F30" s="491" t="s">
        <v>41</v>
      </c>
      <c r="G30" s="492"/>
      <c r="H30" s="493"/>
      <c r="I30" s="494"/>
      <c r="J30" s="493">
        <v>48165</v>
      </c>
      <c r="K30" s="494">
        <v>48541</v>
      </c>
      <c r="L30" s="493">
        <v>22353</v>
      </c>
      <c r="M30" s="494">
        <v>20014</v>
      </c>
      <c r="N30" s="493">
        <v>47216</v>
      </c>
      <c r="O30" s="494">
        <v>47713</v>
      </c>
      <c r="P30" s="506">
        <f t="shared" si="33"/>
        <v>117734</v>
      </c>
      <c r="Q30" s="507">
        <f t="shared" si="34"/>
        <v>3924.4666666666667</v>
      </c>
      <c r="R30" s="508">
        <f t="shared" si="35"/>
        <v>116268</v>
      </c>
      <c r="S30" s="509">
        <f t="shared" si="36"/>
        <v>3875.6</v>
      </c>
      <c r="T30" s="493">
        <v>2833</v>
      </c>
      <c r="U30" s="494">
        <v>2813</v>
      </c>
      <c r="V30" s="506">
        <f t="shared" si="37"/>
        <v>117734</v>
      </c>
      <c r="W30" s="510">
        <f t="shared" si="38"/>
        <v>116268</v>
      </c>
      <c r="X30" s="495"/>
      <c r="Y30" s="494"/>
      <c r="Z30" s="493"/>
      <c r="AA30" s="494"/>
      <c r="AB30" s="493"/>
      <c r="AC30" s="494"/>
      <c r="AD30" s="493"/>
      <c r="AE30" s="494"/>
      <c r="AF30" s="506">
        <f t="shared" si="39"/>
        <v>0</v>
      </c>
      <c r="AG30" s="507">
        <f t="shared" si="40"/>
        <v>0</v>
      </c>
      <c r="AH30" s="508">
        <f t="shared" si="41"/>
        <v>0</v>
      </c>
      <c r="AI30" s="508">
        <f t="shared" si="42"/>
        <v>0</v>
      </c>
      <c r="AJ30" s="493"/>
      <c r="AK30" s="494"/>
      <c r="AL30" s="506">
        <f t="shared" si="43"/>
        <v>0</v>
      </c>
      <c r="AM30" s="509">
        <f t="shared" si="44"/>
        <v>0</v>
      </c>
      <c r="AN30" s="496"/>
      <c r="AO30" s="497"/>
      <c r="AP30" s="493"/>
      <c r="AQ30" s="497"/>
      <c r="AR30" s="493"/>
      <c r="AS30" s="497"/>
      <c r="AT30" s="493"/>
      <c r="AU30" s="497"/>
      <c r="AV30" s="506">
        <f t="shared" si="45"/>
        <v>0</v>
      </c>
      <c r="AW30" s="511">
        <f t="shared" si="46"/>
        <v>0</v>
      </c>
      <c r="AX30" s="508">
        <f t="shared" si="47"/>
        <v>0</v>
      </c>
      <c r="AY30" s="512">
        <f t="shared" si="48"/>
        <v>0</v>
      </c>
      <c r="AZ30" s="513">
        <f t="shared" si="49"/>
        <v>3924.4666666666667</v>
      </c>
      <c r="BA30" s="508">
        <f t="shared" si="50"/>
        <v>3875.6</v>
      </c>
    </row>
    <row r="31" spans="1:53">
      <c r="A31" s="629" t="s">
        <v>281</v>
      </c>
      <c r="B31" s="523" t="s">
        <v>306</v>
      </c>
      <c r="C31" s="533"/>
      <c r="D31" s="536">
        <v>101569</v>
      </c>
      <c r="E31" s="536">
        <v>9</v>
      </c>
      <c r="F31" s="491" t="s">
        <v>41</v>
      </c>
      <c r="G31" s="492"/>
      <c r="H31" s="493"/>
      <c r="I31" s="494"/>
      <c r="J31" s="493">
        <v>46382</v>
      </c>
      <c r="K31" s="494">
        <v>39365</v>
      </c>
      <c r="L31" s="493">
        <v>22575</v>
      </c>
      <c r="M31" s="494">
        <v>12916</v>
      </c>
      <c r="N31" s="493">
        <v>45440</v>
      </c>
      <c r="O31" s="494">
        <v>35848</v>
      </c>
      <c r="P31" s="506">
        <f t="shared" si="33"/>
        <v>114397</v>
      </c>
      <c r="Q31" s="507">
        <f t="shared" si="34"/>
        <v>3813.2333333333331</v>
      </c>
      <c r="R31" s="508">
        <f t="shared" si="35"/>
        <v>88129</v>
      </c>
      <c r="S31" s="509">
        <f t="shared" si="36"/>
        <v>2937.6333333333332</v>
      </c>
      <c r="T31" s="493">
        <v>825</v>
      </c>
      <c r="U31" s="494">
        <v>840</v>
      </c>
      <c r="V31" s="506">
        <f t="shared" si="37"/>
        <v>114397</v>
      </c>
      <c r="W31" s="510">
        <f t="shared" si="38"/>
        <v>88129</v>
      </c>
      <c r="X31" s="495"/>
      <c r="Y31" s="494"/>
      <c r="Z31" s="493"/>
      <c r="AA31" s="494"/>
      <c r="AB31" s="493"/>
      <c r="AC31" s="494"/>
      <c r="AD31" s="493"/>
      <c r="AE31" s="494"/>
      <c r="AF31" s="506">
        <f t="shared" si="39"/>
        <v>0</v>
      </c>
      <c r="AG31" s="507">
        <f t="shared" si="40"/>
        <v>0</v>
      </c>
      <c r="AH31" s="508">
        <f t="shared" si="41"/>
        <v>0</v>
      </c>
      <c r="AI31" s="508">
        <f t="shared" si="42"/>
        <v>0</v>
      </c>
      <c r="AJ31" s="493"/>
      <c r="AK31" s="494"/>
      <c r="AL31" s="506">
        <f t="shared" si="43"/>
        <v>0</v>
      </c>
      <c r="AM31" s="509">
        <f t="shared" si="44"/>
        <v>0</v>
      </c>
      <c r="AN31" s="496"/>
      <c r="AO31" s="497"/>
      <c r="AP31" s="493"/>
      <c r="AQ31" s="497"/>
      <c r="AR31" s="493"/>
      <c r="AS31" s="497"/>
      <c r="AT31" s="493"/>
      <c r="AU31" s="497"/>
      <c r="AV31" s="506">
        <f t="shared" si="45"/>
        <v>0</v>
      </c>
      <c r="AW31" s="511">
        <f t="shared" si="46"/>
        <v>0</v>
      </c>
      <c r="AX31" s="508">
        <f t="shared" si="47"/>
        <v>0</v>
      </c>
      <c r="AY31" s="512">
        <f t="shared" si="48"/>
        <v>0</v>
      </c>
      <c r="AZ31" s="513">
        <f t="shared" si="49"/>
        <v>3813.2333333333331</v>
      </c>
      <c r="BA31" s="508">
        <f t="shared" si="50"/>
        <v>2937.6333333333332</v>
      </c>
    </row>
    <row r="32" spans="1:53">
      <c r="A32" s="522" t="s">
        <v>281</v>
      </c>
      <c r="B32" s="527" t="s">
        <v>307</v>
      </c>
      <c r="C32" s="534"/>
      <c r="D32" s="542">
        <v>101897</v>
      </c>
      <c r="E32" s="537">
        <v>9</v>
      </c>
      <c r="F32" s="514" t="s">
        <v>41</v>
      </c>
      <c r="G32" s="515"/>
      <c r="H32" s="516"/>
      <c r="I32" s="519"/>
      <c r="J32" s="516">
        <v>33700</v>
      </c>
      <c r="K32" s="519">
        <v>30649</v>
      </c>
      <c r="L32" s="516">
        <v>17668</v>
      </c>
      <c r="M32" s="519">
        <v>13647</v>
      </c>
      <c r="N32" s="516">
        <v>33253</v>
      </c>
      <c r="O32" s="519">
        <v>31300</v>
      </c>
      <c r="P32" s="506">
        <f t="shared" si="33"/>
        <v>84621</v>
      </c>
      <c r="Q32" s="507">
        <f t="shared" si="34"/>
        <v>2820.7</v>
      </c>
      <c r="R32" s="508">
        <f t="shared" si="35"/>
        <v>75596</v>
      </c>
      <c r="S32" s="509">
        <f t="shared" si="36"/>
        <v>2519.8666666666668</v>
      </c>
      <c r="T32" s="516">
        <v>3830</v>
      </c>
      <c r="U32" s="519">
        <v>3917</v>
      </c>
      <c r="V32" s="506">
        <f t="shared" si="37"/>
        <v>84621</v>
      </c>
      <c r="W32" s="510">
        <f t="shared" si="38"/>
        <v>75596</v>
      </c>
      <c r="X32" s="517"/>
      <c r="Y32" s="519"/>
      <c r="Z32" s="516"/>
      <c r="AA32" s="519"/>
      <c r="AB32" s="516"/>
      <c r="AC32" s="519"/>
      <c r="AD32" s="516"/>
      <c r="AE32" s="519"/>
      <c r="AF32" s="506">
        <f t="shared" si="39"/>
        <v>0</v>
      </c>
      <c r="AG32" s="507">
        <f t="shared" si="40"/>
        <v>0</v>
      </c>
      <c r="AH32" s="508">
        <f t="shared" si="41"/>
        <v>0</v>
      </c>
      <c r="AI32" s="508">
        <f t="shared" si="42"/>
        <v>0</v>
      </c>
      <c r="AJ32" s="516"/>
      <c r="AK32" s="519"/>
      <c r="AL32" s="506">
        <f t="shared" si="43"/>
        <v>0</v>
      </c>
      <c r="AM32" s="509">
        <f t="shared" si="44"/>
        <v>0</v>
      </c>
      <c r="AN32" s="518"/>
      <c r="AO32" s="520"/>
      <c r="AP32" s="516"/>
      <c r="AQ32" s="520"/>
      <c r="AR32" s="516"/>
      <c r="AS32" s="520"/>
      <c r="AT32" s="516"/>
      <c r="AU32" s="520"/>
      <c r="AV32" s="506">
        <f t="shared" si="45"/>
        <v>0</v>
      </c>
      <c r="AW32" s="511">
        <f t="shared" si="46"/>
        <v>0</v>
      </c>
      <c r="AX32" s="508">
        <f t="shared" si="47"/>
        <v>0</v>
      </c>
      <c r="AY32" s="512">
        <f t="shared" si="48"/>
        <v>0</v>
      </c>
      <c r="AZ32" s="513">
        <f t="shared" si="49"/>
        <v>2820.7</v>
      </c>
      <c r="BA32" s="508">
        <f t="shared" si="50"/>
        <v>2519.8666666666668</v>
      </c>
    </row>
    <row r="33" spans="1:53">
      <c r="A33" s="522" t="s">
        <v>281</v>
      </c>
      <c r="B33" s="523" t="s">
        <v>308</v>
      </c>
      <c r="C33" s="533"/>
      <c r="D33" s="536">
        <v>101736</v>
      </c>
      <c r="E33" s="536">
        <v>9</v>
      </c>
      <c r="F33" s="514" t="s">
        <v>41</v>
      </c>
      <c r="G33" s="515"/>
      <c r="H33" s="516"/>
      <c r="I33" s="519"/>
      <c r="J33" s="516">
        <v>40076</v>
      </c>
      <c r="K33" s="519">
        <v>34653</v>
      </c>
      <c r="L33" s="516">
        <v>15184</v>
      </c>
      <c r="M33" s="519">
        <v>13315</v>
      </c>
      <c r="N33" s="516">
        <v>38579</v>
      </c>
      <c r="O33" s="519">
        <v>36130</v>
      </c>
      <c r="P33" s="506">
        <f t="shared" si="33"/>
        <v>93839</v>
      </c>
      <c r="Q33" s="507">
        <f t="shared" si="34"/>
        <v>3127.9666666666667</v>
      </c>
      <c r="R33" s="508">
        <f t="shared" si="35"/>
        <v>84098</v>
      </c>
      <c r="S33" s="509">
        <f t="shared" si="36"/>
        <v>2803.2666666666669</v>
      </c>
      <c r="T33" s="516">
        <v>4701</v>
      </c>
      <c r="U33" s="519">
        <v>4002</v>
      </c>
      <c r="V33" s="506">
        <f t="shared" si="37"/>
        <v>93839</v>
      </c>
      <c r="W33" s="510">
        <f t="shared" si="38"/>
        <v>84098</v>
      </c>
      <c r="X33" s="517"/>
      <c r="Y33" s="519"/>
      <c r="Z33" s="516"/>
      <c r="AA33" s="519"/>
      <c r="AB33" s="516"/>
      <c r="AC33" s="519"/>
      <c r="AD33" s="516"/>
      <c r="AE33" s="519"/>
      <c r="AF33" s="506">
        <f t="shared" si="39"/>
        <v>0</v>
      </c>
      <c r="AG33" s="507">
        <f t="shared" si="40"/>
        <v>0</v>
      </c>
      <c r="AH33" s="508">
        <f t="shared" si="41"/>
        <v>0</v>
      </c>
      <c r="AI33" s="508">
        <f t="shared" si="42"/>
        <v>0</v>
      </c>
      <c r="AJ33" s="516"/>
      <c r="AK33" s="519"/>
      <c r="AL33" s="506">
        <f t="shared" si="43"/>
        <v>0</v>
      </c>
      <c r="AM33" s="509">
        <f t="shared" si="44"/>
        <v>0</v>
      </c>
      <c r="AN33" s="518"/>
      <c r="AO33" s="520"/>
      <c r="AP33" s="516"/>
      <c r="AQ33" s="520"/>
      <c r="AR33" s="516"/>
      <c r="AS33" s="520"/>
      <c r="AT33" s="516"/>
      <c r="AU33" s="520"/>
      <c r="AV33" s="506">
        <f t="shared" si="45"/>
        <v>0</v>
      </c>
      <c r="AW33" s="511">
        <f t="shared" si="46"/>
        <v>0</v>
      </c>
      <c r="AX33" s="508">
        <f t="shared" si="47"/>
        <v>0</v>
      </c>
      <c r="AY33" s="512">
        <f t="shared" si="48"/>
        <v>0</v>
      </c>
      <c r="AZ33" s="513">
        <f t="shared" si="49"/>
        <v>3127.9666666666667</v>
      </c>
      <c r="BA33" s="508">
        <f t="shared" si="50"/>
        <v>2803.2666666666669</v>
      </c>
    </row>
    <row r="34" spans="1:53">
      <c r="A34" s="522" t="s">
        <v>281</v>
      </c>
      <c r="B34" s="523" t="s">
        <v>309</v>
      </c>
      <c r="C34" s="532"/>
      <c r="D34" s="536">
        <v>102067</v>
      </c>
      <c r="E34" s="536">
        <v>9</v>
      </c>
      <c r="F34" s="514" t="s">
        <v>41</v>
      </c>
      <c r="G34" s="515"/>
      <c r="H34" s="516"/>
      <c r="I34" s="519"/>
      <c r="J34" s="516">
        <v>56989</v>
      </c>
      <c r="K34" s="519">
        <v>48990</v>
      </c>
      <c r="L34" s="516">
        <v>27055</v>
      </c>
      <c r="M34" s="519">
        <v>22752</v>
      </c>
      <c r="N34" s="516">
        <v>54601</v>
      </c>
      <c r="O34" s="519">
        <v>52247</v>
      </c>
      <c r="P34" s="506">
        <f t="shared" si="33"/>
        <v>138645</v>
      </c>
      <c r="Q34" s="507">
        <f t="shared" si="34"/>
        <v>4621.5</v>
      </c>
      <c r="R34" s="508">
        <f t="shared" si="35"/>
        <v>123989</v>
      </c>
      <c r="S34" s="509">
        <f t="shared" si="36"/>
        <v>4132.9666666666662</v>
      </c>
      <c r="T34" s="516">
        <v>607</v>
      </c>
      <c r="U34" s="519">
        <v>501</v>
      </c>
      <c r="V34" s="506">
        <f t="shared" si="37"/>
        <v>138645</v>
      </c>
      <c r="W34" s="510">
        <f t="shared" si="38"/>
        <v>123989</v>
      </c>
      <c r="X34" s="517"/>
      <c r="Y34" s="519"/>
      <c r="Z34" s="516"/>
      <c r="AA34" s="519"/>
      <c r="AB34" s="516"/>
      <c r="AC34" s="519"/>
      <c r="AD34" s="516"/>
      <c r="AE34" s="519"/>
      <c r="AF34" s="506">
        <f t="shared" si="39"/>
        <v>0</v>
      </c>
      <c r="AG34" s="507">
        <f t="shared" si="40"/>
        <v>0</v>
      </c>
      <c r="AH34" s="508">
        <f t="shared" si="41"/>
        <v>0</v>
      </c>
      <c r="AI34" s="508">
        <f t="shared" si="42"/>
        <v>0</v>
      </c>
      <c r="AJ34" s="516"/>
      <c r="AK34" s="519"/>
      <c r="AL34" s="506">
        <f t="shared" si="43"/>
        <v>0</v>
      </c>
      <c r="AM34" s="509">
        <f t="shared" si="44"/>
        <v>0</v>
      </c>
      <c r="AN34" s="518"/>
      <c r="AO34" s="520"/>
      <c r="AP34" s="516"/>
      <c r="AQ34" s="520"/>
      <c r="AR34" s="516"/>
      <c r="AS34" s="520"/>
      <c r="AT34" s="516"/>
      <c r="AU34" s="520"/>
      <c r="AV34" s="506">
        <f t="shared" si="45"/>
        <v>0</v>
      </c>
      <c r="AW34" s="511">
        <f t="shared" si="46"/>
        <v>0</v>
      </c>
      <c r="AX34" s="508">
        <f t="shared" si="47"/>
        <v>0</v>
      </c>
      <c r="AY34" s="512">
        <f t="shared" si="48"/>
        <v>0</v>
      </c>
      <c r="AZ34" s="513">
        <f t="shared" si="49"/>
        <v>4621.5</v>
      </c>
      <c r="BA34" s="508">
        <f t="shared" si="50"/>
        <v>4132.9666666666662</v>
      </c>
    </row>
    <row r="35" spans="1:53">
      <c r="A35" s="522" t="s">
        <v>281</v>
      </c>
      <c r="B35" s="523" t="s">
        <v>310</v>
      </c>
      <c r="C35" s="533"/>
      <c r="D35" s="536">
        <v>251260</v>
      </c>
      <c r="E35" s="536">
        <v>9</v>
      </c>
      <c r="F35" s="514" t="s">
        <v>41</v>
      </c>
      <c r="G35" s="515"/>
      <c r="H35" s="516"/>
      <c r="I35" s="519"/>
      <c r="J35" s="516">
        <v>52183</v>
      </c>
      <c r="K35" s="519">
        <v>52038</v>
      </c>
      <c r="L35" s="516">
        <v>25024</v>
      </c>
      <c r="M35" s="519">
        <v>21824</v>
      </c>
      <c r="N35" s="516">
        <v>56156</v>
      </c>
      <c r="O35" s="519">
        <v>54079</v>
      </c>
      <c r="P35" s="506">
        <f t="shared" si="33"/>
        <v>133363</v>
      </c>
      <c r="Q35" s="507">
        <f t="shared" si="34"/>
        <v>4445.4333333333334</v>
      </c>
      <c r="R35" s="508">
        <f t="shared" si="35"/>
        <v>127941</v>
      </c>
      <c r="S35" s="509">
        <f t="shared" si="36"/>
        <v>4264.7</v>
      </c>
      <c r="T35" s="516">
        <v>179</v>
      </c>
      <c r="U35" s="519">
        <v>799</v>
      </c>
      <c r="V35" s="506">
        <f t="shared" si="37"/>
        <v>133363</v>
      </c>
      <c r="W35" s="510">
        <f t="shared" si="38"/>
        <v>127941</v>
      </c>
      <c r="X35" s="517"/>
      <c r="Y35" s="519"/>
      <c r="Z35" s="516"/>
      <c r="AA35" s="519"/>
      <c r="AB35" s="516"/>
      <c r="AC35" s="519"/>
      <c r="AD35" s="516"/>
      <c r="AE35" s="519"/>
      <c r="AF35" s="506">
        <f t="shared" si="39"/>
        <v>0</v>
      </c>
      <c r="AG35" s="507">
        <f t="shared" si="40"/>
        <v>0</v>
      </c>
      <c r="AH35" s="508">
        <f t="shared" si="41"/>
        <v>0</v>
      </c>
      <c r="AI35" s="508">
        <f t="shared" si="42"/>
        <v>0</v>
      </c>
      <c r="AJ35" s="516"/>
      <c r="AK35" s="519"/>
      <c r="AL35" s="506">
        <f t="shared" si="43"/>
        <v>0</v>
      </c>
      <c r="AM35" s="509">
        <f t="shared" si="44"/>
        <v>0</v>
      </c>
      <c r="AN35" s="518"/>
      <c r="AO35" s="520"/>
      <c r="AP35" s="516"/>
      <c r="AQ35" s="520"/>
      <c r="AR35" s="516"/>
      <c r="AS35" s="520"/>
      <c r="AT35" s="516"/>
      <c r="AU35" s="520"/>
      <c r="AV35" s="506">
        <f t="shared" si="45"/>
        <v>0</v>
      </c>
      <c r="AW35" s="511">
        <f t="shared" si="46"/>
        <v>0</v>
      </c>
      <c r="AX35" s="508">
        <f t="shared" si="47"/>
        <v>0</v>
      </c>
      <c r="AY35" s="512">
        <f t="shared" si="48"/>
        <v>0</v>
      </c>
      <c r="AZ35" s="513">
        <f t="shared" si="49"/>
        <v>4445.4333333333334</v>
      </c>
      <c r="BA35" s="508">
        <f t="shared" si="50"/>
        <v>4264.7</v>
      </c>
    </row>
    <row r="36" spans="1:53">
      <c r="A36" s="522" t="s">
        <v>281</v>
      </c>
      <c r="B36" s="523" t="s">
        <v>311</v>
      </c>
      <c r="C36" s="532"/>
      <c r="D36" s="536">
        <v>101949</v>
      </c>
      <c r="E36" s="536">
        <v>10</v>
      </c>
      <c r="F36" s="514" t="s">
        <v>41</v>
      </c>
      <c r="G36" s="515"/>
      <c r="H36" s="516"/>
      <c r="I36" s="519"/>
      <c r="J36" s="516">
        <v>16644</v>
      </c>
      <c r="K36" s="519">
        <v>14934</v>
      </c>
      <c r="L36" s="516">
        <v>7840</v>
      </c>
      <c r="M36" s="519">
        <v>5146</v>
      </c>
      <c r="N36" s="516">
        <v>16224</v>
      </c>
      <c r="O36" s="519">
        <v>14698</v>
      </c>
      <c r="P36" s="506">
        <f t="shared" si="33"/>
        <v>40708</v>
      </c>
      <c r="Q36" s="507">
        <f t="shared" si="34"/>
        <v>1356.9333333333334</v>
      </c>
      <c r="R36" s="508">
        <f t="shared" si="35"/>
        <v>34778</v>
      </c>
      <c r="S36" s="509">
        <f t="shared" si="36"/>
        <v>1159.2666666666667</v>
      </c>
      <c r="T36" s="516">
        <v>838</v>
      </c>
      <c r="U36" s="519">
        <v>1146</v>
      </c>
      <c r="V36" s="506">
        <f t="shared" si="37"/>
        <v>40708</v>
      </c>
      <c r="W36" s="510">
        <f t="shared" si="38"/>
        <v>34778</v>
      </c>
      <c r="X36" s="517"/>
      <c r="Y36" s="519"/>
      <c r="Z36" s="516"/>
      <c r="AA36" s="519"/>
      <c r="AB36" s="516"/>
      <c r="AC36" s="519"/>
      <c r="AD36" s="516"/>
      <c r="AE36" s="519"/>
      <c r="AF36" s="506">
        <f t="shared" si="39"/>
        <v>0</v>
      </c>
      <c r="AG36" s="507">
        <f t="shared" si="40"/>
        <v>0</v>
      </c>
      <c r="AH36" s="508">
        <f t="shared" si="41"/>
        <v>0</v>
      </c>
      <c r="AI36" s="508">
        <f t="shared" si="42"/>
        <v>0</v>
      </c>
      <c r="AJ36" s="516"/>
      <c r="AK36" s="519"/>
      <c r="AL36" s="506">
        <f t="shared" si="43"/>
        <v>0</v>
      </c>
      <c r="AM36" s="509">
        <f t="shared" si="44"/>
        <v>0</v>
      </c>
      <c r="AN36" s="518"/>
      <c r="AO36" s="520"/>
      <c r="AP36" s="516"/>
      <c r="AQ36" s="520"/>
      <c r="AR36" s="516"/>
      <c r="AS36" s="520"/>
      <c r="AT36" s="516"/>
      <c r="AU36" s="520"/>
      <c r="AV36" s="506">
        <f t="shared" si="45"/>
        <v>0</v>
      </c>
      <c r="AW36" s="511">
        <f t="shared" si="46"/>
        <v>0</v>
      </c>
      <c r="AX36" s="508">
        <f t="shared" si="47"/>
        <v>0</v>
      </c>
      <c r="AY36" s="512">
        <f t="shared" si="48"/>
        <v>0</v>
      </c>
      <c r="AZ36" s="513">
        <f t="shared" si="49"/>
        <v>1356.9333333333334</v>
      </c>
      <c r="BA36" s="508">
        <f t="shared" si="50"/>
        <v>1159.2666666666667</v>
      </c>
    </row>
    <row r="37" spans="1:53">
      <c r="A37" s="522" t="s">
        <v>281</v>
      </c>
      <c r="B37" s="523" t="s">
        <v>312</v>
      </c>
      <c r="C37" s="535"/>
      <c r="D37" s="522">
        <v>101028</v>
      </c>
      <c r="E37" s="522">
        <v>10</v>
      </c>
      <c r="F37" s="514" t="s">
        <v>41</v>
      </c>
      <c r="G37" s="515"/>
      <c r="H37" s="516"/>
      <c r="I37" s="519"/>
      <c r="J37" s="516">
        <v>17390</v>
      </c>
      <c r="K37" s="519">
        <v>16736</v>
      </c>
      <c r="L37" s="516">
        <v>7473</v>
      </c>
      <c r="M37" s="519">
        <v>5926</v>
      </c>
      <c r="N37" s="516">
        <v>17305</v>
      </c>
      <c r="O37" s="559">
        <v>17951</v>
      </c>
      <c r="P37" s="506">
        <f t="shared" si="33"/>
        <v>42168</v>
      </c>
      <c r="Q37" s="507">
        <f t="shared" si="34"/>
        <v>1405.6</v>
      </c>
      <c r="R37" s="508">
        <f t="shared" si="35"/>
        <v>40613</v>
      </c>
      <c r="S37" s="509">
        <f t="shared" si="36"/>
        <v>1353.7666666666667</v>
      </c>
      <c r="T37" s="516">
        <v>1103</v>
      </c>
      <c r="U37" s="519">
        <v>980</v>
      </c>
      <c r="V37" s="506">
        <f t="shared" si="37"/>
        <v>42168</v>
      </c>
      <c r="W37" s="510">
        <f t="shared" si="38"/>
        <v>40613</v>
      </c>
      <c r="X37" s="517"/>
      <c r="Y37" s="519"/>
      <c r="Z37" s="516"/>
      <c r="AA37" s="519"/>
      <c r="AB37" s="516"/>
      <c r="AC37" s="519"/>
      <c r="AD37" s="516"/>
      <c r="AE37" s="519"/>
      <c r="AF37" s="506">
        <f t="shared" si="39"/>
        <v>0</v>
      </c>
      <c r="AG37" s="507">
        <f t="shared" si="40"/>
        <v>0</v>
      </c>
      <c r="AH37" s="508">
        <f t="shared" si="41"/>
        <v>0</v>
      </c>
      <c r="AI37" s="508">
        <f t="shared" si="42"/>
        <v>0</v>
      </c>
      <c r="AJ37" s="516"/>
      <c r="AK37" s="519"/>
      <c r="AL37" s="506">
        <f t="shared" si="43"/>
        <v>0</v>
      </c>
      <c r="AM37" s="509">
        <f t="shared" si="44"/>
        <v>0</v>
      </c>
      <c r="AN37" s="518"/>
      <c r="AO37" s="520"/>
      <c r="AP37" s="516"/>
      <c r="AQ37" s="520"/>
      <c r="AR37" s="516"/>
      <c r="AS37" s="520"/>
      <c r="AT37" s="516"/>
      <c r="AU37" s="520"/>
      <c r="AV37" s="506">
        <f t="shared" si="45"/>
        <v>0</v>
      </c>
      <c r="AW37" s="511">
        <f t="shared" si="46"/>
        <v>0</v>
      </c>
      <c r="AX37" s="508">
        <f t="shared" si="47"/>
        <v>0</v>
      </c>
      <c r="AY37" s="512">
        <f t="shared" si="48"/>
        <v>0</v>
      </c>
      <c r="AZ37" s="513">
        <f t="shared" si="49"/>
        <v>1405.6</v>
      </c>
      <c r="BA37" s="508">
        <f t="shared" si="50"/>
        <v>1353.7666666666667</v>
      </c>
    </row>
    <row r="38" spans="1:53">
      <c r="A38" s="522" t="s">
        <v>281</v>
      </c>
      <c r="B38" s="523" t="s">
        <v>313</v>
      </c>
      <c r="C38" s="532"/>
      <c r="D38" s="536">
        <v>101301</v>
      </c>
      <c r="E38" s="536">
        <v>10</v>
      </c>
      <c r="F38" s="514" t="s">
        <v>41</v>
      </c>
      <c r="G38" s="515"/>
      <c r="H38" s="516"/>
      <c r="I38" s="519"/>
      <c r="J38" s="516">
        <v>20969</v>
      </c>
      <c r="K38" s="519">
        <v>20519</v>
      </c>
      <c r="L38" s="516">
        <v>17749</v>
      </c>
      <c r="M38" s="519">
        <v>10681</v>
      </c>
      <c r="N38" s="516">
        <v>22129</v>
      </c>
      <c r="O38" s="519">
        <v>19796</v>
      </c>
      <c r="P38" s="506">
        <f t="shared" si="33"/>
        <v>60847</v>
      </c>
      <c r="Q38" s="507">
        <f t="shared" si="34"/>
        <v>2028.2333333333333</v>
      </c>
      <c r="R38" s="508">
        <f t="shared" si="35"/>
        <v>50996</v>
      </c>
      <c r="S38" s="509">
        <f t="shared" si="36"/>
        <v>1699.8666666666666</v>
      </c>
      <c r="T38" s="516">
        <v>3352</v>
      </c>
      <c r="U38" s="519">
        <v>1437</v>
      </c>
      <c r="V38" s="506">
        <f t="shared" si="37"/>
        <v>60847</v>
      </c>
      <c r="W38" s="510">
        <f t="shared" si="38"/>
        <v>50996</v>
      </c>
      <c r="X38" s="517"/>
      <c r="Y38" s="519"/>
      <c r="Z38" s="516"/>
      <c r="AA38" s="519"/>
      <c r="AB38" s="516"/>
      <c r="AC38" s="519"/>
      <c r="AD38" s="516"/>
      <c r="AE38" s="519"/>
      <c r="AF38" s="506">
        <f t="shared" si="39"/>
        <v>0</v>
      </c>
      <c r="AG38" s="507">
        <f t="shared" si="40"/>
        <v>0</v>
      </c>
      <c r="AH38" s="508">
        <f t="shared" si="41"/>
        <v>0</v>
      </c>
      <c r="AI38" s="508">
        <f t="shared" si="42"/>
        <v>0</v>
      </c>
      <c r="AJ38" s="516"/>
      <c r="AK38" s="519"/>
      <c r="AL38" s="506">
        <f t="shared" si="43"/>
        <v>0</v>
      </c>
      <c r="AM38" s="509">
        <f t="shared" si="44"/>
        <v>0</v>
      </c>
      <c r="AN38" s="518"/>
      <c r="AO38" s="520"/>
      <c r="AP38" s="516"/>
      <c r="AQ38" s="520"/>
      <c r="AR38" s="516"/>
      <c r="AS38" s="520"/>
      <c r="AT38" s="516"/>
      <c r="AU38" s="520"/>
      <c r="AV38" s="506">
        <f t="shared" si="45"/>
        <v>0</v>
      </c>
      <c r="AW38" s="511">
        <f t="shared" si="46"/>
        <v>0</v>
      </c>
      <c r="AX38" s="508">
        <f t="shared" si="47"/>
        <v>0</v>
      </c>
      <c r="AY38" s="512">
        <f t="shared" si="48"/>
        <v>0</v>
      </c>
      <c r="AZ38" s="513">
        <f t="shared" si="49"/>
        <v>2028.2333333333333</v>
      </c>
      <c r="BA38" s="508">
        <f t="shared" si="50"/>
        <v>1699.8666666666666</v>
      </c>
    </row>
    <row r="39" spans="1:53">
      <c r="A39" s="522" t="s">
        <v>281</v>
      </c>
      <c r="B39" s="523" t="s">
        <v>314</v>
      </c>
      <c r="C39" s="532"/>
      <c r="D39" s="536">
        <v>101499</v>
      </c>
      <c r="E39" s="536">
        <v>10</v>
      </c>
      <c r="F39" s="514" t="s">
        <v>41</v>
      </c>
      <c r="G39" s="515"/>
      <c r="H39" s="516"/>
      <c r="I39" s="519"/>
      <c r="J39" s="516">
        <v>13054</v>
      </c>
      <c r="K39" s="519">
        <v>11575</v>
      </c>
      <c r="L39" s="516">
        <v>6189</v>
      </c>
      <c r="M39" s="519">
        <v>4902</v>
      </c>
      <c r="N39" s="516">
        <v>13058</v>
      </c>
      <c r="O39" s="519">
        <v>11707</v>
      </c>
      <c r="P39" s="506">
        <f t="shared" si="33"/>
        <v>32301</v>
      </c>
      <c r="Q39" s="507">
        <f t="shared" si="34"/>
        <v>1076.7</v>
      </c>
      <c r="R39" s="508">
        <f t="shared" si="35"/>
        <v>28184</v>
      </c>
      <c r="S39" s="509">
        <f t="shared" si="36"/>
        <v>939.4666666666667</v>
      </c>
      <c r="T39" s="516">
        <v>335</v>
      </c>
      <c r="U39" s="519">
        <v>328</v>
      </c>
      <c r="V39" s="506">
        <f t="shared" si="37"/>
        <v>32301</v>
      </c>
      <c r="W39" s="510">
        <f t="shared" si="38"/>
        <v>28184</v>
      </c>
      <c r="X39" s="517"/>
      <c r="Y39" s="519"/>
      <c r="Z39" s="516"/>
      <c r="AA39" s="519"/>
      <c r="AB39" s="516"/>
      <c r="AC39" s="519"/>
      <c r="AD39" s="516"/>
      <c r="AE39" s="519"/>
      <c r="AF39" s="506">
        <f t="shared" si="39"/>
        <v>0</v>
      </c>
      <c r="AG39" s="507">
        <f t="shared" si="40"/>
        <v>0</v>
      </c>
      <c r="AH39" s="508">
        <f t="shared" si="41"/>
        <v>0</v>
      </c>
      <c r="AI39" s="508">
        <f t="shared" si="42"/>
        <v>0</v>
      </c>
      <c r="AJ39" s="516"/>
      <c r="AK39" s="519"/>
      <c r="AL39" s="506">
        <f t="shared" si="43"/>
        <v>0</v>
      </c>
      <c r="AM39" s="509">
        <f t="shared" si="44"/>
        <v>0</v>
      </c>
      <c r="AN39" s="518"/>
      <c r="AO39" s="520"/>
      <c r="AP39" s="516"/>
      <c r="AQ39" s="520"/>
      <c r="AR39" s="516"/>
      <c r="AS39" s="520"/>
      <c r="AT39" s="516"/>
      <c r="AU39" s="520"/>
      <c r="AV39" s="506">
        <f t="shared" si="45"/>
        <v>0</v>
      </c>
      <c r="AW39" s="511">
        <f t="shared" si="46"/>
        <v>0</v>
      </c>
      <c r="AX39" s="508">
        <f t="shared" si="47"/>
        <v>0</v>
      </c>
      <c r="AY39" s="512">
        <f t="shared" si="48"/>
        <v>0</v>
      </c>
      <c r="AZ39" s="513">
        <f t="shared" si="49"/>
        <v>1076.7</v>
      </c>
      <c r="BA39" s="508">
        <f t="shared" si="50"/>
        <v>939.4666666666667</v>
      </c>
    </row>
    <row r="40" spans="1:53">
      <c r="A40" s="522" t="s">
        <v>281</v>
      </c>
      <c r="B40" s="523" t="s">
        <v>315</v>
      </c>
      <c r="C40" s="532"/>
      <c r="D40" s="536">
        <v>101602</v>
      </c>
      <c r="E40" s="536">
        <v>10</v>
      </c>
      <c r="F40" s="514" t="s">
        <v>41</v>
      </c>
      <c r="G40" s="515"/>
      <c r="H40" s="516"/>
      <c r="I40" s="519"/>
      <c r="J40" s="516">
        <v>18987</v>
      </c>
      <c r="K40" s="519">
        <v>16461</v>
      </c>
      <c r="L40" s="516">
        <v>9795</v>
      </c>
      <c r="M40" s="519">
        <v>7584</v>
      </c>
      <c r="N40" s="516">
        <v>18627</v>
      </c>
      <c r="O40" s="519">
        <v>17522</v>
      </c>
      <c r="P40" s="506">
        <f t="shared" si="33"/>
        <v>47409</v>
      </c>
      <c r="Q40" s="507">
        <f t="shared" si="34"/>
        <v>1580.3</v>
      </c>
      <c r="R40" s="508">
        <f t="shared" si="35"/>
        <v>41567</v>
      </c>
      <c r="S40" s="509">
        <f t="shared" si="36"/>
        <v>1385.5666666666666</v>
      </c>
      <c r="T40" s="516">
        <v>1806</v>
      </c>
      <c r="U40" s="519">
        <v>1870</v>
      </c>
      <c r="V40" s="506">
        <f t="shared" si="37"/>
        <v>47409</v>
      </c>
      <c r="W40" s="510">
        <f t="shared" si="38"/>
        <v>41567</v>
      </c>
      <c r="X40" s="517"/>
      <c r="Y40" s="519"/>
      <c r="Z40" s="516"/>
      <c r="AA40" s="519"/>
      <c r="AB40" s="516"/>
      <c r="AC40" s="519"/>
      <c r="AD40" s="516"/>
      <c r="AE40" s="519"/>
      <c r="AF40" s="506">
        <f t="shared" si="39"/>
        <v>0</v>
      </c>
      <c r="AG40" s="507">
        <f t="shared" si="40"/>
        <v>0</v>
      </c>
      <c r="AH40" s="508">
        <f t="shared" si="41"/>
        <v>0</v>
      </c>
      <c r="AI40" s="508">
        <f t="shared" si="42"/>
        <v>0</v>
      </c>
      <c r="AJ40" s="516"/>
      <c r="AK40" s="519"/>
      <c r="AL40" s="506">
        <f t="shared" si="43"/>
        <v>0</v>
      </c>
      <c r="AM40" s="509">
        <f t="shared" si="44"/>
        <v>0</v>
      </c>
      <c r="AN40" s="518"/>
      <c r="AO40" s="520"/>
      <c r="AP40" s="516"/>
      <c r="AQ40" s="520"/>
      <c r="AR40" s="516"/>
      <c r="AS40" s="520"/>
      <c r="AT40" s="516"/>
      <c r="AU40" s="520"/>
      <c r="AV40" s="506">
        <f t="shared" si="45"/>
        <v>0</v>
      </c>
      <c r="AW40" s="511">
        <f t="shared" si="46"/>
        <v>0</v>
      </c>
      <c r="AX40" s="508">
        <f t="shared" si="47"/>
        <v>0</v>
      </c>
      <c r="AY40" s="512">
        <f t="shared" si="48"/>
        <v>0</v>
      </c>
      <c r="AZ40" s="513">
        <f t="shared" si="49"/>
        <v>1580.3</v>
      </c>
      <c r="BA40" s="508">
        <f t="shared" si="50"/>
        <v>1385.5666666666666</v>
      </c>
    </row>
    <row r="41" spans="1:53">
      <c r="A41" s="522" t="s">
        <v>281</v>
      </c>
      <c r="B41" s="526" t="s">
        <v>316</v>
      </c>
      <c r="C41" s="532" t="s">
        <v>321</v>
      </c>
      <c r="D41" s="536">
        <v>102076</v>
      </c>
      <c r="E41" s="536">
        <v>10</v>
      </c>
      <c r="F41" s="514" t="s">
        <v>41</v>
      </c>
      <c r="G41" s="515"/>
      <c r="H41" s="516"/>
      <c r="I41" s="519"/>
      <c r="J41" s="516">
        <v>24519</v>
      </c>
      <c r="K41" s="519">
        <v>23965</v>
      </c>
      <c r="L41" s="516">
        <v>9191</v>
      </c>
      <c r="M41" s="519">
        <v>8221</v>
      </c>
      <c r="N41" s="516">
        <v>26027</v>
      </c>
      <c r="O41" s="519">
        <v>27919</v>
      </c>
      <c r="P41" s="506">
        <f t="shared" si="33"/>
        <v>59737</v>
      </c>
      <c r="Q41" s="507">
        <f t="shared" si="34"/>
        <v>1991.2333333333333</v>
      </c>
      <c r="R41" s="508">
        <f t="shared" si="35"/>
        <v>60105</v>
      </c>
      <c r="S41" s="509">
        <f t="shared" si="36"/>
        <v>2003.5</v>
      </c>
      <c r="T41" s="516">
        <v>1619</v>
      </c>
      <c r="U41" s="519">
        <v>1432</v>
      </c>
      <c r="V41" s="506">
        <f t="shared" si="37"/>
        <v>59737</v>
      </c>
      <c r="W41" s="510">
        <f t="shared" si="38"/>
        <v>60105</v>
      </c>
      <c r="X41" s="517"/>
      <c r="Y41" s="519"/>
      <c r="Z41" s="516"/>
      <c r="AA41" s="519"/>
      <c r="AB41" s="516"/>
      <c r="AC41" s="519"/>
      <c r="AD41" s="516"/>
      <c r="AE41" s="519"/>
      <c r="AF41" s="506">
        <f t="shared" si="39"/>
        <v>0</v>
      </c>
      <c r="AG41" s="507">
        <f t="shared" si="40"/>
        <v>0</v>
      </c>
      <c r="AH41" s="508">
        <f t="shared" si="41"/>
        <v>0</v>
      </c>
      <c r="AI41" s="508">
        <f t="shared" si="42"/>
        <v>0</v>
      </c>
      <c r="AJ41" s="516"/>
      <c r="AK41" s="519"/>
      <c r="AL41" s="506">
        <f t="shared" si="43"/>
        <v>0</v>
      </c>
      <c r="AM41" s="509">
        <f t="shared" si="44"/>
        <v>0</v>
      </c>
      <c r="AN41" s="518"/>
      <c r="AO41" s="520"/>
      <c r="AP41" s="516"/>
      <c r="AQ41" s="520"/>
      <c r="AR41" s="516"/>
      <c r="AS41" s="520"/>
      <c r="AT41" s="516"/>
      <c r="AU41" s="520"/>
      <c r="AV41" s="506">
        <f t="shared" si="45"/>
        <v>0</v>
      </c>
      <c r="AW41" s="511">
        <f t="shared" si="46"/>
        <v>0</v>
      </c>
      <c r="AX41" s="508">
        <f t="shared" si="47"/>
        <v>0</v>
      </c>
      <c r="AY41" s="512">
        <f t="shared" si="48"/>
        <v>0</v>
      </c>
      <c r="AZ41" s="513">
        <f t="shared" si="49"/>
        <v>1991.2333333333333</v>
      </c>
      <c r="BA41" s="508">
        <f t="shared" si="50"/>
        <v>2003.5</v>
      </c>
    </row>
    <row r="42" spans="1:53">
      <c r="A42" s="522" t="s">
        <v>281</v>
      </c>
      <c r="B42" s="523" t="s">
        <v>317</v>
      </c>
      <c r="C42" s="533"/>
      <c r="D42" s="536">
        <v>102313</v>
      </c>
      <c r="E42" s="536">
        <v>12</v>
      </c>
      <c r="F42" s="514" t="s">
        <v>41</v>
      </c>
      <c r="G42" s="515"/>
      <c r="H42" s="516"/>
      <c r="I42" s="519"/>
      <c r="J42" s="516">
        <v>18967</v>
      </c>
      <c r="K42" s="519">
        <v>17016</v>
      </c>
      <c r="L42" s="516">
        <v>12725</v>
      </c>
      <c r="M42" s="519">
        <v>8628</v>
      </c>
      <c r="N42" s="516">
        <v>17810</v>
      </c>
      <c r="O42" s="519">
        <v>14834</v>
      </c>
      <c r="P42" s="506">
        <f t="shared" si="33"/>
        <v>49502</v>
      </c>
      <c r="Q42" s="507">
        <f t="shared" si="34"/>
        <v>1650.0666666666666</v>
      </c>
      <c r="R42" s="508">
        <f t="shared" si="35"/>
        <v>40478</v>
      </c>
      <c r="S42" s="509">
        <f t="shared" si="36"/>
        <v>1349.2666666666667</v>
      </c>
      <c r="T42" s="516">
        <v>93</v>
      </c>
      <c r="U42" s="519">
        <v>210</v>
      </c>
      <c r="V42" s="506">
        <f t="shared" si="37"/>
        <v>49502</v>
      </c>
      <c r="W42" s="510">
        <f t="shared" si="38"/>
        <v>40478</v>
      </c>
      <c r="X42" s="517"/>
      <c r="Y42" s="519"/>
      <c r="Z42" s="516"/>
      <c r="AA42" s="519"/>
      <c r="AB42" s="516"/>
      <c r="AC42" s="519"/>
      <c r="AD42" s="516"/>
      <c r="AE42" s="519"/>
      <c r="AF42" s="506">
        <f t="shared" si="39"/>
        <v>0</v>
      </c>
      <c r="AG42" s="507">
        <f t="shared" si="40"/>
        <v>0</v>
      </c>
      <c r="AH42" s="508">
        <f t="shared" si="41"/>
        <v>0</v>
      </c>
      <c r="AI42" s="508">
        <f t="shared" si="42"/>
        <v>0</v>
      </c>
      <c r="AJ42" s="516"/>
      <c r="AK42" s="519"/>
      <c r="AL42" s="506">
        <f t="shared" si="43"/>
        <v>0</v>
      </c>
      <c r="AM42" s="509">
        <f t="shared" si="44"/>
        <v>0</v>
      </c>
      <c r="AN42" s="518"/>
      <c r="AO42" s="520"/>
      <c r="AP42" s="516"/>
      <c r="AQ42" s="520"/>
      <c r="AR42" s="516"/>
      <c r="AS42" s="520"/>
      <c r="AT42" s="516"/>
      <c r="AU42" s="520"/>
      <c r="AV42" s="506">
        <f t="shared" si="45"/>
        <v>0</v>
      </c>
      <c r="AW42" s="511">
        <f t="shared" si="46"/>
        <v>0</v>
      </c>
      <c r="AX42" s="508">
        <f t="shared" si="47"/>
        <v>0</v>
      </c>
      <c r="AY42" s="512">
        <f t="shared" si="48"/>
        <v>0</v>
      </c>
      <c r="AZ42" s="513">
        <f t="shared" si="49"/>
        <v>1650.0666666666666</v>
      </c>
      <c r="BA42" s="508">
        <f t="shared" si="50"/>
        <v>1349.2666666666667</v>
      </c>
    </row>
    <row r="43" spans="1:53">
      <c r="A43" s="522" t="s">
        <v>281</v>
      </c>
      <c r="B43" s="526" t="s">
        <v>318</v>
      </c>
      <c r="C43" s="532"/>
      <c r="D43" s="536">
        <v>101462</v>
      </c>
      <c r="E43" s="536">
        <v>13</v>
      </c>
      <c r="F43" s="514" t="s">
        <v>41</v>
      </c>
      <c r="G43" s="515"/>
      <c r="H43" s="516"/>
      <c r="I43" s="519"/>
      <c r="J43" s="516">
        <v>12358</v>
      </c>
      <c r="K43" s="519">
        <v>11982</v>
      </c>
      <c r="L43" s="516">
        <v>7822</v>
      </c>
      <c r="M43" s="519">
        <v>5837</v>
      </c>
      <c r="N43" s="516">
        <v>11966</v>
      </c>
      <c r="O43" s="519">
        <v>11230</v>
      </c>
      <c r="P43" s="506">
        <f t="shared" si="33"/>
        <v>32146</v>
      </c>
      <c r="Q43" s="507">
        <f t="shared" si="34"/>
        <v>1071.5333333333333</v>
      </c>
      <c r="R43" s="508">
        <f t="shared" si="35"/>
        <v>29049</v>
      </c>
      <c r="S43" s="509">
        <f t="shared" si="36"/>
        <v>968.3</v>
      </c>
      <c r="T43" s="516">
        <v>494</v>
      </c>
      <c r="U43" s="519">
        <v>2649</v>
      </c>
      <c r="V43" s="506">
        <f t="shared" si="37"/>
        <v>32146</v>
      </c>
      <c r="W43" s="510">
        <f t="shared" si="38"/>
        <v>29049</v>
      </c>
      <c r="X43" s="517"/>
      <c r="Y43" s="519"/>
      <c r="Z43" s="516"/>
      <c r="AA43" s="519"/>
      <c r="AB43" s="516"/>
      <c r="AC43" s="519"/>
      <c r="AD43" s="516"/>
      <c r="AE43" s="519"/>
      <c r="AF43" s="506">
        <f t="shared" si="39"/>
        <v>0</v>
      </c>
      <c r="AG43" s="507">
        <f t="shared" si="40"/>
        <v>0</v>
      </c>
      <c r="AH43" s="508">
        <f t="shared" si="41"/>
        <v>0</v>
      </c>
      <c r="AI43" s="508">
        <f t="shared" si="42"/>
        <v>0</v>
      </c>
      <c r="AJ43" s="516"/>
      <c r="AK43" s="519"/>
      <c r="AL43" s="506">
        <f t="shared" si="43"/>
        <v>0</v>
      </c>
      <c r="AM43" s="509">
        <f t="shared" si="44"/>
        <v>0</v>
      </c>
      <c r="AN43" s="518"/>
      <c r="AO43" s="520"/>
      <c r="AP43" s="516"/>
      <c r="AQ43" s="520"/>
      <c r="AR43" s="516"/>
      <c r="AS43" s="520"/>
      <c r="AT43" s="516"/>
      <c r="AU43" s="520"/>
      <c r="AV43" s="506">
        <f t="shared" si="45"/>
        <v>0</v>
      </c>
      <c r="AW43" s="511">
        <f t="shared" si="46"/>
        <v>0</v>
      </c>
      <c r="AX43" s="508">
        <f t="shared" si="47"/>
        <v>0</v>
      </c>
      <c r="AY43" s="512">
        <f t="shared" si="48"/>
        <v>0</v>
      </c>
      <c r="AZ43" s="513">
        <f t="shared" si="49"/>
        <v>1071.5333333333333</v>
      </c>
      <c r="BA43" s="508">
        <f t="shared" si="50"/>
        <v>968.3</v>
      </c>
    </row>
    <row r="44" spans="1:53">
      <c r="A44" s="522" t="s">
        <v>281</v>
      </c>
      <c r="B44" s="523" t="s">
        <v>319</v>
      </c>
      <c r="C44" s="532"/>
      <c r="D44" s="522">
        <v>101471</v>
      </c>
      <c r="E44" s="536">
        <v>13</v>
      </c>
      <c r="F44" s="514" t="s">
        <v>41</v>
      </c>
      <c r="G44" s="515"/>
      <c r="H44" s="516"/>
      <c r="I44" s="519"/>
      <c r="J44" s="516">
        <v>6793</v>
      </c>
      <c r="K44" s="519">
        <v>6532</v>
      </c>
      <c r="L44" s="516">
        <v>6510</v>
      </c>
      <c r="M44" s="519">
        <v>6591</v>
      </c>
      <c r="N44" s="516">
        <v>6833</v>
      </c>
      <c r="O44" s="519">
        <v>5330</v>
      </c>
      <c r="P44" s="506">
        <f t="shared" si="33"/>
        <v>20136</v>
      </c>
      <c r="Q44" s="507">
        <f t="shared" si="34"/>
        <v>671.2</v>
      </c>
      <c r="R44" s="508">
        <f t="shared" si="35"/>
        <v>18453</v>
      </c>
      <c r="S44" s="509">
        <f t="shared" si="36"/>
        <v>615.1</v>
      </c>
      <c r="T44" s="516">
        <v>0</v>
      </c>
      <c r="U44" s="519">
        <v>18</v>
      </c>
      <c r="V44" s="506">
        <f t="shared" si="37"/>
        <v>20136</v>
      </c>
      <c r="W44" s="510">
        <f t="shared" si="38"/>
        <v>18453</v>
      </c>
      <c r="X44" s="517"/>
      <c r="Y44" s="519"/>
      <c r="Z44" s="516"/>
      <c r="AA44" s="519"/>
      <c r="AB44" s="516"/>
      <c r="AC44" s="519"/>
      <c r="AD44" s="516"/>
      <c r="AE44" s="519"/>
      <c r="AF44" s="506">
        <f t="shared" si="39"/>
        <v>0</v>
      </c>
      <c r="AG44" s="507">
        <f t="shared" si="40"/>
        <v>0</v>
      </c>
      <c r="AH44" s="508">
        <f t="shared" si="41"/>
        <v>0</v>
      </c>
      <c r="AI44" s="508">
        <f t="shared" si="42"/>
        <v>0</v>
      </c>
      <c r="AJ44" s="516"/>
      <c r="AK44" s="519"/>
      <c r="AL44" s="506">
        <f t="shared" si="43"/>
        <v>0</v>
      </c>
      <c r="AM44" s="509">
        <f t="shared" si="44"/>
        <v>0</v>
      </c>
      <c r="AN44" s="518"/>
      <c r="AO44" s="520"/>
      <c r="AP44" s="516"/>
      <c r="AQ44" s="520"/>
      <c r="AR44" s="516"/>
      <c r="AS44" s="520"/>
      <c r="AT44" s="516"/>
      <c r="AU44" s="520"/>
      <c r="AV44" s="506">
        <f t="shared" si="45"/>
        <v>0</v>
      </c>
      <c r="AW44" s="511">
        <f t="shared" si="46"/>
        <v>0</v>
      </c>
      <c r="AX44" s="508">
        <f t="shared" si="47"/>
        <v>0</v>
      </c>
      <c r="AY44" s="512">
        <f t="shared" si="48"/>
        <v>0</v>
      </c>
      <c r="AZ44" s="513">
        <f t="shared" si="49"/>
        <v>671.2</v>
      </c>
      <c r="BA44" s="508">
        <f t="shared" si="50"/>
        <v>615.1</v>
      </c>
    </row>
    <row r="45" spans="1:53">
      <c r="A45" s="522" t="s">
        <v>281</v>
      </c>
      <c r="B45" s="523" t="s">
        <v>320</v>
      </c>
      <c r="C45" s="532"/>
      <c r="D45" s="522">
        <v>101994</v>
      </c>
      <c r="E45" s="536">
        <v>13</v>
      </c>
      <c r="F45" s="514" t="s">
        <v>41</v>
      </c>
      <c r="G45" s="515"/>
      <c r="H45" s="516"/>
      <c r="I45" s="519"/>
      <c r="J45" s="516">
        <v>8016</v>
      </c>
      <c r="K45" s="519">
        <v>6330</v>
      </c>
      <c r="L45" s="516">
        <v>5670</v>
      </c>
      <c r="M45" s="519">
        <v>3648</v>
      </c>
      <c r="N45" s="516">
        <v>8087</v>
      </c>
      <c r="O45" s="519">
        <v>5584</v>
      </c>
      <c r="P45" s="506">
        <f t="shared" si="33"/>
        <v>21773</v>
      </c>
      <c r="Q45" s="507">
        <f t="shared" si="34"/>
        <v>725.76666666666665</v>
      </c>
      <c r="R45" s="508">
        <f t="shared" si="35"/>
        <v>15562</v>
      </c>
      <c r="S45" s="509">
        <f t="shared" si="36"/>
        <v>518.73333333333335</v>
      </c>
      <c r="T45" s="516">
        <v>1072</v>
      </c>
      <c r="U45" s="519">
        <v>704</v>
      </c>
      <c r="V45" s="506">
        <f t="shared" si="37"/>
        <v>21773</v>
      </c>
      <c r="W45" s="510">
        <f t="shared" si="38"/>
        <v>15562</v>
      </c>
      <c r="X45" s="517"/>
      <c r="Y45" s="519"/>
      <c r="Z45" s="516"/>
      <c r="AA45" s="519"/>
      <c r="AB45" s="516"/>
      <c r="AC45" s="519"/>
      <c r="AD45" s="516"/>
      <c r="AE45" s="519"/>
      <c r="AF45" s="506">
        <f t="shared" si="39"/>
        <v>0</v>
      </c>
      <c r="AG45" s="507">
        <f t="shared" si="40"/>
        <v>0</v>
      </c>
      <c r="AH45" s="508">
        <f t="shared" si="41"/>
        <v>0</v>
      </c>
      <c r="AI45" s="508">
        <f t="shared" si="42"/>
        <v>0</v>
      </c>
      <c r="AJ45" s="516"/>
      <c r="AK45" s="519"/>
      <c r="AL45" s="506">
        <f t="shared" si="43"/>
        <v>0</v>
      </c>
      <c r="AM45" s="509">
        <f t="shared" si="44"/>
        <v>0</v>
      </c>
      <c r="AN45" s="518"/>
      <c r="AO45" s="520"/>
      <c r="AP45" s="516"/>
      <c r="AQ45" s="520"/>
      <c r="AR45" s="516"/>
      <c r="AS45" s="520"/>
      <c r="AT45" s="516"/>
      <c r="AU45" s="520"/>
      <c r="AV45" s="506">
        <f t="shared" si="45"/>
        <v>0</v>
      </c>
      <c r="AW45" s="511">
        <f t="shared" si="46"/>
        <v>0</v>
      </c>
      <c r="AX45" s="508">
        <f t="shared" si="47"/>
        <v>0</v>
      </c>
      <c r="AY45" s="512">
        <f t="shared" si="48"/>
        <v>0</v>
      </c>
      <c r="AZ45" s="513">
        <f t="shared" si="49"/>
        <v>725.76666666666665</v>
      </c>
      <c r="BA45" s="508">
        <f t="shared" si="50"/>
        <v>518.73333333333335</v>
      </c>
    </row>
    <row r="46" spans="1:53">
      <c r="A46" s="521" t="s">
        <v>704</v>
      </c>
      <c r="B46" s="505" t="s">
        <v>705</v>
      </c>
      <c r="C46" s="692"/>
      <c r="D46" s="521">
        <v>106397</v>
      </c>
      <c r="E46" s="544">
        <v>1</v>
      </c>
      <c r="F46" s="514" t="s">
        <v>41</v>
      </c>
      <c r="G46" s="515"/>
      <c r="H46" s="516"/>
      <c r="I46" s="519"/>
      <c r="J46" s="516">
        <v>223699</v>
      </c>
      <c r="K46" s="519">
        <v>246316</v>
      </c>
      <c r="L46" s="516">
        <v>40511</v>
      </c>
      <c r="M46" s="519">
        <v>42076</v>
      </c>
      <c r="N46" s="516">
        <v>261683</v>
      </c>
      <c r="O46" s="519">
        <v>281242</v>
      </c>
      <c r="P46" s="506">
        <f t="shared" si="33"/>
        <v>525893</v>
      </c>
      <c r="Q46" s="507">
        <f t="shared" si="34"/>
        <v>17529.766666666666</v>
      </c>
      <c r="R46" s="508">
        <f t="shared" si="35"/>
        <v>569634</v>
      </c>
      <c r="S46" s="509">
        <f t="shared" si="36"/>
        <v>18987.8</v>
      </c>
      <c r="T46" s="516">
        <v>98</v>
      </c>
      <c r="U46" s="519">
        <v>129</v>
      </c>
      <c r="V46" s="506">
        <f t="shared" si="37"/>
        <v>525893</v>
      </c>
      <c r="W46" s="510">
        <f t="shared" si="38"/>
        <v>569634</v>
      </c>
      <c r="X46" s="517"/>
      <c r="Y46" s="519"/>
      <c r="Z46" s="516"/>
      <c r="AA46" s="519"/>
      <c r="AB46" s="516"/>
      <c r="AC46" s="519"/>
      <c r="AD46" s="516"/>
      <c r="AE46" s="519"/>
      <c r="AF46" s="506">
        <f t="shared" si="39"/>
        <v>0</v>
      </c>
      <c r="AG46" s="507">
        <f t="shared" si="40"/>
        <v>0</v>
      </c>
      <c r="AH46" s="508">
        <f t="shared" si="41"/>
        <v>0</v>
      </c>
      <c r="AI46" s="508">
        <f t="shared" si="42"/>
        <v>0</v>
      </c>
      <c r="AJ46" s="516"/>
      <c r="AK46" s="519"/>
      <c r="AL46" s="506">
        <f t="shared" si="43"/>
        <v>0</v>
      </c>
      <c r="AM46" s="509">
        <f t="shared" si="44"/>
        <v>0</v>
      </c>
      <c r="AN46" s="518"/>
      <c r="AO46" s="520"/>
      <c r="AP46" s="516">
        <v>33004</v>
      </c>
      <c r="AQ46" s="520">
        <v>32580</v>
      </c>
      <c r="AR46" s="516">
        <v>11213</v>
      </c>
      <c r="AS46" s="520">
        <v>11596</v>
      </c>
      <c r="AT46" s="516">
        <v>32966</v>
      </c>
      <c r="AU46" s="520">
        <v>33033</v>
      </c>
      <c r="AV46" s="506">
        <f t="shared" si="45"/>
        <v>77183</v>
      </c>
      <c r="AW46" s="511">
        <f t="shared" si="46"/>
        <v>3215.9583333333335</v>
      </c>
      <c r="AX46" s="508">
        <f t="shared" si="47"/>
        <v>77209</v>
      </c>
      <c r="AY46" s="512">
        <f t="shared" si="48"/>
        <v>3217.0416666666665</v>
      </c>
      <c r="AZ46" s="513">
        <f t="shared" si="49"/>
        <v>20745.724999999999</v>
      </c>
      <c r="BA46" s="508">
        <f t="shared" si="50"/>
        <v>22204.841666666667</v>
      </c>
    </row>
    <row r="47" spans="1:53">
      <c r="A47" s="521" t="s">
        <v>704</v>
      </c>
      <c r="B47" s="505" t="s">
        <v>706</v>
      </c>
      <c r="C47" s="692"/>
      <c r="D47" s="521">
        <v>106458</v>
      </c>
      <c r="E47" s="544">
        <v>3</v>
      </c>
      <c r="F47" s="514" t="s">
        <v>41</v>
      </c>
      <c r="G47" s="515"/>
      <c r="H47" s="516"/>
      <c r="I47" s="519"/>
      <c r="J47" s="516">
        <v>121311</v>
      </c>
      <c r="K47" s="519">
        <v>122334</v>
      </c>
      <c r="L47" s="516">
        <v>24842</v>
      </c>
      <c r="M47" s="519">
        <v>23610</v>
      </c>
      <c r="N47" s="516">
        <v>130144</v>
      </c>
      <c r="O47" s="519">
        <v>131785</v>
      </c>
      <c r="P47" s="506">
        <f t="shared" si="33"/>
        <v>276297</v>
      </c>
      <c r="Q47" s="507">
        <f t="shared" si="34"/>
        <v>9209.9</v>
      </c>
      <c r="R47" s="508">
        <f t="shared" si="35"/>
        <v>277729</v>
      </c>
      <c r="S47" s="509">
        <f t="shared" si="36"/>
        <v>9257.6333333333332</v>
      </c>
      <c r="T47" s="516">
        <v>3258</v>
      </c>
      <c r="U47" s="519">
        <v>3670</v>
      </c>
      <c r="V47" s="506">
        <f t="shared" si="37"/>
        <v>276297</v>
      </c>
      <c r="W47" s="510">
        <f t="shared" si="38"/>
        <v>277729</v>
      </c>
      <c r="X47" s="517"/>
      <c r="Y47" s="519"/>
      <c r="Z47" s="516"/>
      <c r="AA47" s="519"/>
      <c r="AB47" s="516"/>
      <c r="AC47" s="519"/>
      <c r="AD47" s="516"/>
      <c r="AE47" s="519"/>
      <c r="AF47" s="506">
        <f t="shared" si="39"/>
        <v>0</v>
      </c>
      <c r="AG47" s="507">
        <f t="shared" si="40"/>
        <v>0</v>
      </c>
      <c r="AH47" s="508">
        <f t="shared" si="41"/>
        <v>0</v>
      </c>
      <c r="AI47" s="508">
        <f t="shared" si="42"/>
        <v>0</v>
      </c>
      <c r="AJ47" s="516"/>
      <c r="AK47" s="519"/>
      <c r="AL47" s="506">
        <f t="shared" si="43"/>
        <v>0</v>
      </c>
      <c r="AM47" s="509">
        <f t="shared" si="44"/>
        <v>0</v>
      </c>
      <c r="AN47" s="518"/>
      <c r="AO47" s="520"/>
      <c r="AP47" s="516">
        <v>32427</v>
      </c>
      <c r="AQ47" s="520">
        <v>30065</v>
      </c>
      <c r="AR47" s="516">
        <v>18831</v>
      </c>
      <c r="AS47" s="520">
        <v>18372</v>
      </c>
      <c r="AT47" s="516">
        <v>31621</v>
      </c>
      <c r="AU47" s="520">
        <v>30058</v>
      </c>
      <c r="AV47" s="506">
        <f t="shared" si="45"/>
        <v>82879</v>
      </c>
      <c r="AW47" s="511">
        <f t="shared" si="46"/>
        <v>3453.2916666666665</v>
      </c>
      <c r="AX47" s="508">
        <f t="shared" si="47"/>
        <v>78495</v>
      </c>
      <c r="AY47" s="512">
        <f t="shared" si="48"/>
        <v>3270.625</v>
      </c>
      <c r="AZ47" s="513">
        <f t="shared" si="49"/>
        <v>12663.191666666666</v>
      </c>
      <c r="BA47" s="508">
        <f t="shared" si="50"/>
        <v>12528.258333333333</v>
      </c>
    </row>
    <row r="48" spans="1:53">
      <c r="A48" s="521" t="s">
        <v>704</v>
      </c>
      <c r="B48" s="693" t="s">
        <v>709</v>
      </c>
      <c r="C48" s="694" t="s">
        <v>737</v>
      </c>
      <c r="D48" s="521">
        <v>106467</v>
      </c>
      <c r="E48" s="530">
        <v>3</v>
      </c>
      <c r="F48" s="514" t="s">
        <v>41</v>
      </c>
      <c r="G48" s="515"/>
      <c r="H48" s="516"/>
      <c r="I48" s="519"/>
      <c r="J48" s="516">
        <v>95372</v>
      </c>
      <c r="K48" s="519">
        <v>98931</v>
      </c>
      <c r="L48" s="516">
        <v>15748</v>
      </c>
      <c r="M48" s="519">
        <v>15630</v>
      </c>
      <c r="N48" s="516">
        <v>106982</v>
      </c>
      <c r="O48" s="519">
        <v>108145</v>
      </c>
      <c r="P48" s="506">
        <f t="shared" si="33"/>
        <v>218102</v>
      </c>
      <c r="Q48" s="507">
        <f t="shared" si="34"/>
        <v>7270.0666666666666</v>
      </c>
      <c r="R48" s="508">
        <f t="shared" si="35"/>
        <v>222706</v>
      </c>
      <c r="S48" s="509">
        <f t="shared" si="36"/>
        <v>7423.5333333333338</v>
      </c>
      <c r="T48" s="516">
        <v>5942</v>
      </c>
      <c r="U48" s="519">
        <v>5994</v>
      </c>
      <c r="V48" s="506">
        <f t="shared" si="37"/>
        <v>218102</v>
      </c>
      <c r="W48" s="510">
        <f t="shared" si="38"/>
        <v>222706</v>
      </c>
      <c r="X48" s="517"/>
      <c r="Y48" s="519"/>
      <c r="Z48" s="516"/>
      <c r="AA48" s="519"/>
      <c r="AB48" s="516"/>
      <c r="AC48" s="519"/>
      <c r="AD48" s="516"/>
      <c r="AE48" s="519"/>
      <c r="AF48" s="506">
        <f t="shared" si="39"/>
        <v>0</v>
      </c>
      <c r="AG48" s="507">
        <f t="shared" si="40"/>
        <v>0</v>
      </c>
      <c r="AH48" s="508">
        <f t="shared" si="41"/>
        <v>0</v>
      </c>
      <c r="AI48" s="508">
        <f t="shared" si="42"/>
        <v>0</v>
      </c>
      <c r="AJ48" s="516"/>
      <c r="AK48" s="519"/>
      <c r="AL48" s="506">
        <f t="shared" si="43"/>
        <v>0</v>
      </c>
      <c r="AM48" s="509">
        <f t="shared" si="44"/>
        <v>0</v>
      </c>
      <c r="AN48" s="518"/>
      <c r="AO48" s="520"/>
      <c r="AP48" s="516">
        <v>4287</v>
      </c>
      <c r="AQ48" s="520">
        <v>4819</v>
      </c>
      <c r="AR48" s="516">
        <v>4221</v>
      </c>
      <c r="AS48" s="520">
        <v>4911</v>
      </c>
      <c r="AT48" s="516">
        <v>4800</v>
      </c>
      <c r="AU48" s="520">
        <v>5179</v>
      </c>
      <c r="AV48" s="506">
        <f t="shared" si="45"/>
        <v>13308</v>
      </c>
      <c r="AW48" s="511">
        <f t="shared" si="46"/>
        <v>554.5</v>
      </c>
      <c r="AX48" s="508">
        <f t="shared" si="47"/>
        <v>14909</v>
      </c>
      <c r="AY48" s="512">
        <f t="shared" si="48"/>
        <v>621.20833333333337</v>
      </c>
      <c r="AZ48" s="513">
        <f t="shared" si="49"/>
        <v>7824.5666666666666</v>
      </c>
      <c r="BA48" s="508">
        <f t="shared" si="50"/>
        <v>8044.7416666666668</v>
      </c>
    </row>
    <row r="49" spans="1:53">
      <c r="A49" s="521" t="s">
        <v>704</v>
      </c>
      <c r="B49" s="505" t="s">
        <v>707</v>
      </c>
      <c r="C49" s="692" t="s">
        <v>359</v>
      </c>
      <c r="D49" s="521">
        <v>106245</v>
      </c>
      <c r="E49" s="544">
        <v>3</v>
      </c>
      <c r="F49" s="514" t="s">
        <v>41</v>
      </c>
      <c r="G49" s="515"/>
      <c r="H49" s="516"/>
      <c r="I49" s="519"/>
      <c r="J49" s="516">
        <v>103304</v>
      </c>
      <c r="K49" s="519">
        <v>104543</v>
      </c>
      <c r="L49" s="516">
        <v>23400</v>
      </c>
      <c r="M49" s="519">
        <v>22237</v>
      </c>
      <c r="N49" s="516">
        <v>110459</v>
      </c>
      <c r="O49" s="519">
        <v>110450</v>
      </c>
      <c r="P49" s="506">
        <f t="shared" si="33"/>
        <v>237163</v>
      </c>
      <c r="Q49" s="507">
        <f t="shared" si="34"/>
        <v>7905.4333333333334</v>
      </c>
      <c r="R49" s="508">
        <f t="shared" si="35"/>
        <v>237230</v>
      </c>
      <c r="S49" s="509">
        <f t="shared" si="36"/>
        <v>7907.666666666667</v>
      </c>
      <c r="T49" s="516">
        <v>12669</v>
      </c>
      <c r="U49" s="519">
        <v>15191</v>
      </c>
      <c r="V49" s="506">
        <f t="shared" si="37"/>
        <v>237163</v>
      </c>
      <c r="W49" s="510">
        <f t="shared" si="38"/>
        <v>237230</v>
      </c>
      <c r="X49" s="517"/>
      <c r="Y49" s="519"/>
      <c r="Z49" s="516"/>
      <c r="AA49" s="519"/>
      <c r="AB49" s="516"/>
      <c r="AC49" s="519"/>
      <c r="AD49" s="516"/>
      <c r="AE49" s="519"/>
      <c r="AF49" s="506">
        <f t="shared" si="39"/>
        <v>0</v>
      </c>
      <c r="AG49" s="507">
        <f t="shared" si="40"/>
        <v>0</v>
      </c>
      <c r="AH49" s="508">
        <f t="shared" si="41"/>
        <v>0</v>
      </c>
      <c r="AI49" s="508">
        <f t="shared" si="42"/>
        <v>0</v>
      </c>
      <c r="AJ49" s="516"/>
      <c r="AK49" s="519"/>
      <c r="AL49" s="506">
        <f t="shared" si="43"/>
        <v>0</v>
      </c>
      <c r="AM49" s="509">
        <f t="shared" si="44"/>
        <v>0</v>
      </c>
      <c r="AN49" s="518"/>
      <c r="AO49" s="520"/>
      <c r="AP49" s="516">
        <v>21406</v>
      </c>
      <c r="AQ49" s="520">
        <v>19512</v>
      </c>
      <c r="AR49" s="516">
        <v>7059</v>
      </c>
      <c r="AS49" s="520">
        <v>6389</v>
      </c>
      <c r="AT49" s="516">
        <v>21847</v>
      </c>
      <c r="AU49" s="520">
        <v>20809</v>
      </c>
      <c r="AV49" s="506">
        <f t="shared" si="45"/>
        <v>50312</v>
      </c>
      <c r="AW49" s="511">
        <f t="shared" si="46"/>
        <v>2096.3333333333335</v>
      </c>
      <c r="AX49" s="508">
        <f t="shared" si="47"/>
        <v>46710</v>
      </c>
      <c r="AY49" s="512">
        <f t="shared" si="48"/>
        <v>1946.25</v>
      </c>
      <c r="AZ49" s="513">
        <f t="shared" si="49"/>
        <v>10001.766666666666</v>
      </c>
      <c r="BA49" s="508">
        <f t="shared" si="50"/>
        <v>9853.9166666666679</v>
      </c>
    </row>
    <row r="50" spans="1:53">
      <c r="A50" s="521" t="s">
        <v>704</v>
      </c>
      <c r="B50" s="505" t="s">
        <v>708</v>
      </c>
      <c r="C50" s="692"/>
      <c r="D50" s="521">
        <v>106704</v>
      </c>
      <c r="E50" s="544">
        <v>3</v>
      </c>
      <c r="F50" s="514" t="s">
        <v>41</v>
      </c>
      <c r="G50" s="515"/>
      <c r="H50" s="516"/>
      <c r="I50" s="519"/>
      <c r="J50" s="516">
        <v>120795</v>
      </c>
      <c r="K50" s="519">
        <v>114123</v>
      </c>
      <c r="L50" s="516">
        <v>19771</v>
      </c>
      <c r="M50" s="519">
        <v>17883</v>
      </c>
      <c r="N50" s="516">
        <v>128853</v>
      </c>
      <c r="O50" s="519">
        <v>129238</v>
      </c>
      <c r="P50" s="506">
        <f t="shared" si="33"/>
        <v>269419</v>
      </c>
      <c r="Q50" s="507">
        <f t="shared" si="34"/>
        <v>8980.6333333333332</v>
      </c>
      <c r="R50" s="508">
        <f t="shared" si="35"/>
        <v>261244</v>
      </c>
      <c r="S50" s="509">
        <f t="shared" si="36"/>
        <v>8708.1333333333332</v>
      </c>
      <c r="T50" s="516">
        <v>3989</v>
      </c>
      <c r="U50" s="519">
        <v>2287</v>
      </c>
      <c r="V50" s="506">
        <f t="shared" si="37"/>
        <v>269419</v>
      </c>
      <c r="W50" s="510">
        <f t="shared" si="38"/>
        <v>261244</v>
      </c>
      <c r="X50" s="517"/>
      <c r="Y50" s="519"/>
      <c r="Z50" s="516"/>
      <c r="AA50" s="519"/>
      <c r="AB50" s="516"/>
      <c r="AC50" s="519"/>
      <c r="AD50" s="516"/>
      <c r="AE50" s="519"/>
      <c r="AF50" s="506">
        <f t="shared" si="39"/>
        <v>0</v>
      </c>
      <c r="AG50" s="507">
        <f t="shared" si="40"/>
        <v>0</v>
      </c>
      <c r="AH50" s="508">
        <f t="shared" si="41"/>
        <v>0</v>
      </c>
      <c r="AI50" s="508">
        <f t="shared" si="42"/>
        <v>0</v>
      </c>
      <c r="AJ50" s="516"/>
      <c r="AK50" s="519"/>
      <c r="AL50" s="506">
        <f t="shared" si="43"/>
        <v>0</v>
      </c>
      <c r="AM50" s="509">
        <f t="shared" si="44"/>
        <v>0</v>
      </c>
      <c r="AN50" s="518"/>
      <c r="AO50" s="520"/>
      <c r="AP50" s="516">
        <v>12640</v>
      </c>
      <c r="AQ50" s="520">
        <v>12195</v>
      </c>
      <c r="AR50" s="516">
        <v>8081</v>
      </c>
      <c r="AS50" s="520">
        <v>7867</v>
      </c>
      <c r="AT50" s="516">
        <v>12286</v>
      </c>
      <c r="AU50" s="520">
        <v>11968</v>
      </c>
      <c r="AV50" s="506">
        <f t="shared" si="45"/>
        <v>33007</v>
      </c>
      <c r="AW50" s="511">
        <f t="shared" si="46"/>
        <v>1375.2916666666667</v>
      </c>
      <c r="AX50" s="508">
        <f t="shared" si="47"/>
        <v>32030</v>
      </c>
      <c r="AY50" s="512">
        <f t="shared" si="48"/>
        <v>1334.5833333333333</v>
      </c>
      <c r="AZ50" s="513">
        <f t="shared" si="49"/>
        <v>10355.924999999999</v>
      </c>
      <c r="BA50" s="508">
        <f t="shared" si="50"/>
        <v>10042.716666666667</v>
      </c>
    </row>
    <row r="51" spans="1:53">
      <c r="A51" s="521" t="s">
        <v>704</v>
      </c>
      <c r="B51" s="505" t="s">
        <v>710</v>
      </c>
      <c r="C51" s="692"/>
      <c r="D51" s="521">
        <v>107071</v>
      </c>
      <c r="E51" s="544">
        <v>4</v>
      </c>
      <c r="F51" s="514" t="s">
        <v>41</v>
      </c>
      <c r="G51" s="515"/>
      <c r="H51" s="516"/>
      <c r="I51" s="519"/>
      <c r="J51" s="516">
        <v>43590</v>
      </c>
      <c r="K51" s="519">
        <v>43169</v>
      </c>
      <c r="L51" s="516">
        <v>7129</v>
      </c>
      <c r="M51" s="519">
        <v>5624</v>
      </c>
      <c r="N51" s="516">
        <v>47323</v>
      </c>
      <c r="O51" s="519">
        <v>47196</v>
      </c>
      <c r="P51" s="506">
        <f t="shared" si="33"/>
        <v>98042</v>
      </c>
      <c r="Q51" s="507">
        <f t="shared" si="34"/>
        <v>3268.0666666666666</v>
      </c>
      <c r="R51" s="508">
        <f t="shared" si="35"/>
        <v>95989</v>
      </c>
      <c r="S51" s="509">
        <f t="shared" si="36"/>
        <v>3199.6333333333332</v>
      </c>
      <c r="T51" s="516">
        <v>30</v>
      </c>
      <c r="U51" s="519">
        <v>35</v>
      </c>
      <c r="V51" s="506">
        <f t="shared" si="37"/>
        <v>98042</v>
      </c>
      <c r="W51" s="510">
        <f t="shared" si="38"/>
        <v>95989</v>
      </c>
      <c r="X51" s="517"/>
      <c r="Y51" s="519"/>
      <c r="Z51" s="516"/>
      <c r="AA51" s="519"/>
      <c r="AB51" s="516"/>
      <c r="AC51" s="519"/>
      <c r="AD51" s="516"/>
      <c r="AE51" s="519"/>
      <c r="AF51" s="506">
        <f t="shared" si="39"/>
        <v>0</v>
      </c>
      <c r="AG51" s="507">
        <f t="shared" si="40"/>
        <v>0</v>
      </c>
      <c r="AH51" s="508">
        <f t="shared" si="41"/>
        <v>0</v>
      </c>
      <c r="AI51" s="508">
        <f t="shared" si="42"/>
        <v>0</v>
      </c>
      <c r="AJ51" s="516"/>
      <c r="AK51" s="519"/>
      <c r="AL51" s="506">
        <f t="shared" si="43"/>
        <v>0</v>
      </c>
      <c r="AM51" s="509">
        <f t="shared" si="44"/>
        <v>0</v>
      </c>
      <c r="AN51" s="518"/>
      <c r="AO51" s="520"/>
      <c r="AP51" s="516">
        <v>2408</v>
      </c>
      <c r="AQ51" s="520">
        <v>2586</v>
      </c>
      <c r="AR51" s="516">
        <v>3238</v>
      </c>
      <c r="AS51" s="520">
        <v>3120</v>
      </c>
      <c r="AT51" s="516">
        <v>2334</v>
      </c>
      <c r="AU51" s="520">
        <v>2498</v>
      </c>
      <c r="AV51" s="506">
        <f t="shared" si="45"/>
        <v>7980</v>
      </c>
      <c r="AW51" s="511">
        <f t="shared" si="46"/>
        <v>332.5</v>
      </c>
      <c r="AX51" s="508">
        <f t="shared" si="47"/>
        <v>8204</v>
      </c>
      <c r="AY51" s="512">
        <f t="shared" si="48"/>
        <v>341.83333333333331</v>
      </c>
      <c r="AZ51" s="513">
        <f t="shared" si="49"/>
        <v>3600.5666666666666</v>
      </c>
      <c r="BA51" s="508">
        <f t="shared" si="50"/>
        <v>3541.4666666666667</v>
      </c>
    </row>
    <row r="52" spans="1:53">
      <c r="A52" s="521" t="s">
        <v>704</v>
      </c>
      <c r="B52" s="693" t="s">
        <v>711</v>
      </c>
      <c r="C52" s="694"/>
      <c r="D52" s="521">
        <v>107983</v>
      </c>
      <c r="E52" s="528">
        <v>4</v>
      </c>
      <c r="F52" s="514" t="s">
        <v>41</v>
      </c>
      <c r="G52" s="515"/>
      <c r="H52" s="516"/>
      <c r="I52" s="519"/>
      <c r="J52" s="516">
        <v>37068</v>
      </c>
      <c r="K52" s="519">
        <v>36593</v>
      </c>
      <c r="L52" s="516">
        <v>5367</v>
      </c>
      <c r="M52" s="519">
        <v>4813</v>
      </c>
      <c r="N52" s="516">
        <v>41110</v>
      </c>
      <c r="O52" s="519">
        <v>39975</v>
      </c>
      <c r="P52" s="506">
        <f t="shared" si="33"/>
        <v>83545</v>
      </c>
      <c r="Q52" s="507">
        <f t="shared" si="34"/>
        <v>2784.8333333333335</v>
      </c>
      <c r="R52" s="508">
        <f t="shared" si="35"/>
        <v>81381</v>
      </c>
      <c r="S52" s="509">
        <f t="shared" si="36"/>
        <v>2712.7</v>
      </c>
      <c r="T52" s="516">
        <v>694</v>
      </c>
      <c r="U52" s="519">
        <v>1008</v>
      </c>
      <c r="V52" s="506">
        <f t="shared" si="37"/>
        <v>83545</v>
      </c>
      <c r="W52" s="510">
        <f t="shared" si="38"/>
        <v>81381</v>
      </c>
      <c r="X52" s="517"/>
      <c r="Y52" s="519"/>
      <c r="Z52" s="516"/>
      <c r="AA52" s="519"/>
      <c r="AB52" s="516"/>
      <c r="AC52" s="519"/>
      <c r="AD52" s="516"/>
      <c r="AE52" s="519"/>
      <c r="AF52" s="506">
        <f t="shared" si="39"/>
        <v>0</v>
      </c>
      <c r="AG52" s="507">
        <f t="shared" si="40"/>
        <v>0</v>
      </c>
      <c r="AH52" s="508">
        <f t="shared" si="41"/>
        <v>0</v>
      </c>
      <c r="AI52" s="508">
        <f t="shared" si="42"/>
        <v>0</v>
      </c>
      <c r="AJ52" s="516"/>
      <c r="AK52" s="519"/>
      <c r="AL52" s="506">
        <f t="shared" si="43"/>
        <v>0</v>
      </c>
      <c r="AM52" s="509">
        <f t="shared" si="44"/>
        <v>0</v>
      </c>
      <c r="AN52" s="518"/>
      <c r="AO52" s="520"/>
      <c r="AP52" s="516">
        <v>2813</v>
      </c>
      <c r="AQ52" s="520">
        <v>2750</v>
      </c>
      <c r="AR52" s="516">
        <v>2013</v>
      </c>
      <c r="AS52" s="520">
        <v>2344</v>
      </c>
      <c r="AT52" s="516">
        <v>2722</v>
      </c>
      <c r="AU52" s="520">
        <v>2737</v>
      </c>
      <c r="AV52" s="506">
        <f t="shared" si="45"/>
        <v>7548</v>
      </c>
      <c r="AW52" s="511">
        <f t="shared" si="46"/>
        <v>314.5</v>
      </c>
      <c r="AX52" s="508">
        <f t="shared" si="47"/>
        <v>7831</v>
      </c>
      <c r="AY52" s="512">
        <f t="shared" si="48"/>
        <v>326.29166666666669</v>
      </c>
      <c r="AZ52" s="513">
        <f t="shared" si="49"/>
        <v>3099.3333333333335</v>
      </c>
      <c r="BA52" s="508">
        <f t="shared" si="50"/>
        <v>3038.9916666666663</v>
      </c>
    </row>
    <row r="53" spans="1:53">
      <c r="A53" s="521" t="s">
        <v>704</v>
      </c>
      <c r="B53" s="505" t="s">
        <v>712</v>
      </c>
      <c r="C53" s="692"/>
      <c r="D53" s="521">
        <v>106485</v>
      </c>
      <c r="E53" s="544">
        <v>5</v>
      </c>
      <c r="F53" s="514" t="s">
        <v>41</v>
      </c>
      <c r="G53" s="515"/>
      <c r="H53" s="516"/>
      <c r="I53" s="519"/>
      <c r="J53" s="516">
        <v>30307</v>
      </c>
      <c r="K53" s="519">
        <v>31870</v>
      </c>
      <c r="L53" s="516">
        <v>6430</v>
      </c>
      <c r="M53" s="519">
        <v>4622</v>
      </c>
      <c r="N53" s="516">
        <v>35265</v>
      </c>
      <c r="O53" s="519">
        <v>34112</v>
      </c>
      <c r="P53" s="506">
        <f t="shared" si="33"/>
        <v>72002</v>
      </c>
      <c r="Q53" s="507">
        <f t="shared" si="34"/>
        <v>2400.0666666666666</v>
      </c>
      <c r="R53" s="508">
        <f t="shared" si="35"/>
        <v>70604</v>
      </c>
      <c r="S53" s="509">
        <f t="shared" si="36"/>
        <v>2353.4666666666667</v>
      </c>
      <c r="T53" s="516">
        <v>3921</v>
      </c>
      <c r="U53" s="519">
        <v>4390</v>
      </c>
      <c r="V53" s="506">
        <f t="shared" si="37"/>
        <v>72002</v>
      </c>
      <c r="W53" s="510">
        <f t="shared" si="38"/>
        <v>70604</v>
      </c>
      <c r="X53" s="517"/>
      <c r="Y53" s="519"/>
      <c r="Z53" s="516"/>
      <c r="AA53" s="519"/>
      <c r="AB53" s="516"/>
      <c r="AC53" s="519"/>
      <c r="AD53" s="516"/>
      <c r="AE53" s="519"/>
      <c r="AF53" s="506">
        <f t="shared" si="39"/>
        <v>0</v>
      </c>
      <c r="AG53" s="507">
        <f t="shared" si="40"/>
        <v>0</v>
      </c>
      <c r="AH53" s="508">
        <f t="shared" si="41"/>
        <v>0</v>
      </c>
      <c r="AI53" s="508">
        <f t="shared" si="42"/>
        <v>0</v>
      </c>
      <c r="AJ53" s="516"/>
      <c r="AK53" s="519"/>
      <c r="AL53" s="506">
        <f t="shared" si="43"/>
        <v>0</v>
      </c>
      <c r="AM53" s="509">
        <f t="shared" si="44"/>
        <v>0</v>
      </c>
      <c r="AN53" s="518"/>
      <c r="AO53" s="520"/>
      <c r="AP53" s="516">
        <v>805</v>
      </c>
      <c r="AQ53" s="520">
        <v>618</v>
      </c>
      <c r="AR53" s="516">
        <v>616</v>
      </c>
      <c r="AS53" s="520">
        <v>828</v>
      </c>
      <c r="AT53" s="516">
        <v>658</v>
      </c>
      <c r="AU53" s="520">
        <v>696</v>
      </c>
      <c r="AV53" s="506">
        <f t="shared" si="45"/>
        <v>2079</v>
      </c>
      <c r="AW53" s="511">
        <f t="shared" si="46"/>
        <v>86.625</v>
      </c>
      <c r="AX53" s="508">
        <f t="shared" si="47"/>
        <v>2142</v>
      </c>
      <c r="AY53" s="512">
        <f t="shared" si="48"/>
        <v>89.25</v>
      </c>
      <c r="AZ53" s="513">
        <f t="shared" si="49"/>
        <v>2486.6916666666666</v>
      </c>
      <c r="BA53" s="508">
        <f t="shared" si="50"/>
        <v>2442.7166666666667</v>
      </c>
    </row>
    <row r="54" spans="1:53">
      <c r="A54" s="521" t="s">
        <v>704</v>
      </c>
      <c r="B54" s="505" t="s">
        <v>713</v>
      </c>
      <c r="C54" s="692"/>
      <c r="D54" s="521">
        <v>108092</v>
      </c>
      <c r="E54" s="544">
        <v>6</v>
      </c>
      <c r="F54" s="514" t="s">
        <v>41</v>
      </c>
      <c r="G54" s="515"/>
      <c r="H54" s="516"/>
      <c r="I54" s="519"/>
      <c r="J54" s="516">
        <v>81617</v>
      </c>
      <c r="K54" s="519">
        <v>78825</v>
      </c>
      <c r="L54" s="516">
        <v>16468</v>
      </c>
      <c r="M54" s="519">
        <v>14723</v>
      </c>
      <c r="N54" s="516">
        <v>87010</v>
      </c>
      <c r="O54" s="519">
        <v>84807</v>
      </c>
      <c r="P54" s="506">
        <f t="shared" si="33"/>
        <v>185095</v>
      </c>
      <c r="Q54" s="507">
        <f t="shared" si="34"/>
        <v>6169.833333333333</v>
      </c>
      <c r="R54" s="508">
        <f t="shared" si="35"/>
        <v>178355</v>
      </c>
      <c r="S54" s="509">
        <f t="shared" si="36"/>
        <v>5945.166666666667</v>
      </c>
      <c r="T54" s="516">
        <v>1796</v>
      </c>
      <c r="U54" s="519">
        <v>1530</v>
      </c>
      <c r="V54" s="506">
        <f t="shared" si="37"/>
        <v>185095</v>
      </c>
      <c r="W54" s="510">
        <f t="shared" si="38"/>
        <v>178355</v>
      </c>
      <c r="X54" s="517"/>
      <c r="Y54" s="519"/>
      <c r="Z54" s="516"/>
      <c r="AA54" s="519"/>
      <c r="AB54" s="516"/>
      <c r="AC54" s="519"/>
      <c r="AD54" s="516"/>
      <c r="AE54" s="519"/>
      <c r="AF54" s="506">
        <f t="shared" si="39"/>
        <v>0</v>
      </c>
      <c r="AG54" s="507">
        <f t="shared" si="40"/>
        <v>0</v>
      </c>
      <c r="AH54" s="508">
        <f t="shared" si="41"/>
        <v>0</v>
      </c>
      <c r="AI54" s="508">
        <f t="shared" si="42"/>
        <v>0</v>
      </c>
      <c r="AJ54" s="516"/>
      <c r="AK54" s="519"/>
      <c r="AL54" s="506">
        <f t="shared" si="43"/>
        <v>0</v>
      </c>
      <c r="AM54" s="509">
        <f t="shared" si="44"/>
        <v>0</v>
      </c>
      <c r="AN54" s="518"/>
      <c r="AO54" s="520"/>
      <c r="AP54" s="516">
        <v>0</v>
      </c>
      <c r="AQ54" s="520">
        <v>0</v>
      </c>
      <c r="AR54" s="516">
        <v>0</v>
      </c>
      <c r="AS54" s="520">
        <v>0</v>
      </c>
      <c r="AT54" s="516">
        <v>0</v>
      </c>
      <c r="AU54" s="520">
        <v>0</v>
      </c>
      <c r="AV54" s="506">
        <f t="shared" si="45"/>
        <v>0</v>
      </c>
      <c r="AW54" s="511">
        <f t="shared" si="46"/>
        <v>0</v>
      </c>
      <c r="AX54" s="508">
        <f t="shared" si="47"/>
        <v>0</v>
      </c>
      <c r="AY54" s="512">
        <f t="shared" si="48"/>
        <v>0</v>
      </c>
      <c r="AZ54" s="513">
        <f t="shared" si="49"/>
        <v>6169.833333333333</v>
      </c>
      <c r="BA54" s="508">
        <f t="shared" si="50"/>
        <v>5945.166666666667</v>
      </c>
    </row>
    <row r="55" spans="1:53" ht="13.5" thickBot="1">
      <c r="A55" s="521" t="s">
        <v>704</v>
      </c>
      <c r="B55" s="693" t="s">
        <v>714</v>
      </c>
      <c r="C55" s="692" t="s">
        <v>360</v>
      </c>
      <c r="D55" s="521">
        <v>106412</v>
      </c>
      <c r="E55" s="544">
        <v>6</v>
      </c>
      <c r="F55" s="514" t="s">
        <v>41</v>
      </c>
      <c r="G55" s="515"/>
      <c r="H55" s="516"/>
      <c r="I55" s="519"/>
      <c r="J55" s="516">
        <v>39816</v>
      </c>
      <c r="K55" s="519">
        <v>37521</v>
      </c>
      <c r="L55" s="516">
        <v>6408</v>
      </c>
      <c r="M55" s="519">
        <v>5110</v>
      </c>
      <c r="N55" s="516">
        <v>42531</v>
      </c>
      <c r="O55" s="519">
        <v>37638</v>
      </c>
      <c r="P55" s="506">
        <f t="shared" si="33"/>
        <v>88755</v>
      </c>
      <c r="Q55" s="507">
        <f t="shared" si="34"/>
        <v>2958.5</v>
      </c>
      <c r="R55" s="508">
        <f t="shared" si="35"/>
        <v>80269</v>
      </c>
      <c r="S55" s="509">
        <f t="shared" si="36"/>
        <v>2675.6333333333332</v>
      </c>
      <c r="T55" s="516">
        <v>9</v>
      </c>
      <c r="U55" s="519">
        <v>0</v>
      </c>
      <c r="V55" s="506">
        <f t="shared" si="37"/>
        <v>88755</v>
      </c>
      <c r="W55" s="510">
        <f t="shared" si="38"/>
        <v>80269</v>
      </c>
      <c r="X55" s="517"/>
      <c r="Y55" s="519"/>
      <c r="Z55" s="516"/>
      <c r="AA55" s="519"/>
      <c r="AB55" s="516"/>
      <c r="AC55" s="519"/>
      <c r="AD55" s="516"/>
      <c r="AE55" s="519"/>
      <c r="AF55" s="506">
        <f t="shared" si="39"/>
        <v>0</v>
      </c>
      <c r="AG55" s="507">
        <f t="shared" si="40"/>
        <v>0</v>
      </c>
      <c r="AH55" s="508">
        <f t="shared" si="41"/>
        <v>0</v>
      </c>
      <c r="AI55" s="508">
        <f t="shared" si="42"/>
        <v>0</v>
      </c>
      <c r="AJ55" s="516"/>
      <c r="AK55" s="519"/>
      <c r="AL55" s="506">
        <f t="shared" si="43"/>
        <v>0</v>
      </c>
      <c r="AM55" s="509">
        <f t="shared" si="44"/>
        <v>0</v>
      </c>
      <c r="AN55" s="518"/>
      <c r="AO55" s="520"/>
      <c r="AP55" s="516">
        <v>821</v>
      </c>
      <c r="AQ55" s="520">
        <v>732</v>
      </c>
      <c r="AR55" s="516">
        <v>296</v>
      </c>
      <c r="AS55" s="520">
        <v>277</v>
      </c>
      <c r="AT55" s="516">
        <v>768</v>
      </c>
      <c r="AU55" s="520">
        <v>623</v>
      </c>
      <c r="AV55" s="506">
        <f t="shared" si="45"/>
        <v>1885</v>
      </c>
      <c r="AW55" s="511">
        <f t="shared" si="46"/>
        <v>78.541666666666671</v>
      </c>
      <c r="AX55" s="508">
        <f t="shared" si="47"/>
        <v>1632</v>
      </c>
      <c r="AY55" s="512">
        <f t="shared" si="48"/>
        <v>68</v>
      </c>
      <c r="AZ55" s="513">
        <f t="shared" si="49"/>
        <v>3037.0416666666665</v>
      </c>
      <c r="BA55" s="508">
        <f t="shared" si="50"/>
        <v>2743.6333333333332</v>
      </c>
    </row>
    <row r="56" spans="1:53" ht="13.5" thickBot="1">
      <c r="A56" s="521" t="s">
        <v>704</v>
      </c>
      <c r="B56" s="693" t="s">
        <v>715</v>
      </c>
      <c r="C56" s="694"/>
      <c r="D56" s="521">
        <v>367459</v>
      </c>
      <c r="E56" s="528">
        <v>8</v>
      </c>
      <c r="F56" s="514" t="s">
        <v>41</v>
      </c>
      <c r="G56" s="515"/>
      <c r="H56" s="516"/>
      <c r="I56" s="618"/>
      <c r="J56" s="516">
        <v>75886</v>
      </c>
      <c r="K56" s="618">
        <v>74726</v>
      </c>
      <c r="L56" s="516">
        <v>18386</v>
      </c>
      <c r="M56" s="618">
        <v>16520</v>
      </c>
      <c r="N56" s="516">
        <v>79810</v>
      </c>
      <c r="O56" s="830">
        <v>78065</v>
      </c>
      <c r="P56" s="506">
        <f t="shared" si="33"/>
        <v>174082</v>
      </c>
      <c r="Q56" s="507">
        <f t="shared" si="34"/>
        <v>5802.7333333333336</v>
      </c>
      <c r="R56" s="508">
        <f t="shared" si="35"/>
        <v>169311</v>
      </c>
      <c r="S56" s="509">
        <f t="shared" si="36"/>
        <v>5643.7</v>
      </c>
      <c r="T56" s="516">
        <v>5733</v>
      </c>
      <c r="U56" s="618">
        <v>6400</v>
      </c>
      <c r="V56" s="506">
        <f t="shared" si="37"/>
        <v>174082</v>
      </c>
      <c r="W56" s="510">
        <f t="shared" si="38"/>
        <v>169311</v>
      </c>
      <c r="X56" s="517"/>
      <c r="Y56" s="618"/>
      <c r="Z56" s="516"/>
      <c r="AA56" s="618"/>
      <c r="AB56" s="516"/>
      <c r="AC56" s="618"/>
      <c r="AD56" s="516"/>
      <c r="AE56" s="618"/>
      <c r="AF56" s="506">
        <f t="shared" si="39"/>
        <v>0</v>
      </c>
      <c r="AG56" s="507">
        <f t="shared" si="40"/>
        <v>0</v>
      </c>
      <c r="AH56" s="508">
        <f t="shared" si="41"/>
        <v>0</v>
      </c>
      <c r="AI56" s="508">
        <f t="shared" si="42"/>
        <v>0</v>
      </c>
      <c r="AJ56" s="516"/>
      <c r="AK56" s="618"/>
      <c r="AL56" s="506">
        <f t="shared" si="43"/>
        <v>0</v>
      </c>
      <c r="AM56" s="509">
        <f t="shared" si="44"/>
        <v>0</v>
      </c>
      <c r="AN56" s="518"/>
      <c r="AO56" s="618"/>
      <c r="AP56" s="516"/>
      <c r="AQ56" s="618"/>
      <c r="AR56" s="516"/>
      <c r="AS56" s="618"/>
      <c r="AT56" s="516"/>
      <c r="AU56" s="618"/>
      <c r="AV56" s="506">
        <f t="shared" si="45"/>
        <v>0</v>
      </c>
      <c r="AW56" s="511">
        <f t="shared" si="46"/>
        <v>0</v>
      </c>
      <c r="AX56" s="508">
        <f t="shared" si="47"/>
        <v>0</v>
      </c>
      <c r="AY56" s="512">
        <f t="shared" si="48"/>
        <v>0</v>
      </c>
      <c r="AZ56" s="513">
        <f t="shared" si="49"/>
        <v>5802.7333333333336</v>
      </c>
      <c r="BA56" s="508">
        <f t="shared" si="50"/>
        <v>5643.7</v>
      </c>
    </row>
    <row r="57" spans="1:53">
      <c r="A57" s="521" t="s">
        <v>704</v>
      </c>
      <c r="B57" s="505" t="s">
        <v>716</v>
      </c>
      <c r="C57" s="692"/>
      <c r="D57" s="521">
        <v>107664</v>
      </c>
      <c r="E57" s="695">
        <v>8</v>
      </c>
      <c r="F57" s="514" t="s">
        <v>41</v>
      </c>
      <c r="G57" s="515"/>
      <c r="H57" s="516"/>
      <c r="I57" s="519"/>
      <c r="J57" s="516">
        <v>114525</v>
      </c>
      <c r="K57" s="519">
        <v>118448</v>
      </c>
      <c r="L57" s="516">
        <v>27409</v>
      </c>
      <c r="M57" s="519">
        <v>21689</v>
      </c>
      <c r="N57" s="516">
        <v>119230</v>
      </c>
      <c r="O57" s="519">
        <v>116649</v>
      </c>
      <c r="P57" s="506">
        <f t="shared" si="33"/>
        <v>261164</v>
      </c>
      <c r="Q57" s="507">
        <f t="shared" si="34"/>
        <v>8705.4666666666672</v>
      </c>
      <c r="R57" s="508">
        <f t="shared" si="35"/>
        <v>256786</v>
      </c>
      <c r="S57" s="509">
        <f t="shared" si="36"/>
        <v>8559.5333333333328</v>
      </c>
      <c r="T57" s="516">
        <v>3008</v>
      </c>
      <c r="U57" s="519">
        <v>1261</v>
      </c>
      <c r="V57" s="506">
        <f t="shared" si="37"/>
        <v>261164</v>
      </c>
      <c r="W57" s="510">
        <f t="shared" si="38"/>
        <v>256786</v>
      </c>
      <c r="X57" s="517"/>
      <c r="Y57" s="519"/>
      <c r="Z57" s="516"/>
      <c r="AA57" s="519"/>
      <c r="AB57" s="516"/>
      <c r="AC57" s="519"/>
      <c r="AD57" s="516"/>
      <c r="AE57" s="519"/>
      <c r="AF57" s="506">
        <f t="shared" si="39"/>
        <v>0</v>
      </c>
      <c r="AG57" s="507">
        <f t="shared" si="40"/>
        <v>0</v>
      </c>
      <c r="AH57" s="508">
        <f t="shared" si="41"/>
        <v>0</v>
      </c>
      <c r="AI57" s="508">
        <f t="shared" si="42"/>
        <v>0</v>
      </c>
      <c r="AJ57" s="516"/>
      <c r="AK57" s="519"/>
      <c r="AL57" s="506">
        <f t="shared" si="43"/>
        <v>0</v>
      </c>
      <c r="AM57" s="509">
        <f t="shared" si="44"/>
        <v>0</v>
      </c>
      <c r="AN57" s="518"/>
      <c r="AO57" s="520"/>
      <c r="AP57" s="516"/>
      <c r="AQ57" s="520"/>
      <c r="AR57" s="516"/>
      <c r="AS57" s="520"/>
      <c r="AT57" s="516"/>
      <c r="AU57" s="520"/>
      <c r="AV57" s="506">
        <f t="shared" si="45"/>
        <v>0</v>
      </c>
      <c r="AW57" s="511">
        <f t="shared" si="46"/>
        <v>0</v>
      </c>
      <c r="AX57" s="508">
        <f t="shared" si="47"/>
        <v>0</v>
      </c>
      <c r="AY57" s="512">
        <f t="shared" si="48"/>
        <v>0</v>
      </c>
      <c r="AZ57" s="513">
        <f t="shared" si="49"/>
        <v>8705.4666666666672</v>
      </c>
      <c r="BA57" s="508">
        <f t="shared" si="50"/>
        <v>8559.5333333333328</v>
      </c>
    </row>
    <row r="58" spans="1:53">
      <c r="A58" s="521" t="s">
        <v>704</v>
      </c>
      <c r="B58" s="505" t="s">
        <v>717</v>
      </c>
      <c r="C58" s="692"/>
      <c r="D58" s="521">
        <v>106449</v>
      </c>
      <c r="E58" s="521">
        <v>9</v>
      </c>
      <c r="F58" s="514" t="s">
        <v>41</v>
      </c>
      <c r="G58" s="515"/>
      <c r="H58" s="516"/>
      <c r="I58" s="519"/>
      <c r="J58" s="516">
        <v>47248</v>
      </c>
      <c r="K58" s="519">
        <v>45198</v>
      </c>
      <c r="L58" s="516">
        <v>10143</v>
      </c>
      <c r="M58" s="519">
        <v>9675</v>
      </c>
      <c r="N58" s="516">
        <v>48016</v>
      </c>
      <c r="O58" s="519">
        <v>47448</v>
      </c>
      <c r="P58" s="506">
        <f t="shared" si="33"/>
        <v>105407</v>
      </c>
      <c r="Q58" s="507">
        <f t="shared" si="34"/>
        <v>3513.5666666666666</v>
      </c>
      <c r="R58" s="508">
        <f t="shared" si="35"/>
        <v>102321</v>
      </c>
      <c r="S58" s="509">
        <f t="shared" si="36"/>
        <v>3410.7</v>
      </c>
      <c r="T58" s="516">
        <v>6115</v>
      </c>
      <c r="U58" s="519">
        <v>5744</v>
      </c>
      <c r="V58" s="506">
        <f t="shared" si="37"/>
        <v>105407</v>
      </c>
      <c r="W58" s="510">
        <f t="shared" si="38"/>
        <v>102321</v>
      </c>
      <c r="X58" s="517"/>
      <c r="Y58" s="519"/>
      <c r="Z58" s="516"/>
      <c r="AA58" s="519"/>
      <c r="AB58" s="516"/>
      <c r="AC58" s="519"/>
      <c r="AD58" s="516"/>
      <c r="AE58" s="519"/>
      <c r="AF58" s="506">
        <f t="shared" si="39"/>
        <v>0</v>
      </c>
      <c r="AG58" s="507">
        <f t="shared" si="40"/>
        <v>0</v>
      </c>
      <c r="AH58" s="508">
        <f t="shared" si="41"/>
        <v>0</v>
      </c>
      <c r="AI58" s="508">
        <f t="shared" si="42"/>
        <v>0</v>
      </c>
      <c r="AJ58" s="516"/>
      <c r="AK58" s="519"/>
      <c r="AL58" s="506">
        <f t="shared" si="43"/>
        <v>0</v>
      </c>
      <c r="AM58" s="509">
        <f t="shared" si="44"/>
        <v>0</v>
      </c>
      <c r="AN58" s="518"/>
      <c r="AO58" s="520"/>
      <c r="AP58" s="516"/>
      <c r="AQ58" s="520"/>
      <c r="AR58" s="516"/>
      <c r="AS58" s="520"/>
      <c r="AT58" s="516"/>
      <c r="AU58" s="520"/>
      <c r="AV58" s="506">
        <f t="shared" si="45"/>
        <v>0</v>
      </c>
      <c r="AW58" s="511">
        <f t="shared" si="46"/>
        <v>0</v>
      </c>
      <c r="AX58" s="508">
        <f t="shared" si="47"/>
        <v>0</v>
      </c>
      <c r="AY58" s="512">
        <f t="shared" si="48"/>
        <v>0</v>
      </c>
      <c r="AZ58" s="513">
        <f t="shared" si="49"/>
        <v>3513.5666666666666</v>
      </c>
      <c r="BA58" s="508">
        <f t="shared" si="50"/>
        <v>3410.7</v>
      </c>
    </row>
    <row r="59" spans="1:53" ht="13.5" thickBot="1">
      <c r="A59" s="521" t="s">
        <v>704</v>
      </c>
      <c r="B59" s="696" t="s">
        <v>718</v>
      </c>
      <c r="C59" s="692"/>
      <c r="D59" s="521">
        <v>106980</v>
      </c>
      <c r="E59" s="544">
        <v>9</v>
      </c>
      <c r="F59" s="514" t="s">
        <v>41</v>
      </c>
      <c r="G59" s="515"/>
      <c r="H59" s="516"/>
      <c r="I59" s="519"/>
      <c r="J59" s="516">
        <v>37006</v>
      </c>
      <c r="K59" s="519">
        <v>36294</v>
      </c>
      <c r="L59" s="516">
        <v>8939</v>
      </c>
      <c r="M59" s="519">
        <v>5944</v>
      </c>
      <c r="N59" s="516">
        <v>40368</v>
      </c>
      <c r="O59" s="519">
        <v>33758</v>
      </c>
      <c r="P59" s="506">
        <f t="shared" si="33"/>
        <v>86313</v>
      </c>
      <c r="Q59" s="507">
        <f t="shared" si="34"/>
        <v>2877.1</v>
      </c>
      <c r="R59" s="508">
        <f t="shared" si="35"/>
        <v>75996</v>
      </c>
      <c r="S59" s="509">
        <f t="shared" si="36"/>
        <v>2533.1999999999998</v>
      </c>
      <c r="T59" s="516">
        <v>5369</v>
      </c>
      <c r="U59" s="519">
        <v>5339</v>
      </c>
      <c r="V59" s="506">
        <f t="shared" si="37"/>
        <v>86313</v>
      </c>
      <c r="W59" s="510">
        <f t="shared" si="38"/>
        <v>75996</v>
      </c>
      <c r="X59" s="517"/>
      <c r="Y59" s="519"/>
      <c r="Z59" s="516"/>
      <c r="AA59" s="519"/>
      <c r="AB59" s="516"/>
      <c r="AC59" s="519"/>
      <c r="AD59" s="516"/>
      <c r="AE59" s="519"/>
      <c r="AF59" s="506">
        <f t="shared" si="39"/>
        <v>0</v>
      </c>
      <c r="AG59" s="507">
        <f t="shared" si="40"/>
        <v>0</v>
      </c>
      <c r="AH59" s="508">
        <f t="shared" si="41"/>
        <v>0</v>
      </c>
      <c r="AI59" s="508">
        <f t="shared" si="42"/>
        <v>0</v>
      </c>
      <c r="AJ59" s="516"/>
      <c r="AK59" s="519"/>
      <c r="AL59" s="506">
        <f t="shared" si="43"/>
        <v>0</v>
      </c>
      <c r="AM59" s="509">
        <f t="shared" si="44"/>
        <v>0</v>
      </c>
      <c r="AN59" s="518"/>
      <c r="AO59" s="520"/>
      <c r="AP59" s="516"/>
      <c r="AQ59" s="520"/>
      <c r="AR59" s="516"/>
      <c r="AS59" s="520"/>
      <c r="AT59" s="516"/>
      <c r="AU59" s="520"/>
      <c r="AV59" s="506">
        <f t="shared" si="45"/>
        <v>0</v>
      </c>
      <c r="AW59" s="511">
        <f t="shared" si="46"/>
        <v>0</v>
      </c>
      <c r="AX59" s="508">
        <f t="shared" si="47"/>
        <v>0</v>
      </c>
      <c r="AY59" s="512">
        <f t="shared" si="48"/>
        <v>0</v>
      </c>
      <c r="AZ59" s="513">
        <f t="shared" si="49"/>
        <v>2877.1</v>
      </c>
      <c r="BA59" s="508">
        <f t="shared" si="50"/>
        <v>2533.1999999999998</v>
      </c>
    </row>
    <row r="60" spans="1:53" ht="13.5" thickBot="1">
      <c r="A60" s="521" t="s">
        <v>704</v>
      </c>
      <c r="B60" s="505" t="s">
        <v>719</v>
      </c>
      <c r="C60" s="692"/>
      <c r="D60" s="521">
        <v>107327</v>
      </c>
      <c r="E60" s="521">
        <v>10</v>
      </c>
      <c r="F60" s="514" t="s">
        <v>41</v>
      </c>
      <c r="G60" s="515"/>
      <c r="H60" s="516"/>
      <c r="I60" s="519"/>
      <c r="J60" s="516">
        <v>18136</v>
      </c>
      <c r="K60" s="830">
        <v>16635</v>
      </c>
      <c r="L60" s="516">
        <v>4353</v>
      </c>
      <c r="M60" s="519">
        <v>3987</v>
      </c>
      <c r="N60" s="516">
        <v>18526</v>
      </c>
      <c r="O60" s="519">
        <v>16099</v>
      </c>
      <c r="P60" s="506">
        <f t="shared" si="33"/>
        <v>41015</v>
      </c>
      <c r="Q60" s="507">
        <f t="shared" si="34"/>
        <v>1367.1666666666667</v>
      </c>
      <c r="R60" s="508">
        <f t="shared" si="35"/>
        <v>36721</v>
      </c>
      <c r="S60" s="509">
        <f t="shared" si="36"/>
        <v>1224.0333333333333</v>
      </c>
      <c r="T60" s="516">
        <v>1315</v>
      </c>
      <c r="U60" s="519">
        <v>893</v>
      </c>
      <c r="V60" s="506">
        <f t="shared" si="37"/>
        <v>41015</v>
      </c>
      <c r="W60" s="510">
        <f t="shared" si="38"/>
        <v>36721</v>
      </c>
      <c r="X60" s="517"/>
      <c r="Y60" s="519"/>
      <c r="Z60" s="516"/>
      <c r="AA60" s="519"/>
      <c r="AB60" s="516"/>
      <c r="AC60" s="519"/>
      <c r="AD60" s="516"/>
      <c r="AE60" s="519"/>
      <c r="AF60" s="506">
        <f t="shared" si="39"/>
        <v>0</v>
      </c>
      <c r="AG60" s="507">
        <f t="shared" si="40"/>
        <v>0</v>
      </c>
      <c r="AH60" s="508">
        <f t="shared" si="41"/>
        <v>0</v>
      </c>
      <c r="AI60" s="508">
        <f t="shared" si="42"/>
        <v>0</v>
      </c>
      <c r="AJ60" s="516"/>
      <c r="AK60" s="519"/>
      <c r="AL60" s="506">
        <f t="shared" si="43"/>
        <v>0</v>
      </c>
      <c r="AM60" s="509">
        <f t="shared" si="44"/>
        <v>0</v>
      </c>
      <c r="AN60" s="518"/>
      <c r="AO60" s="520"/>
      <c r="AP60" s="516"/>
      <c r="AQ60" s="520"/>
      <c r="AR60" s="516"/>
      <c r="AS60" s="520"/>
      <c r="AT60" s="516"/>
      <c r="AU60" s="520"/>
      <c r="AV60" s="506">
        <f t="shared" si="45"/>
        <v>0</v>
      </c>
      <c r="AW60" s="511">
        <f t="shared" si="46"/>
        <v>0</v>
      </c>
      <c r="AX60" s="508">
        <f t="shared" si="47"/>
        <v>0</v>
      </c>
      <c r="AY60" s="512">
        <f t="shared" si="48"/>
        <v>0</v>
      </c>
      <c r="AZ60" s="513">
        <f t="shared" si="49"/>
        <v>1367.1666666666667</v>
      </c>
      <c r="BA60" s="508">
        <f t="shared" si="50"/>
        <v>1224.0333333333333</v>
      </c>
    </row>
    <row r="61" spans="1:53" ht="13.5" thickBot="1">
      <c r="A61" s="521" t="s">
        <v>704</v>
      </c>
      <c r="B61" s="505" t="s">
        <v>720</v>
      </c>
      <c r="C61" s="692"/>
      <c r="D61" s="521">
        <v>420538</v>
      </c>
      <c r="E61" s="521">
        <v>10</v>
      </c>
      <c r="F61" s="514" t="s">
        <v>41</v>
      </c>
      <c r="G61" s="515"/>
      <c r="H61" s="516"/>
      <c r="I61" s="519"/>
      <c r="J61" s="516">
        <v>15864</v>
      </c>
      <c r="K61" s="519">
        <v>16307</v>
      </c>
      <c r="L61" s="516">
        <v>3293</v>
      </c>
      <c r="M61" s="519">
        <v>2857</v>
      </c>
      <c r="N61" s="516">
        <v>16415</v>
      </c>
      <c r="O61" s="519">
        <v>16162</v>
      </c>
      <c r="P61" s="506">
        <f t="shared" si="33"/>
        <v>35572</v>
      </c>
      <c r="Q61" s="507">
        <f t="shared" si="34"/>
        <v>1185.7333333333333</v>
      </c>
      <c r="R61" s="508">
        <f t="shared" si="35"/>
        <v>35326</v>
      </c>
      <c r="S61" s="509">
        <f t="shared" si="36"/>
        <v>1177.5333333333333</v>
      </c>
      <c r="T61" s="516">
        <v>535</v>
      </c>
      <c r="U61" s="519">
        <v>554</v>
      </c>
      <c r="V61" s="506">
        <f t="shared" si="37"/>
        <v>35572</v>
      </c>
      <c r="W61" s="510">
        <f t="shared" si="38"/>
        <v>35326</v>
      </c>
      <c r="X61" s="517"/>
      <c r="Y61" s="519"/>
      <c r="Z61" s="516"/>
      <c r="AA61" s="519"/>
      <c r="AB61" s="516"/>
      <c r="AC61" s="519"/>
      <c r="AD61" s="516"/>
      <c r="AE61" s="519"/>
      <c r="AF61" s="506">
        <f t="shared" si="39"/>
        <v>0</v>
      </c>
      <c r="AG61" s="507">
        <f t="shared" si="40"/>
        <v>0</v>
      </c>
      <c r="AH61" s="508">
        <f t="shared" si="41"/>
        <v>0</v>
      </c>
      <c r="AI61" s="508">
        <f t="shared" si="42"/>
        <v>0</v>
      </c>
      <c r="AJ61" s="516"/>
      <c r="AK61" s="519"/>
      <c r="AL61" s="506">
        <f t="shared" si="43"/>
        <v>0</v>
      </c>
      <c r="AM61" s="509">
        <f t="shared" si="44"/>
        <v>0</v>
      </c>
      <c r="AN61" s="518"/>
      <c r="AO61" s="520"/>
      <c r="AP61" s="516"/>
      <c r="AQ61" s="520"/>
      <c r="AR61" s="516"/>
      <c r="AS61" s="520"/>
      <c r="AT61" s="516"/>
      <c r="AU61" s="520"/>
      <c r="AV61" s="506">
        <f t="shared" si="45"/>
        <v>0</v>
      </c>
      <c r="AW61" s="511">
        <f t="shared" si="46"/>
        <v>0</v>
      </c>
      <c r="AX61" s="508">
        <f t="shared" si="47"/>
        <v>0</v>
      </c>
      <c r="AY61" s="512">
        <f t="shared" si="48"/>
        <v>0</v>
      </c>
      <c r="AZ61" s="513">
        <f t="shared" si="49"/>
        <v>1185.7333333333333</v>
      </c>
      <c r="BA61" s="508">
        <f t="shared" si="50"/>
        <v>1177.5333333333333</v>
      </c>
    </row>
    <row r="62" spans="1:53" ht="13.5" thickBot="1">
      <c r="A62" s="521" t="s">
        <v>704</v>
      </c>
      <c r="B62" s="505" t="s">
        <v>721</v>
      </c>
      <c r="C62" s="692"/>
      <c r="D62" s="521">
        <v>440402</v>
      </c>
      <c r="E62" s="521">
        <v>10</v>
      </c>
      <c r="F62" s="514" t="s">
        <v>41</v>
      </c>
      <c r="G62" s="515"/>
      <c r="H62" s="516"/>
      <c r="I62" s="519"/>
      <c r="J62" s="516">
        <v>16402</v>
      </c>
      <c r="K62" s="519">
        <v>16455</v>
      </c>
      <c r="L62" s="516">
        <v>7597</v>
      </c>
      <c r="M62" s="519">
        <v>7850</v>
      </c>
      <c r="N62" s="516">
        <v>18492</v>
      </c>
      <c r="O62" s="830">
        <v>16273</v>
      </c>
      <c r="P62" s="506">
        <f t="shared" si="33"/>
        <v>42491</v>
      </c>
      <c r="Q62" s="507">
        <f t="shared" si="34"/>
        <v>1416.3666666666666</v>
      </c>
      <c r="R62" s="508">
        <f t="shared" si="35"/>
        <v>40578</v>
      </c>
      <c r="S62" s="509">
        <f t="shared" si="36"/>
        <v>1352.6</v>
      </c>
      <c r="T62" s="516">
        <v>3734</v>
      </c>
      <c r="U62" s="519">
        <v>2129</v>
      </c>
      <c r="V62" s="506">
        <f t="shared" si="37"/>
        <v>42491</v>
      </c>
      <c r="W62" s="510">
        <f t="shared" si="38"/>
        <v>40578</v>
      </c>
      <c r="X62" s="517"/>
      <c r="Y62" s="519"/>
      <c r="Z62" s="516"/>
      <c r="AA62" s="519"/>
      <c r="AB62" s="516"/>
      <c r="AC62" s="519"/>
      <c r="AD62" s="516"/>
      <c r="AE62" s="519"/>
      <c r="AF62" s="506">
        <f t="shared" si="39"/>
        <v>0</v>
      </c>
      <c r="AG62" s="507">
        <f t="shared" si="40"/>
        <v>0</v>
      </c>
      <c r="AH62" s="508">
        <f t="shared" si="41"/>
        <v>0</v>
      </c>
      <c r="AI62" s="508">
        <f t="shared" si="42"/>
        <v>0</v>
      </c>
      <c r="AJ62" s="516"/>
      <c r="AK62" s="519"/>
      <c r="AL62" s="506">
        <f t="shared" si="43"/>
        <v>0</v>
      </c>
      <c r="AM62" s="509">
        <f t="shared" si="44"/>
        <v>0</v>
      </c>
      <c r="AN62" s="518"/>
      <c r="AO62" s="520"/>
      <c r="AP62" s="516"/>
      <c r="AQ62" s="520"/>
      <c r="AR62" s="516"/>
      <c r="AS62" s="520"/>
      <c r="AT62" s="516"/>
      <c r="AU62" s="520"/>
      <c r="AV62" s="506">
        <f t="shared" si="45"/>
        <v>0</v>
      </c>
      <c r="AW62" s="511">
        <f t="shared" si="46"/>
        <v>0</v>
      </c>
      <c r="AX62" s="508">
        <f t="shared" si="47"/>
        <v>0</v>
      </c>
      <c r="AY62" s="512">
        <f t="shared" si="48"/>
        <v>0</v>
      </c>
      <c r="AZ62" s="513">
        <f t="shared" si="49"/>
        <v>1416.3666666666666</v>
      </c>
      <c r="BA62" s="508">
        <f t="shared" si="50"/>
        <v>1352.6</v>
      </c>
    </row>
    <row r="63" spans="1:53">
      <c r="A63" s="521" t="s">
        <v>704</v>
      </c>
      <c r="B63" s="693" t="s">
        <v>722</v>
      </c>
      <c r="C63" s="692"/>
      <c r="D63" s="521">
        <v>106625</v>
      </c>
      <c r="E63" s="521">
        <v>10</v>
      </c>
      <c r="F63" s="514" t="s">
        <v>41</v>
      </c>
      <c r="G63" s="515"/>
      <c r="H63" s="516"/>
      <c r="I63" s="519"/>
      <c r="J63" s="516">
        <v>28136</v>
      </c>
      <c r="K63" s="519">
        <v>26678</v>
      </c>
      <c r="L63" s="516">
        <v>6566</v>
      </c>
      <c r="M63" s="519">
        <v>5370</v>
      </c>
      <c r="N63" s="516">
        <v>28259</v>
      </c>
      <c r="O63" s="519">
        <v>27189</v>
      </c>
      <c r="P63" s="506">
        <f t="shared" si="33"/>
        <v>62961</v>
      </c>
      <c r="Q63" s="507">
        <f t="shared" si="34"/>
        <v>2098.6999999999998</v>
      </c>
      <c r="R63" s="508">
        <f t="shared" si="35"/>
        <v>59237</v>
      </c>
      <c r="S63" s="509">
        <f t="shared" si="36"/>
        <v>1974.5666666666666</v>
      </c>
      <c r="T63" s="516">
        <v>2325</v>
      </c>
      <c r="U63" s="519">
        <v>2681</v>
      </c>
      <c r="V63" s="506">
        <f t="shared" si="37"/>
        <v>62961</v>
      </c>
      <c r="W63" s="510">
        <f t="shared" si="38"/>
        <v>59237</v>
      </c>
      <c r="X63" s="517"/>
      <c r="Y63" s="519"/>
      <c r="Z63" s="516"/>
      <c r="AA63" s="519"/>
      <c r="AB63" s="516"/>
      <c r="AC63" s="519"/>
      <c r="AD63" s="516"/>
      <c r="AE63" s="519"/>
      <c r="AF63" s="506">
        <f t="shared" si="39"/>
        <v>0</v>
      </c>
      <c r="AG63" s="507">
        <f t="shared" si="40"/>
        <v>0</v>
      </c>
      <c r="AH63" s="508">
        <f t="shared" si="41"/>
        <v>0</v>
      </c>
      <c r="AI63" s="508">
        <f t="shared" si="42"/>
        <v>0</v>
      </c>
      <c r="AJ63" s="516"/>
      <c r="AK63" s="519"/>
      <c r="AL63" s="506">
        <f t="shared" si="43"/>
        <v>0</v>
      </c>
      <c r="AM63" s="509">
        <f t="shared" si="44"/>
        <v>0</v>
      </c>
      <c r="AN63" s="518"/>
      <c r="AO63" s="520"/>
      <c r="AP63" s="516"/>
      <c r="AQ63" s="520"/>
      <c r="AR63" s="516"/>
      <c r="AS63" s="520"/>
      <c r="AT63" s="516"/>
      <c r="AU63" s="520"/>
      <c r="AV63" s="506">
        <f t="shared" si="45"/>
        <v>0</v>
      </c>
      <c r="AW63" s="511">
        <f t="shared" si="46"/>
        <v>0</v>
      </c>
      <c r="AX63" s="508">
        <f t="shared" si="47"/>
        <v>0</v>
      </c>
      <c r="AY63" s="512">
        <f t="shared" si="48"/>
        <v>0</v>
      </c>
      <c r="AZ63" s="513">
        <f t="shared" si="49"/>
        <v>2098.6999999999998</v>
      </c>
      <c r="BA63" s="508">
        <f t="shared" si="50"/>
        <v>1974.5666666666666</v>
      </c>
    </row>
    <row r="64" spans="1:53">
      <c r="A64" s="521" t="s">
        <v>704</v>
      </c>
      <c r="B64" s="693" t="s">
        <v>723</v>
      </c>
      <c r="C64" s="694"/>
      <c r="D64" s="521">
        <v>107521</v>
      </c>
      <c r="E64" s="521">
        <v>10</v>
      </c>
      <c r="F64" s="514" t="s">
        <v>41</v>
      </c>
      <c r="G64" s="515"/>
      <c r="H64" s="516"/>
      <c r="I64" s="519"/>
      <c r="J64" s="516">
        <v>11877</v>
      </c>
      <c r="K64" s="519">
        <v>10597</v>
      </c>
      <c r="L64" s="516">
        <v>2590</v>
      </c>
      <c r="M64" s="519">
        <v>2342</v>
      </c>
      <c r="N64" s="516">
        <v>11276</v>
      </c>
      <c r="O64" s="519">
        <v>11431</v>
      </c>
      <c r="P64" s="506">
        <f t="shared" si="33"/>
        <v>25743</v>
      </c>
      <c r="Q64" s="507">
        <f t="shared" si="34"/>
        <v>858.1</v>
      </c>
      <c r="R64" s="508">
        <f t="shared" si="35"/>
        <v>24370</v>
      </c>
      <c r="S64" s="509">
        <f t="shared" si="36"/>
        <v>812.33333333333337</v>
      </c>
      <c r="T64" s="516">
        <v>2047</v>
      </c>
      <c r="U64" s="519">
        <v>2393</v>
      </c>
      <c r="V64" s="506">
        <f t="shared" si="37"/>
        <v>25743</v>
      </c>
      <c r="W64" s="510">
        <f t="shared" si="38"/>
        <v>24370</v>
      </c>
      <c r="X64" s="517"/>
      <c r="Y64" s="519"/>
      <c r="Z64" s="516"/>
      <c r="AA64" s="519"/>
      <c r="AB64" s="516"/>
      <c r="AC64" s="519"/>
      <c r="AD64" s="516"/>
      <c r="AE64" s="519"/>
      <c r="AF64" s="506">
        <f t="shared" si="39"/>
        <v>0</v>
      </c>
      <c r="AG64" s="507">
        <f t="shared" si="40"/>
        <v>0</v>
      </c>
      <c r="AH64" s="508">
        <f t="shared" si="41"/>
        <v>0</v>
      </c>
      <c r="AI64" s="508">
        <f t="shared" si="42"/>
        <v>0</v>
      </c>
      <c r="AJ64" s="516"/>
      <c r="AK64" s="519"/>
      <c r="AL64" s="506">
        <f t="shared" si="43"/>
        <v>0</v>
      </c>
      <c r="AM64" s="509">
        <f t="shared" si="44"/>
        <v>0</v>
      </c>
      <c r="AN64" s="518"/>
      <c r="AO64" s="520"/>
      <c r="AP64" s="516"/>
      <c r="AQ64" s="520"/>
      <c r="AR64" s="516"/>
      <c r="AS64" s="520"/>
      <c r="AT64" s="516"/>
      <c r="AU64" s="520"/>
      <c r="AV64" s="506">
        <f t="shared" si="45"/>
        <v>0</v>
      </c>
      <c r="AW64" s="511">
        <f t="shared" si="46"/>
        <v>0</v>
      </c>
      <c r="AX64" s="508">
        <f t="shared" si="47"/>
        <v>0</v>
      </c>
      <c r="AY64" s="512">
        <f t="shared" si="48"/>
        <v>0</v>
      </c>
      <c r="AZ64" s="513">
        <f t="shared" si="49"/>
        <v>858.1</v>
      </c>
      <c r="BA64" s="508">
        <f t="shared" si="50"/>
        <v>812.33333333333337</v>
      </c>
    </row>
    <row r="65" spans="1:53">
      <c r="A65" s="521" t="s">
        <v>704</v>
      </c>
      <c r="B65" s="505" t="s">
        <v>724</v>
      </c>
      <c r="C65" s="692"/>
      <c r="D65" s="521">
        <v>106795</v>
      </c>
      <c r="E65" s="521">
        <v>10</v>
      </c>
      <c r="F65" s="514" t="s">
        <v>41</v>
      </c>
      <c r="G65" s="515"/>
      <c r="H65" s="516"/>
      <c r="I65" s="519"/>
      <c r="J65" s="516">
        <v>14067</v>
      </c>
      <c r="K65" s="519">
        <v>12387</v>
      </c>
      <c r="L65" s="516">
        <v>3942</v>
      </c>
      <c r="M65" s="519">
        <v>2973</v>
      </c>
      <c r="N65" s="516">
        <v>13642</v>
      </c>
      <c r="O65" s="519">
        <v>14313</v>
      </c>
      <c r="P65" s="506">
        <f t="shared" si="33"/>
        <v>31651</v>
      </c>
      <c r="Q65" s="507">
        <f t="shared" si="34"/>
        <v>1055.0333333333333</v>
      </c>
      <c r="R65" s="508">
        <f t="shared" si="35"/>
        <v>29673</v>
      </c>
      <c r="S65" s="509">
        <f t="shared" si="36"/>
        <v>989.1</v>
      </c>
      <c r="T65" s="516">
        <v>3366</v>
      </c>
      <c r="U65" s="519">
        <v>3561</v>
      </c>
      <c r="V65" s="506">
        <f t="shared" si="37"/>
        <v>31651</v>
      </c>
      <c r="W65" s="510">
        <f t="shared" si="38"/>
        <v>29673</v>
      </c>
      <c r="X65" s="517"/>
      <c r="Y65" s="519"/>
      <c r="Z65" s="516"/>
      <c r="AA65" s="519"/>
      <c r="AB65" s="516"/>
      <c r="AC65" s="519"/>
      <c r="AD65" s="516"/>
      <c r="AE65" s="519"/>
      <c r="AF65" s="506">
        <f t="shared" si="39"/>
        <v>0</v>
      </c>
      <c r="AG65" s="507">
        <f t="shared" si="40"/>
        <v>0</v>
      </c>
      <c r="AH65" s="508">
        <f t="shared" si="41"/>
        <v>0</v>
      </c>
      <c r="AI65" s="508">
        <f t="shared" si="42"/>
        <v>0</v>
      </c>
      <c r="AJ65" s="516"/>
      <c r="AK65" s="519"/>
      <c r="AL65" s="506">
        <f t="shared" si="43"/>
        <v>0</v>
      </c>
      <c r="AM65" s="509">
        <f t="shared" si="44"/>
        <v>0</v>
      </c>
      <c r="AN65" s="518"/>
      <c r="AO65" s="520"/>
      <c r="AP65" s="516"/>
      <c r="AQ65" s="520"/>
      <c r="AR65" s="516"/>
      <c r="AS65" s="520"/>
      <c r="AT65" s="516"/>
      <c r="AU65" s="520"/>
      <c r="AV65" s="506">
        <f t="shared" si="45"/>
        <v>0</v>
      </c>
      <c r="AW65" s="511">
        <f t="shared" si="46"/>
        <v>0</v>
      </c>
      <c r="AX65" s="508">
        <f t="shared" si="47"/>
        <v>0</v>
      </c>
      <c r="AY65" s="512">
        <f t="shared" si="48"/>
        <v>0</v>
      </c>
      <c r="AZ65" s="513">
        <f t="shared" si="49"/>
        <v>1055.0333333333333</v>
      </c>
      <c r="BA65" s="508">
        <f t="shared" si="50"/>
        <v>989.1</v>
      </c>
    </row>
    <row r="66" spans="1:53">
      <c r="A66" s="521" t="s">
        <v>704</v>
      </c>
      <c r="B66" s="505" t="s">
        <v>725</v>
      </c>
      <c r="C66" s="692"/>
      <c r="D66" s="521">
        <v>106883</v>
      </c>
      <c r="E66" s="521">
        <v>10</v>
      </c>
      <c r="F66" s="514" t="s">
        <v>41</v>
      </c>
      <c r="G66" s="515"/>
      <c r="H66" s="516"/>
      <c r="I66" s="519"/>
      <c r="J66" s="516">
        <v>12789</v>
      </c>
      <c r="K66" s="519">
        <v>11239</v>
      </c>
      <c r="L66" s="516">
        <v>4393</v>
      </c>
      <c r="M66" s="519">
        <v>3415</v>
      </c>
      <c r="N66" s="516">
        <v>12236</v>
      </c>
      <c r="O66" s="519">
        <v>13468</v>
      </c>
      <c r="P66" s="506">
        <f t="shared" si="33"/>
        <v>29418</v>
      </c>
      <c r="Q66" s="507">
        <f t="shared" si="34"/>
        <v>980.6</v>
      </c>
      <c r="R66" s="508">
        <f t="shared" si="35"/>
        <v>28122</v>
      </c>
      <c r="S66" s="509">
        <f t="shared" si="36"/>
        <v>937.4</v>
      </c>
      <c r="T66" s="516">
        <v>1021</v>
      </c>
      <c r="U66" s="519">
        <v>2030</v>
      </c>
      <c r="V66" s="506">
        <f t="shared" si="37"/>
        <v>29418</v>
      </c>
      <c r="W66" s="510">
        <f t="shared" si="38"/>
        <v>28122</v>
      </c>
      <c r="X66" s="517"/>
      <c r="Y66" s="519"/>
      <c r="Z66" s="516"/>
      <c r="AA66" s="519"/>
      <c r="AB66" s="516"/>
      <c r="AC66" s="519"/>
      <c r="AD66" s="516"/>
      <c r="AE66" s="519"/>
      <c r="AF66" s="506">
        <f t="shared" si="39"/>
        <v>0</v>
      </c>
      <c r="AG66" s="507">
        <f t="shared" si="40"/>
        <v>0</v>
      </c>
      <c r="AH66" s="508">
        <f t="shared" si="41"/>
        <v>0</v>
      </c>
      <c r="AI66" s="508">
        <f t="shared" si="42"/>
        <v>0</v>
      </c>
      <c r="AJ66" s="516"/>
      <c r="AK66" s="519"/>
      <c r="AL66" s="506">
        <f t="shared" si="43"/>
        <v>0</v>
      </c>
      <c r="AM66" s="509">
        <f t="shared" si="44"/>
        <v>0</v>
      </c>
      <c r="AN66" s="518"/>
      <c r="AO66" s="520"/>
      <c r="AP66" s="516"/>
      <c r="AQ66" s="520"/>
      <c r="AR66" s="516"/>
      <c r="AS66" s="520"/>
      <c r="AT66" s="516"/>
      <c r="AU66" s="520"/>
      <c r="AV66" s="506">
        <f t="shared" si="45"/>
        <v>0</v>
      </c>
      <c r="AW66" s="511">
        <f t="shared" si="46"/>
        <v>0</v>
      </c>
      <c r="AX66" s="508">
        <f t="shared" si="47"/>
        <v>0</v>
      </c>
      <c r="AY66" s="512">
        <f t="shared" si="48"/>
        <v>0</v>
      </c>
      <c r="AZ66" s="513">
        <f t="shared" si="49"/>
        <v>980.6</v>
      </c>
      <c r="BA66" s="508">
        <f t="shared" si="50"/>
        <v>937.4</v>
      </c>
    </row>
    <row r="67" spans="1:53">
      <c r="A67" s="521" t="s">
        <v>704</v>
      </c>
      <c r="B67" s="505" t="s">
        <v>726</v>
      </c>
      <c r="C67" s="692"/>
      <c r="D67" s="521">
        <v>107318</v>
      </c>
      <c r="E67" s="521">
        <v>10</v>
      </c>
      <c r="F67" s="514" t="s">
        <v>41</v>
      </c>
      <c r="G67" s="515"/>
      <c r="H67" s="516"/>
      <c r="I67" s="519"/>
      <c r="J67" s="516">
        <v>16776</v>
      </c>
      <c r="K67" s="519">
        <v>17322</v>
      </c>
      <c r="L67" s="516">
        <v>3003</v>
      </c>
      <c r="M67" s="519">
        <v>2726</v>
      </c>
      <c r="N67" s="516">
        <v>18875</v>
      </c>
      <c r="O67" s="519">
        <v>17703</v>
      </c>
      <c r="P67" s="506">
        <f t="shared" si="33"/>
        <v>38654</v>
      </c>
      <c r="Q67" s="507">
        <f t="shared" si="34"/>
        <v>1288.4666666666667</v>
      </c>
      <c r="R67" s="508">
        <f t="shared" si="35"/>
        <v>37751</v>
      </c>
      <c r="S67" s="509">
        <f t="shared" si="36"/>
        <v>1258.3666666666666</v>
      </c>
      <c r="T67" s="516">
        <v>4612</v>
      </c>
      <c r="U67" s="519">
        <v>4902</v>
      </c>
      <c r="V67" s="506">
        <f t="shared" si="37"/>
        <v>38654</v>
      </c>
      <c r="W67" s="510">
        <f t="shared" si="38"/>
        <v>37751</v>
      </c>
      <c r="X67" s="517"/>
      <c r="Y67" s="519"/>
      <c r="Z67" s="516"/>
      <c r="AA67" s="519"/>
      <c r="AB67" s="516"/>
      <c r="AC67" s="519"/>
      <c r="AD67" s="516"/>
      <c r="AE67" s="519"/>
      <c r="AF67" s="506">
        <f t="shared" si="39"/>
        <v>0</v>
      </c>
      <c r="AG67" s="507">
        <f t="shared" si="40"/>
        <v>0</v>
      </c>
      <c r="AH67" s="508">
        <f t="shared" si="41"/>
        <v>0</v>
      </c>
      <c r="AI67" s="508">
        <f t="shared" si="42"/>
        <v>0</v>
      </c>
      <c r="AJ67" s="516"/>
      <c r="AK67" s="519"/>
      <c r="AL67" s="506">
        <f t="shared" si="43"/>
        <v>0</v>
      </c>
      <c r="AM67" s="509">
        <f t="shared" si="44"/>
        <v>0</v>
      </c>
      <c r="AN67" s="518"/>
      <c r="AO67" s="520"/>
      <c r="AP67" s="516"/>
      <c r="AQ67" s="520"/>
      <c r="AR67" s="516"/>
      <c r="AS67" s="520"/>
      <c r="AT67" s="516"/>
      <c r="AU67" s="520"/>
      <c r="AV67" s="506">
        <f t="shared" si="45"/>
        <v>0</v>
      </c>
      <c r="AW67" s="511">
        <f t="shared" si="46"/>
        <v>0</v>
      </c>
      <c r="AX67" s="508">
        <f t="shared" si="47"/>
        <v>0</v>
      </c>
      <c r="AY67" s="512">
        <f t="shared" si="48"/>
        <v>0</v>
      </c>
      <c r="AZ67" s="513">
        <f t="shared" si="49"/>
        <v>1288.4666666666667</v>
      </c>
      <c r="BA67" s="508">
        <f t="shared" si="50"/>
        <v>1258.3666666666666</v>
      </c>
    </row>
    <row r="68" spans="1:53">
      <c r="A68" s="521" t="s">
        <v>704</v>
      </c>
      <c r="B68" s="505" t="s">
        <v>727</v>
      </c>
      <c r="C68" s="692"/>
      <c r="D68" s="521">
        <v>107460</v>
      </c>
      <c r="E68" s="521">
        <v>10</v>
      </c>
      <c r="F68" s="514" t="s">
        <v>41</v>
      </c>
      <c r="G68" s="515"/>
      <c r="H68" s="516"/>
      <c r="I68" s="519"/>
      <c r="J68" s="516">
        <v>25665</v>
      </c>
      <c r="K68" s="519">
        <v>24309</v>
      </c>
      <c r="L68" s="516">
        <v>4023</v>
      </c>
      <c r="M68" s="519">
        <v>2910</v>
      </c>
      <c r="N68" s="516">
        <v>25315</v>
      </c>
      <c r="O68" s="519">
        <v>24390</v>
      </c>
      <c r="P68" s="506">
        <f t="shared" si="33"/>
        <v>55003</v>
      </c>
      <c r="Q68" s="507">
        <f t="shared" si="34"/>
        <v>1833.4333333333334</v>
      </c>
      <c r="R68" s="508">
        <f t="shared" si="35"/>
        <v>51609</v>
      </c>
      <c r="S68" s="509">
        <f t="shared" si="36"/>
        <v>1720.3</v>
      </c>
      <c r="T68" s="516">
        <v>579</v>
      </c>
      <c r="U68" s="519">
        <v>791</v>
      </c>
      <c r="V68" s="506">
        <f t="shared" si="37"/>
        <v>55003</v>
      </c>
      <c r="W68" s="510">
        <f t="shared" si="38"/>
        <v>51609</v>
      </c>
      <c r="X68" s="517"/>
      <c r="Y68" s="519"/>
      <c r="Z68" s="516"/>
      <c r="AA68" s="519"/>
      <c r="AB68" s="516"/>
      <c r="AC68" s="519"/>
      <c r="AD68" s="516"/>
      <c r="AE68" s="519"/>
      <c r="AF68" s="506">
        <f t="shared" si="39"/>
        <v>0</v>
      </c>
      <c r="AG68" s="507">
        <f t="shared" si="40"/>
        <v>0</v>
      </c>
      <c r="AH68" s="508">
        <f t="shared" si="41"/>
        <v>0</v>
      </c>
      <c r="AI68" s="508">
        <f t="shared" si="42"/>
        <v>0</v>
      </c>
      <c r="AJ68" s="516"/>
      <c r="AK68" s="519"/>
      <c r="AL68" s="506">
        <f t="shared" si="43"/>
        <v>0</v>
      </c>
      <c r="AM68" s="509">
        <f t="shared" si="44"/>
        <v>0</v>
      </c>
      <c r="AN68" s="518"/>
      <c r="AO68" s="520"/>
      <c r="AP68" s="516"/>
      <c r="AQ68" s="520"/>
      <c r="AR68" s="516"/>
      <c r="AS68" s="520"/>
      <c r="AT68" s="516"/>
      <c r="AU68" s="520"/>
      <c r="AV68" s="506">
        <f t="shared" si="45"/>
        <v>0</v>
      </c>
      <c r="AW68" s="511">
        <f t="shared" si="46"/>
        <v>0</v>
      </c>
      <c r="AX68" s="508">
        <f t="shared" si="47"/>
        <v>0</v>
      </c>
      <c r="AY68" s="512">
        <f t="shared" si="48"/>
        <v>0</v>
      </c>
      <c r="AZ68" s="513">
        <f t="shared" si="49"/>
        <v>1833.4333333333334</v>
      </c>
      <c r="BA68" s="508">
        <f t="shared" si="50"/>
        <v>1720.3</v>
      </c>
    </row>
    <row r="69" spans="1:53">
      <c r="A69" s="521" t="s">
        <v>704</v>
      </c>
      <c r="B69" s="505" t="s">
        <v>728</v>
      </c>
      <c r="C69" s="692"/>
      <c r="D69" s="521">
        <v>107549</v>
      </c>
      <c r="E69" s="521">
        <v>10</v>
      </c>
      <c r="F69" s="514" t="s">
        <v>41</v>
      </c>
      <c r="G69" s="515"/>
      <c r="H69" s="516"/>
      <c r="I69" s="519"/>
      <c r="J69" s="516">
        <v>17169</v>
      </c>
      <c r="K69" s="519">
        <v>16870</v>
      </c>
      <c r="L69" s="516">
        <v>3965</v>
      </c>
      <c r="M69" s="519">
        <v>3635</v>
      </c>
      <c r="N69" s="516">
        <v>17576</v>
      </c>
      <c r="O69" s="519">
        <v>16710</v>
      </c>
      <c r="P69" s="506">
        <f t="shared" si="33"/>
        <v>38710</v>
      </c>
      <c r="Q69" s="507">
        <f t="shared" si="34"/>
        <v>1290.3333333333333</v>
      </c>
      <c r="R69" s="508">
        <f t="shared" si="35"/>
        <v>37215</v>
      </c>
      <c r="S69" s="509">
        <f t="shared" si="36"/>
        <v>1240.5</v>
      </c>
      <c r="T69" s="516">
        <v>1020</v>
      </c>
      <c r="U69" s="519">
        <v>1519</v>
      </c>
      <c r="V69" s="506">
        <f t="shared" si="37"/>
        <v>38710</v>
      </c>
      <c r="W69" s="510">
        <f t="shared" si="38"/>
        <v>37215</v>
      </c>
      <c r="X69" s="517"/>
      <c r="Y69" s="519"/>
      <c r="Z69" s="516"/>
      <c r="AA69" s="519"/>
      <c r="AB69" s="516"/>
      <c r="AC69" s="519"/>
      <c r="AD69" s="516"/>
      <c r="AE69" s="519"/>
      <c r="AF69" s="506">
        <f t="shared" si="39"/>
        <v>0</v>
      </c>
      <c r="AG69" s="507">
        <f t="shared" si="40"/>
        <v>0</v>
      </c>
      <c r="AH69" s="508">
        <f t="shared" si="41"/>
        <v>0</v>
      </c>
      <c r="AI69" s="508">
        <f t="shared" si="42"/>
        <v>0</v>
      </c>
      <c r="AJ69" s="516"/>
      <c r="AK69" s="519"/>
      <c r="AL69" s="506">
        <f t="shared" si="43"/>
        <v>0</v>
      </c>
      <c r="AM69" s="509">
        <f t="shared" si="44"/>
        <v>0</v>
      </c>
      <c r="AN69" s="518"/>
      <c r="AO69" s="520"/>
      <c r="AP69" s="516"/>
      <c r="AQ69" s="520"/>
      <c r="AR69" s="516"/>
      <c r="AS69" s="520"/>
      <c r="AT69" s="516"/>
      <c r="AU69" s="520"/>
      <c r="AV69" s="506">
        <f t="shared" si="45"/>
        <v>0</v>
      </c>
      <c r="AW69" s="511">
        <f t="shared" si="46"/>
        <v>0</v>
      </c>
      <c r="AX69" s="508">
        <f t="shared" si="47"/>
        <v>0</v>
      </c>
      <c r="AY69" s="512">
        <f t="shared" si="48"/>
        <v>0</v>
      </c>
      <c r="AZ69" s="513">
        <f t="shared" si="49"/>
        <v>1290.3333333333333</v>
      </c>
      <c r="BA69" s="508">
        <f t="shared" si="50"/>
        <v>1240.5</v>
      </c>
    </row>
    <row r="70" spans="1:53">
      <c r="A70" s="521" t="s">
        <v>704</v>
      </c>
      <c r="B70" s="505" t="s">
        <v>729</v>
      </c>
      <c r="C70" s="692"/>
      <c r="D70" s="521">
        <v>107619</v>
      </c>
      <c r="E70" s="521">
        <v>10</v>
      </c>
      <c r="F70" s="514" t="s">
        <v>41</v>
      </c>
      <c r="G70" s="515"/>
      <c r="H70" s="516"/>
      <c r="I70" s="519"/>
      <c r="J70" s="516">
        <v>17287</v>
      </c>
      <c r="K70" s="519">
        <v>15618</v>
      </c>
      <c r="L70" s="516">
        <v>3844</v>
      </c>
      <c r="M70" s="519">
        <v>2799</v>
      </c>
      <c r="N70" s="516">
        <v>18885</v>
      </c>
      <c r="O70" s="519">
        <v>16978</v>
      </c>
      <c r="P70" s="506">
        <f t="shared" si="33"/>
        <v>40016</v>
      </c>
      <c r="Q70" s="507">
        <f t="shared" si="34"/>
        <v>1333.8666666666666</v>
      </c>
      <c r="R70" s="508">
        <f t="shared" si="35"/>
        <v>35395</v>
      </c>
      <c r="S70" s="509">
        <f t="shared" si="36"/>
        <v>1179.8333333333333</v>
      </c>
      <c r="T70" s="516">
        <v>6604</v>
      </c>
      <c r="U70" s="519">
        <v>7104</v>
      </c>
      <c r="V70" s="506">
        <f t="shared" si="37"/>
        <v>40016</v>
      </c>
      <c r="W70" s="510">
        <f t="shared" si="38"/>
        <v>35395</v>
      </c>
      <c r="X70" s="517"/>
      <c r="Y70" s="519"/>
      <c r="Z70" s="516"/>
      <c r="AA70" s="519"/>
      <c r="AB70" s="516"/>
      <c r="AC70" s="519"/>
      <c r="AD70" s="516"/>
      <c r="AE70" s="519"/>
      <c r="AF70" s="506">
        <f t="shared" si="39"/>
        <v>0</v>
      </c>
      <c r="AG70" s="507">
        <f t="shared" si="40"/>
        <v>0</v>
      </c>
      <c r="AH70" s="508">
        <f t="shared" si="41"/>
        <v>0</v>
      </c>
      <c r="AI70" s="508">
        <f t="shared" si="42"/>
        <v>0</v>
      </c>
      <c r="AJ70" s="516"/>
      <c r="AK70" s="519"/>
      <c r="AL70" s="506">
        <f t="shared" si="43"/>
        <v>0</v>
      </c>
      <c r="AM70" s="509">
        <f t="shared" si="44"/>
        <v>0</v>
      </c>
      <c r="AN70" s="518"/>
      <c r="AO70" s="520"/>
      <c r="AP70" s="516"/>
      <c r="AQ70" s="520"/>
      <c r="AR70" s="516"/>
      <c r="AS70" s="520"/>
      <c r="AT70" s="516"/>
      <c r="AU70" s="520"/>
      <c r="AV70" s="506">
        <f t="shared" si="45"/>
        <v>0</v>
      </c>
      <c r="AW70" s="511">
        <f t="shared" si="46"/>
        <v>0</v>
      </c>
      <c r="AX70" s="508">
        <f t="shared" si="47"/>
        <v>0</v>
      </c>
      <c r="AY70" s="512">
        <f t="shared" si="48"/>
        <v>0</v>
      </c>
      <c r="AZ70" s="513">
        <f t="shared" si="49"/>
        <v>1333.8666666666666</v>
      </c>
      <c r="BA70" s="508">
        <f t="shared" si="50"/>
        <v>1179.8333333333333</v>
      </c>
    </row>
    <row r="71" spans="1:53">
      <c r="A71" s="521" t="s">
        <v>704</v>
      </c>
      <c r="B71" s="505" t="s">
        <v>730</v>
      </c>
      <c r="C71" s="692"/>
      <c r="D71" s="521">
        <v>107743</v>
      </c>
      <c r="E71" s="521">
        <v>10</v>
      </c>
      <c r="F71" s="514" t="s">
        <v>41</v>
      </c>
      <c r="G71" s="515"/>
      <c r="H71" s="516"/>
      <c r="I71" s="519"/>
      <c r="J71" s="516">
        <v>8658</v>
      </c>
      <c r="K71" s="519">
        <v>7202</v>
      </c>
      <c r="L71" s="516">
        <v>1459</v>
      </c>
      <c r="M71" s="519">
        <v>1540</v>
      </c>
      <c r="N71" s="516">
        <v>8434</v>
      </c>
      <c r="O71" s="519">
        <v>8950</v>
      </c>
      <c r="P71" s="506">
        <f t="shared" si="33"/>
        <v>18551</v>
      </c>
      <c r="Q71" s="507">
        <f t="shared" si="34"/>
        <v>618.36666666666667</v>
      </c>
      <c r="R71" s="508">
        <f t="shared" si="35"/>
        <v>17692</v>
      </c>
      <c r="S71" s="509">
        <f t="shared" si="36"/>
        <v>589.73333333333335</v>
      </c>
      <c r="T71" s="516">
        <v>386</v>
      </c>
      <c r="U71" s="519">
        <v>1379</v>
      </c>
      <c r="V71" s="506">
        <f t="shared" si="37"/>
        <v>18551</v>
      </c>
      <c r="W71" s="510">
        <f t="shared" si="38"/>
        <v>17692</v>
      </c>
      <c r="X71" s="517"/>
      <c r="Y71" s="519"/>
      <c r="Z71" s="516"/>
      <c r="AA71" s="519"/>
      <c r="AB71" s="516"/>
      <c r="AC71" s="519"/>
      <c r="AD71" s="516"/>
      <c r="AE71" s="519"/>
      <c r="AF71" s="506">
        <f t="shared" si="39"/>
        <v>0</v>
      </c>
      <c r="AG71" s="507">
        <f t="shared" si="40"/>
        <v>0</v>
      </c>
      <c r="AH71" s="508">
        <f t="shared" si="41"/>
        <v>0</v>
      </c>
      <c r="AI71" s="508">
        <f t="shared" si="42"/>
        <v>0</v>
      </c>
      <c r="AJ71" s="516"/>
      <c r="AK71" s="519"/>
      <c r="AL71" s="506">
        <f t="shared" si="43"/>
        <v>0</v>
      </c>
      <c r="AM71" s="509">
        <f t="shared" si="44"/>
        <v>0</v>
      </c>
      <c r="AN71" s="518"/>
      <c r="AO71" s="520"/>
      <c r="AP71" s="516"/>
      <c r="AQ71" s="520"/>
      <c r="AR71" s="516"/>
      <c r="AS71" s="520"/>
      <c r="AT71" s="516"/>
      <c r="AU71" s="520"/>
      <c r="AV71" s="506">
        <f t="shared" si="45"/>
        <v>0</v>
      </c>
      <c r="AW71" s="511">
        <f t="shared" si="46"/>
        <v>0</v>
      </c>
      <c r="AX71" s="508">
        <f t="shared" si="47"/>
        <v>0</v>
      </c>
      <c r="AY71" s="512">
        <f t="shared" si="48"/>
        <v>0</v>
      </c>
      <c r="AZ71" s="513">
        <f t="shared" si="49"/>
        <v>618.36666666666667</v>
      </c>
      <c r="BA71" s="508">
        <f t="shared" si="50"/>
        <v>589.73333333333335</v>
      </c>
    </row>
    <row r="72" spans="1:53">
      <c r="A72" s="521" t="s">
        <v>704</v>
      </c>
      <c r="B72" s="505" t="s">
        <v>731</v>
      </c>
      <c r="C72" s="692"/>
      <c r="D72" s="521">
        <v>107974</v>
      </c>
      <c r="E72" s="521">
        <v>10</v>
      </c>
      <c r="F72" s="514" t="s">
        <v>41</v>
      </c>
      <c r="G72" s="515"/>
      <c r="H72" s="516"/>
      <c r="I72" s="519"/>
      <c r="J72" s="516">
        <v>17047</v>
      </c>
      <c r="K72" s="519">
        <v>17434</v>
      </c>
      <c r="L72" s="516">
        <v>7185</v>
      </c>
      <c r="M72" s="519">
        <v>6320</v>
      </c>
      <c r="N72" s="516">
        <v>17513</v>
      </c>
      <c r="O72" s="519">
        <v>15924</v>
      </c>
      <c r="P72" s="506">
        <f t="shared" ref="P72:P122" si="51">SUM(H72,J72,L72,N72)</f>
        <v>41745</v>
      </c>
      <c r="Q72" s="507">
        <f t="shared" ref="Q72:Q122" si="52">+P72/30</f>
        <v>1391.5</v>
      </c>
      <c r="R72" s="508">
        <f t="shared" ref="R72:R122" si="53">SUM(I72,K72,M72,O72)</f>
        <v>39678</v>
      </c>
      <c r="S72" s="509">
        <f t="shared" ref="S72:S122" si="54">+R72/30</f>
        <v>1322.6</v>
      </c>
      <c r="T72" s="516">
        <v>2397</v>
      </c>
      <c r="U72" s="519">
        <v>2752</v>
      </c>
      <c r="V72" s="506">
        <f t="shared" ref="V72:V126" si="55">IF(ISBLANK(T72),0,P72)</f>
        <v>41745</v>
      </c>
      <c r="W72" s="510">
        <f t="shared" ref="W72:W126" si="56">IF(ISBLANK(U72),0,R72)</f>
        <v>39678</v>
      </c>
      <c r="X72" s="517"/>
      <c r="Y72" s="519"/>
      <c r="Z72" s="516"/>
      <c r="AA72" s="519"/>
      <c r="AB72" s="516"/>
      <c r="AC72" s="519"/>
      <c r="AD72" s="516"/>
      <c r="AE72" s="519"/>
      <c r="AF72" s="506">
        <f t="shared" ref="AF72:AF122" si="57">SUM(X72,Z72,AB72,AD72)</f>
        <v>0</v>
      </c>
      <c r="AG72" s="507">
        <f t="shared" ref="AG72:AG122" si="58">+AF72/900</f>
        <v>0</v>
      </c>
      <c r="AH72" s="508">
        <f t="shared" ref="AH72:AH122" si="59">SUM(Y72,AA72,AC72,AE72)</f>
        <v>0</v>
      </c>
      <c r="AI72" s="508">
        <f t="shared" ref="AI72:AI122" si="60">+AH72/900</f>
        <v>0</v>
      </c>
      <c r="AJ72" s="516"/>
      <c r="AK72" s="519"/>
      <c r="AL72" s="506">
        <f t="shared" ref="AL72:AL124" si="61">IF(ISBLANK(AJ72),0,AF72)</f>
        <v>0</v>
      </c>
      <c r="AM72" s="509">
        <f t="shared" ref="AM72:AM124" si="62">IF(ISBLANK(AK72),0,AH72)</f>
        <v>0</v>
      </c>
      <c r="AN72" s="518"/>
      <c r="AO72" s="520"/>
      <c r="AP72" s="516"/>
      <c r="AQ72" s="520"/>
      <c r="AR72" s="516"/>
      <c r="AS72" s="520"/>
      <c r="AT72" s="516"/>
      <c r="AU72" s="520"/>
      <c r="AV72" s="506">
        <f t="shared" ref="AV72:AV124" si="63">SUM(AN72,AP72,AR72,AT72)</f>
        <v>0</v>
      </c>
      <c r="AW72" s="511">
        <f t="shared" ref="AW72:AW124" si="64">+AV72/24</f>
        <v>0</v>
      </c>
      <c r="AX72" s="508">
        <f t="shared" ref="AX72:AX124" si="65">SUM(AO72,AQ72,AS72,AU72)</f>
        <v>0</v>
      </c>
      <c r="AY72" s="512">
        <f t="shared" ref="AY72:AY124" si="66">+AX72/24</f>
        <v>0</v>
      </c>
      <c r="AZ72" s="513">
        <f t="shared" ref="AZ72:AZ124" si="67">SUM(Q72,AG72,AW72)</f>
        <v>1391.5</v>
      </c>
      <c r="BA72" s="508">
        <f t="shared" ref="BA72:BA124" si="68">SUM(S72,AI72,AY72)</f>
        <v>1322.6</v>
      </c>
    </row>
    <row r="73" spans="1:53">
      <c r="A73" s="521" t="s">
        <v>704</v>
      </c>
      <c r="B73" s="505" t="s">
        <v>732</v>
      </c>
      <c r="C73" s="692"/>
      <c r="D73" s="521">
        <v>107637</v>
      </c>
      <c r="E73" s="521">
        <v>10</v>
      </c>
      <c r="F73" s="514" t="s">
        <v>41</v>
      </c>
      <c r="G73" s="515"/>
      <c r="H73" s="516"/>
      <c r="I73" s="519"/>
      <c r="J73" s="516">
        <v>19519</v>
      </c>
      <c r="K73" s="519">
        <v>19112</v>
      </c>
      <c r="L73" s="516">
        <v>6006</v>
      </c>
      <c r="M73" s="519">
        <v>4901</v>
      </c>
      <c r="N73" s="516">
        <v>21341</v>
      </c>
      <c r="O73" s="519">
        <v>17863</v>
      </c>
      <c r="P73" s="506">
        <f t="shared" si="51"/>
        <v>46866</v>
      </c>
      <c r="Q73" s="507">
        <f t="shared" si="52"/>
        <v>1562.2</v>
      </c>
      <c r="R73" s="508">
        <f t="shared" si="53"/>
        <v>41876</v>
      </c>
      <c r="S73" s="509">
        <f t="shared" si="54"/>
        <v>1395.8666666666666</v>
      </c>
      <c r="T73" s="516">
        <v>2111</v>
      </c>
      <c r="U73" s="519">
        <v>2325</v>
      </c>
      <c r="V73" s="506">
        <f t="shared" si="55"/>
        <v>46866</v>
      </c>
      <c r="W73" s="510">
        <f t="shared" si="56"/>
        <v>41876</v>
      </c>
      <c r="X73" s="517"/>
      <c r="Y73" s="519"/>
      <c r="Z73" s="516"/>
      <c r="AA73" s="519"/>
      <c r="AB73" s="516"/>
      <c r="AC73" s="519"/>
      <c r="AD73" s="516"/>
      <c r="AE73" s="519"/>
      <c r="AF73" s="506">
        <f t="shared" si="57"/>
        <v>0</v>
      </c>
      <c r="AG73" s="507">
        <f t="shared" si="58"/>
        <v>0</v>
      </c>
      <c r="AH73" s="508">
        <f t="shared" si="59"/>
        <v>0</v>
      </c>
      <c r="AI73" s="508">
        <f t="shared" si="60"/>
        <v>0</v>
      </c>
      <c r="AJ73" s="516"/>
      <c r="AK73" s="519"/>
      <c r="AL73" s="506">
        <f t="shared" si="61"/>
        <v>0</v>
      </c>
      <c r="AM73" s="509">
        <f t="shared" si="62"/>
        <v>0</v>
      </c>
      <c r="AN73" s="518"/>
      <c r="AO73" s="520"/>
      <c r="AP73" s="516"/>
      <c r="AQ73" s="520"/>
      <c r="AR73" s="516"/>
      <c r="AS73" s="520"/>
      <c r="AT73" s="516"/>
      <c r="AU73" s="520"/>
      <c r="AV73" s="506">
        <f t="shared" si="63"/>
        <v>0</v>
      </c>
      <c r="AW73" s="511">
        <f t="shared" si="64"/>
        <v>0</v>
      </c>
      <c r="AX73" s="508">
        <f t="shared" si="65"/>
        <v>0</v>
      </c>
      <c r="AY73" s="512">
        <f t="shared" si="66"/>
        <v>0</v>
      </c>
      <c r="AZ73" s="513">
        <f t="shared" si="67"/>
        <v>1562.2</v>
      </c>
      <c r="BA73" s="508">
        <f t="shared" si="68"/>
        <v>1395.8666666666666</v>
      </c>
    </row>
    <row r="74" spans="1:53" ht="13.5" thickBot="1">
      <c r="A74" s="521" t="s">
        <v>704</v>
      </c>
      <c r="B74" s="505" t="s">
        <v>733</v>
      </c>
      <c r="C74" s="692"/>
      <c r="D74" s="521">
        <v>107992</v>
      </c>
      <c r="E74" s="521">
        <v>10</v>
      </c>
      <c r="F74" s="514" t="s">
        <v>41</v>
      </c>
      <c r="G74" s="515"/>
      <c r="H74" s="516"/>
      <c r="I74" s="519"/>
      <c r="J74" s="516">
        <v>13632</v>
      </c>
      <c r="K74" s="519">
        <v>13869</v>
      </c>
      <c r="L74" s="516">
        <v>5377</v>
      </c>
      <c r="M74" s="519">
        <v>4264</v>
      </c>
      <c r="N74" s="516">
        <v>14888</v>
      </c>
      <c r="O74" s="519">
        <v>14467</v>
      </c>
      <c r="P74" s="506">
        <f t="shared" si="51"/>
        <v>33897</v>
      </c>
      <c r="Q74" s="507">
        <f t="shared" si="52"/>
        <v>1129.9000000000001</v>
      </c>
      <c r="R74" s="508">
        <f t="shared" si="53"/>
        <v>32600</v>
      </c>
      <c r="S74" s="509">
        <f t="shared" si="54"/>
        <v>1086.6666666666667</v>
      </c>
      <c r="T74" s="516">
        <v>2441</v>
      </c>
      <c r="U74" s="519">
        <v>2852</v>
      </c>
      <c r="V74" s="506">
        <f t="shared" si="55"/>
        <v>33897</v>
      </c>
      <c r="W74" s="510">
        <f t="shared" si="56"/>
        <v>32600</v>
      </c>
      <c r="X74" s="517"/>
      <c r="Y74" s="519"/>
      <c r="Z74" s="516"/>
      <c r="AA74" s="519"/>
      <c r="AB74" s="516"/>
      <c r="AC74" s="519"/>
      <c r="AD74" s="516"/>
      <c r="AE74" s="519"/>
      <c r="AF74" s="506">
        <f t="shared" si="57"/>
        <v>0</v>
      </c>
      <c r="AG74" s="507">
        <f t="shared" si="58"/>
        <v>0</v>
      </c>
      <c r="AH74" s="508">
        <f t="shared" si="59"/>
        <v>0</v>
      </c>
      <c r="AI74" s="508">
        <f t="shared" si="60"/>
        <v>0</v>
      </c>
      <c r="AJ74" s="516"/>
      <c r="AK74" s="519"/>
      <c r="AL74" s="506">
        <f t="shared" si="61"/>
        <v>0</v>
      </c>
      <c r="AM74" s="509">
        <f t="shared" si="62"/>
        <v>0</v>
      </c>
      <c r="AN74" s="518"/>
      <c r="AO74" s="520"/>
      <c r="AP74" s="516"/>
      <c r="AQ74" s="520"/>
      <c r="AR74" s="516"/>
      <c r="AS74" s="520"/>
      <c r="AT74" s="516"/>
      <c r="AU74" s="520"/>
      <c r="AV74" s="506">
        <f t="shared" si="63"/>
        <v>0</v>
      </c>
      <c r="AW74" s="511">
        <f t="shared" si="64"/>
        <v>0</v>
      </c>
      <c r="AX74" s="508">
        <f t="shared" si="65"/>
        <v>0</v>
      </c>
      <c r="AY74" s="512">
        <f t="shared" si="66"/>
        <v>0</v>
      </c>
      <c r="AZ74" s="513">
        <f t="shared" si="67"/>
        <v>1129.9000000000001</v>
      </c>
      <c r="BA74" s="508">
        <f t="shared" si="68"/>
        <v>1086.6666666666667</v>
      </c>
    </row>
    <row r="75" spans="1:53" ht="13.5" thickBot="1">
      <c r="A75" s="521" t="s">
        <v>704</v>
      </c>
      <c r="B75" s="505" t="s">
        <v>734</v>
      </c>
      <c r="C75" s="692"/>
      <c r="D75" s="521">
        <v>106999</v>
      </c>
      <c r="E75" s="521">
        <v>10</v>
      </c>
      <c r="F75" s="514" t="s">
        <v>41</v>
      </c>
      <c r="G75" s="515"/>
      <c r="H75" s="516"/>
      <c r="I75" s="519"/>
      <c r="J75" s="516">
        <v>18090</v>
      </c>
      <c r="K75" s="830">
        <v>14935</v>
      </c>
      <c r="L75" s="516">
        <v>3530</v>
      </c>
      <c r="M75" s="519">
        <v>3158</v>
      </c>
      <c r="N75" s="516">
        <v>17006</v>
      </c>
      <c r="O75" s="830">
        <v>15324</v>
      </c>
      <c r="P75" s="506">
        <f t="shared" si="51"/>
        <v>38626</v>
      </c>
      <c r="Q75" s="507">
        <f t="shared" si="52"/>
        <v>1287.5333333333333</v>
      </c>
      <c r="R75" s="508">
        <f t="shared" si="53"/>
        <v>33417</v>
      </c>
      <c r="S75" s="509">
        <f t="shared" si="54"/>
        <v>1113.9000000000001</v>
      </c>
      <c r="T75" s="516">
        <v>924</v>
      </c>
      <c r="U75" s="519">
        <v>1252</v>
      </c>
      <c r="V75" s="506">
        <f t="shared" si="55"/>
        <v>38626</v>
      </c>
      <c r="W75" s="510">
        <f t="shared" si="56"/>
        <v>33417</v>
      </c>
      <c r="X75" s="517"/>
      <c r="Y75" s="519"/>
      <c r="Z75" s="516"/>
      <c r="AA75" s="519"/>
      <c r="AB75" s="516"/>
      <c r="AC75" s="519"/>
      <c r="AD75" s="516"/>
      <c r="AE75" s="519"/>
      <c r="AF75" s="506">
        <f t="shared" si="57"/>
        <v>0</v>
      </c>
      <c r="AG75" s="507">
        <f t="shared" si="58"/>
        <v>0</v>
      </c>
      <c r="AH75" s="508">
        <f t="shared" si="59"/>
        <v>0</v>
      </c>
      <c r="AI75" s="508">
        <f t="shared" si="60"/>
        <v>0</v>
      </c>
      <c r="AJ75" s="516"/>
      <c r="AK75" s="519"/>
      <c r="AL75" s="506">
        <f t="shared" si="61"/>
        <v>0</v>
      </c>
      <c r="AM75" s="509">
        <f t="shared" si="62"/>
        <v>0</v>
      </c>
      <c r="AN75" s="518"/>
      <c r="AO75" s="520"/>
      <c r="AP75" s="516"/>
      <c r="AQ75" s="520"/>
      <c r="AR75" s="516"/>
      <c r="AS75" s="520"/>
      <c r="AT75" s="516"/>
      <c r="AU75" s="520"/>
      <c r="AV75" s="506">
        <f t="shared" si="63"/>
        <v>0</v>
      </c>
      <c r="AW75" s="511">
        <f t="shared" si="64"/>
        <v>0</v>
      </c>
      <c r="AX75" s="508">
        <f t="shared" si="65"/>
        <v>0</v>
      </c>
      <c r="AY75" s="512">
        <f t="shared" si="66"/>
        <v>0</v>
      </c>
      <c r="AZ75" s="513">
        <f t="shared" si="67"/>
        <v>1287.5333333333333</v>
      </c>
      <c r="BA75" s="508">
        <f t="shared" si="68"/>
        <v>1113.9000000000001</v>
      </c>
    </row>
    <row r="76" spans="1:53" ht="13.5" thickBot="1">
      <c r="A76" s="521" t="s">
        <v>704</v>
      </c>
      <c r="B76" s="505" t="s">
        <v>735</v>
      </c>
      <c r="C76" s="692"/>
      <c r="D76" s="521">
        <v>107725</v>
      </c>
      <c r="E76" s="521">
        <v>10</v>
      </c>
      <c r="F76" s="514" t="s">
        <v>41</v>
      </c>
      <c r="G76" s="515"/>
      <c r="H76" s="516"/>
      <c r="I76" s="519"/>
      <c r="J76" s="516">
        <v>14520</v>
      </c>
      <c r="K76" s="519">
        <v>12230</v>
      </c>
      <c r="L76" s="516">
        <v>2923</v>
      </c>
      <c r="M76" s="519">
        <v>2191</v>
      </c>
      <c r="N76" s="516">
        <v>13999</v>
      </c>
      <c r="O76" s="830">
        <v>14693</v>
      </c>
      <c r="P76" s="506">
        <f t="shared" si="51"/>
        <v>31442</v>
      </c>
      <c r="Q76" s="507">
        <f t="shared" si="52"/>
        <v>1048.0666666666666</v>
      </c>
      <c r="R76" s="508">
        <f t="shared" si="53"/>
        <v>29114</v>
      </c>
      <c r="S76" s="509">
        <f t="shared" si="54"/>
        <v>970.4666666666667</v>
      </c>
      <c r="T76" s="516">
        <v>1664</v>
      </c>
      <c r="U76" s="519">
        <v>1805</v>
      </c>
      <c r="V76" s="506">
        <f t="shared" si="55"/>
        <v>31442</v>
      </c>
      <c r="W76" s="510">
        <f t="shared" si="56"/>
        <v>29114</v>
      </c>
      <c r="X76" s="517"/>
      <c r="Y76" s="519"/>
      <c r="Z76" s="516"/>
      <c r="AA76" s="519"/>
      <c r="AB76" s="516"/>
      <c r="AC76" s="519"/>
      <c r="AD76" s="516"/>
      <c r="AE76" s="519"/>
      <c r="AF76" s="506">
        <f t="shared" si="57"/>
        <v>0</v>
      </c>
      <c r="AG76" s="507">
        <f t="shared" si="58"/>
        <v>0</v>
      </c>
      <c r="AH76" s="508">
        <f t="shared" si="59"/>
        <v>0</v>
      </c>
      <c r="AI76" s="508">
        <f t="shared" si="60"/>
        <v>0</v>
      </c>
      <c r="AJ76" s="516"/>
      <c r="AK76" s="519"/>
      <c r="AL76" s="506">
        <f t="shared" si="61"/>
        <v>0</v>
      </c>
      <c r="AM76" s="509">
        <f t="shared" si="62"/>
        <v>0</v>
      </c>
      <c r="AN76" s="518"/>
      <c r="AO76" s="520"/>
      <c r="AP76" s="516"/>
      <c r="AQ76" s="520"/>
      <c r="AR76" s="516"/>
      <c r="AS76" s="520"/>
      <c r="AT76" s="516"/>
      <c r="AU76" s="520"/>
      <c r="AV76" s="506">
        <f t="shared" si="63"/>
        <v>0</v>
      </c>
      <c r="AW76" s="511">
        <f t="shared" si="64"/>
        <v>0</v>
      </c>
      <c r="AX76" s="508">
        <f t="shared" si="65"/>
        <v>0</v>
      </c>
      <c r="AY76" s="512">
        <f t="shared" si="66"/>
        <v>0</v>
      </c>
      <c r="AZ76" s="513">
        <f t="shared" si="67"/>
        <v>1048.0666666666666</v>
      </c>
      <c r="BA76" s="508">
        <f t="shared" si="68"/>
        <v>970.4666666666667</v>
      </c>
    </row>
    <row r="77" spans="1:53">
      <c r="A77" s="521" t="s">
        <v>704</v>
      </c>
      <c r="B77" s="505" t="s">
        <v>736</v>
      </c>
      <c r="C77" s="692"/>
      <c r="D77" s="521">
        <v>107585</v>
      </c>
      <c r="E77" s="521">
        <v>10</v>
      </c>
      <c r="F77" s="514" t="s">
        <v>41</v>
      </c>
      <c r="G77" s="515"/>
      <c r="H77" s="516"/>
      <c r="I77" s="519"/>
      <c r="J77" s="516">
        <v>26522</v>
      </c>
      <c r="K77" s="519">
        <v>23858</v>
      </c>
      <c r="L77" s="516">
        <v>4265</v>
      </c>
      <c r="M77" s="519">
        <v>3265</v>
      </c>
      <c r="N77" s="516">
        <v>26847</v>
      </c>
      <c r="O77" s="519">
        <v>24088</v>
      </c>
      <c r="P77" s="506">
        <f t="shared" si="51"/>
        <v>57634</v>
      </c>
      <c r="Q77" s="507">
        <f t="shared" si="52"/>
        <v>1921.1333333333334</v>
      </c>
      <c r="R77" s="508">
        <f t="shared" si="53"/>
        <v>51211</v>
      </c>
      <c r="S77" s="509">
        <f t="shared" si="54"/>
        <v>1707.0333333333333</v>
      </c>
      <c r="T77" s="516">
        <v>545</v>
      </c>
      <c r="U77" s="519">
        <v>444</v>
      </c>
      <c r="V77" s="506">
        <f t="shared" si="55"/>
        <v>57634</v>
      </c>
      <c r="W77" s="510">
        <f t="shared" si="56"/>
        <v>51211</v>
      </c>
      <c r="X77" s="517"/>
      <c r="Y77" s="519"/>
      <c r="Z77" s="516"/>
      <c r="AA77" s="519"/>
      <c r="AB77" s="516"/>
      <c r="AC77" s="519"/>
      <c r="AD77" s="516"/>
      <c r="AE77" s="519"/>
      <c r="AF77" s="506">
        <f t="shared" si="57"/>
        <v>0</v>
      </c>
      <c r="AG77" s="507">
        <f t="shared" si="58"/>
        <v>0</v>
      </c>
      <c r="AH77" s="508">
        <f t="shared" si="59"/>
        <v>0</v>
      </c>
      <c r="AI77" s="508">
        <f t="shared" si="60"/>
        <v>0</v>
      </c>
      <c r="AJ77" s="516"/>
      <c r="AK77" s="519"/>
      <c r="AL77" s="506">
        <f t="shared" si="61"/>
        <v>0</v>
      </c>
      <c r="AM77" s="509">
        <f t="shared" si="62"/>
        <v>0</v>
      </c>
      <c r="AN77" s="518"/>
      <c r="AO77" s="520"/>
      <c r="AP77" s="516"/>
      <c r="AQ77" s="520"/>
      <c r="AR77" s="516"/>
      <c r="AS77" s="520"/>
      <c r="AT77" s="516"/>
      <c r="AU77" s="520"/>
      <c r="AV77" s="506">
        <f t="shared" si="63"/>
        <v>0</v>
      </c>
      <c r="AW77" s="511">
        <f t="shared" si="64"/>
        <v>0</v>
      </c>
      <c r="AX77" s="508">
        <f t="shared" si="65"/>
        <v>0</v>
      </c>
      <c r="AY77" s="512">
        <f t="shared" si="66"/>
        <v>0</v>
      </c>
      <c r="AZ77" s="513">
        <f t="shared" si="67"/>
        <v>1921.1333333333334</v>
      </c>
      <c r="BA77" s="508">
        <f t="shared" si="68"/>
        <v>1707.0333333333333</v>
      </c>
    </row>
    <row r="78" spans="1:53">
      <c r="A78" s="708" t="s">
        <v>816</v>
      </c>
      <c r="B78" s="709" t="s">
        <v>817</v>
      </c>
      <c r="C78" s="710"/>
      <c r="D78" s="708">
        <v>130943</v>
      </c>
      <c r="E78" s="708">
        <v>1</v>
      </c>
      <c r="F78" s="514" t="s">
        <v>41</v>
      </c>
      <c r="G78" s="515" t="s">
        <v>41</v>
      </c>
      <c r="H78" s="516">
        <v>32358</v>
      </c>
      <c r="I78" s="519">
        <v>30784</v>
      </c>
      <c r="J78" s="516">
        <v>227549</v>
      </c>
      <c r="K78" s="519">
        <v>234969</v>
      </c>
      <c r="L78" s="516">
        <v>14925</v>
      </c>
      <c r="M78" s="519">
        <v>15364</v>
      </c>
      <c r="N78" s="516">
        <v>250767</v>
      </c>
      <c r="O78" s="519">
        <v>257692</v>
      </c>
      <c r="P78" s="506">
        <f t="shared" si="51"/>
        <v>525599</v>
      </c>
      <c r="Q78" s="507">
        <f t="shared" si="52"/>
        <v>17519.966666666667</v>
      </c>
      <c r="R78" s="508">
        <f t="shared" si="53"/>
        <v>538809</v>
      </c>
      <c r="S78" s="509">
        <f t="shared" si="54"/>
        <v>17960.3</v>
      </c>
      <c r="T78" s="516"/>
      <c r="U78" s="519"/>
      <c r="V78" s="506">
        <f t="shared" si="55"/>
        <v>0</v>
      </c>
      <c r="W78" s="510">
        <f t="shared" si="56"/>
        <v>0</v>
      </c>
      <c r="X78" s="517"/>
      <c r="Y78" s="519"/>
      <c r="Z78" s="516"/>
      <c r="AA78" s="519"/>
      <c r="AB78" s="516"/>
      <c r="AC78" s="519"/>
      <c r="AD78" s="516"/>
      <c r="AE78" s="519"/>
      <c r="AF78" s="506">
        <f t="shared" si="57"/>
        <v>0</v>
      </c>
      <c r="AG78" s="507">
        <f t="shared" si="58"/>
        <v>0</v>
      </c>
      <c r="AH78" s="508">
        <f t="shared" si="59"/>
        <v>0</v>
      </c>
      <c r="AI78" s="508">
        <f t="shared" si="60"/>
        <v>0</v>
      </c>
      <c r="AJ78" s="516"/>
      <c r="AK78" s="519"/>
      <c r="AL78" s="506">
        <f t="shared" si="61"/>
        <v>0</v>
      </c>
      <c r="AM78" s="509">
        <f t="shared" si="62"/>
        <v>0</v>
      </c>
      <c r="AN78" s="518">
        <v>1643</v>
      </c>
      <c r="AO78" s="520">
        <v>1401</v>
      </c>
      <c r="AP78" s="516">
        <v>21789</v>
      </c>
      <c r="AQ78" s="520">
        <v>21140</v>
      </c>
      <c r="AR78" s="516">
        <v>5100</v>
      </c>
      <c r="AS78" s="520">
        <v>4351</v>
      </c>
      <c r="AT78" s="516">
        <v>23212</v>
      </c>
      <c r="AU78" s="520">
        <v>24064</v>
      </c>
      <c r="AV78" s="506">
        <f t="shared" si="63"/>
        <v>51744</v>
      </c>
      <c r="AW78" s="511">
        <f t="shared" si="64"/>
        <v>2156</v>
      </c>
      <c r="AX78" s="508">
        <f t="shared" si="65"/>
        <v>50956</v>
      </c>
      <c r="AY78" s="512">
        <f t="shared" si="66"/>
        <v>2123.1666666666665</v>
      </c>
      <c r="AZ78" s="513">
        <f t="shared" si="67"/>
        <v>19675.966666666667</v>
      </c>
      <c r="BA78" s="508">
        <f t="shared" si="68"/>
        <v>20083.466666666667</v>
      </c>
    </row>
    <row r="79" spans="1:53">
      <c r="A79" s="708" t="s">
        <v>816</v>
      </c>
      <c r="B79" s="711" t="s">
        <v>818</v>
      </c>
      <c r="C79" s="715" t="s">
        <v>737</v>
      </c>
      <c r="D79" s="708">
        <v>130934</v>
      </c>
      <c r="E79" s="713">
        <v>3</v>
      </c>
      <c r="F79" s="514" t="s">
        <v>41</v>
      </c>
      <c r="G79" s="515" t="s">
        <v>41</v>
      </c>
      <c r="H79" s="516"/>
      <c r="I79" s="519"/>
      <c r="J79" s="516">
        <v>43388</v>
      </c>
      <c r="K79" s="519">
        <v>49398</v>
      </c>
      <c r="L79" s="516">
        <v>4723</v>
      </c>
      <c r="M79" s="519">
        <v>4005</v>
      </c>
      <c r="N79" s="516">
        <v>55120</v>
      </c>
      <c r="O79" s="519">
        <v>56630</v>
      </c>
      <c r="P79" s="506">
        <f t="shared" si="51"/>
        <v>103231</v>
      </c>
      <c r="Q79" s="507">
        <f t="shared" si="52"/>
        <v>3441.0333333333333</v>
      </c>
      <c r="R79" s="508">
        <f t="shared" si="53"/>
        <v>110033</v>
      </c>
      <c r="S79" s="509">
        <f t="shared" si="54"/>
        <v>3667.7666666666669</v>
      </c>
      <c r="T79" s="516"/>
      <c r="U79" s="519"/>
      <c r="V79" s="506">
        <f t="shared" si="55"/>
        <v>0</v>
      </c>
      <c r="W79" s="510">
        <f t="shared" si="56"/>
        <v>0</v>
      </c>
      <c r="X79" s="517"/>
      <c r="Y79" s="519"/>
      <c r="Z79" s="516"/>
      <c r="AA79" s="519"/>
      <c r="AB79" s="516"/>
      <c r="AC79" s="519"/>
      <c r="AD79" s="516"/>
      <c r="AE79" s="519"/>
      <c r="AF79" s="506">
        <f t="shared" si="57"/>
        <v>0</v>
      </c>
      <c r="AG79" s="507">
        <f t="shared" si="58"/>
        <v>0</v>
      </c>
      <c r="AH79" s="508">
        <f t="shared" si="59"/>
        <v>0</v>
      </c>
      <c r="AI79" s="508">
        <f t="shared" si="60"/>
        <v>0</v>
      </c>
      <c r="AJ79" s="516"/>
      <c r="AK79" s="519"/>
      <c r="AL79" s="506">
        <f t="shared" si="61"/>
        <v>0</v>
      </c>
      <c r="AM79" s="509">
        <f t="shared" si="62"/>
        <v>0</v>
      </c>
      <c r="AN79" s="518"/>
      <c r="AO79" s="520"/>
      <c r="AP79" s="516">
        <v>3701</v>
      </c>
      <c r="AQ79" s="520">
        <v>1786</v>
      </c>
      <c r="AR79" s="516">
        <v>1178</v>
      </c>
      <c r="AS79" s="520">
        <v>556</v>
      </c>
      <c r="AT79" s="516">
        <v>3236</v>
      </c>
      <c r="AU79" s="520">
        <v>2195</v>
      </c>
      <c r="AV79" s="506">
        <f t="shared" si="63"/>
        <v>8115</v>
      </c>
      <c r="AW79" s="511">
        <f t="shared" si="64"/>
        <v>338.125</v>
      </c>
      <c r="AX79" s="508">
        <f t="shared" si="65"/>
        <v>4537</v>
      </c>
      <c r="AY79" s="512">
        <f t="shared" si="66"/>
        <v>189.04166666666666</v>
      </c>
      <c r="AZ79" s="513">
        <f t="shared" si="67"/>
        <v>3779.1583333333333</v>
      </c>
      <c r="BA79" s="508">
        <f t="shared" si="68"/>
        <v>3856.8083333333334</v>
      </c>
    </row>
    <row r="80" spans="1:53">
      <c r="A80" s="708" t="s">
        <v>816</v>
      </c>
      <c r="B80" s="675" t="s">
        <v>819</v>
      </c>
      <c r="C80" s="712"/>
      <c r="D80" s="708">
        <v>130916</v>
      </c>
      <c r="E80" s="687">
        <v>8</v>
      </c>
      <c r="F80" s="514" t="s">
        <v>41</v>
      </c>
      <c r="G80" s="515" t="s">
        <v>41</v>
      </c>
      <c r="H80" s="516"/>
      <c r="I80" s="519"/>
      <c r="J80" s="516">
        <v>67910</v>
      </c>
      <c r="K80" s="519">
        <v>66323</v>
      </c>
      <c r="L80" s="516">
        <v>18232</v>
      </c>
      <c r="M80" s="519">
        <v>16560</v>
      </c>
      <c r="N80" s="516">
        <v>71610</v>
      </c>
      <c r="O80" s="519">
        <v>70523</v>
      </c>
      <c r="P80" s="506">
        <f t="shared" si="51"/>
        <v>157752</v>
      </c>
      <c r="Q80" s="507">
        <f t="shared" si="52"/>
        <v>5258.4</v>
      </c>
      <c r="R80" s="508">
        <f t="shared" si="53"/>
        <v>153406</v>
      </c>
      <c r="S80" s="509">
        <f t="shared" si="54"/>
        <v>5113.5333333333338</v>
      </c>
      <c r="T80" s="516"/>
      <c r="U80" s="519"/>
      <c r="V80" s="506">
        <f t="shared" si="55"/>
        <v>0</v>
      </c>
      <c r="W80" s="510">
        <f t="shared" si="56"/>
        <v>0</v>
      </c>
      <c r="X80" s="517"/>
      <c r="Y80" s="519"/>
      <c r="Z80" s="516"/>
      <c r="AA80" s="519"/>
      <c r="AB80" s="516"/>
      <c r="AC80" s="519"/>
      <c r="AD80" s="516"/>
      <c r="AE80" s="519"/>
      <c r="AF80" s="506">
        <f t="shared" si="57"/>
        <v>0</v>
      </c>
      <c r="AG80" s="507">
        <f t="shared" si="58"/>
        <v>0</v>
      </c>
      <c r="AH80" s="508">
        <f t="shared" si="59"/>
        <v>0</v>
      </c>
      <c r="AI80" s="508">
        <f t="shared" si="60"/>
        <v>0</v>
      </c>
      <c r="AJ80" s="516"/>
      <c r="AK80" s="519"/>
      <c r="AL80" s="506">
        <f t="shared" si="61"/>
        <v>0</v>
      </c>
      <c r="AM80" s="509">
        <f t="shared" si="62"/>
        <v>0</v>
      </c>
      <c r="AN80" s="518"/>
      <c r="AO80" s="520"/>
      <c r="AP80" s="516"/>
      <c r="AQ80" s="520"/>
      <c r="AR80" s="516"/>
      <c r="AS80" s="520"/>
      <c r="AT80" s="516"/>
      <c r="AU80" s="520"/>
      <c r="AV80" s="506">
        <f t="shared" si="63"/>
        <v>0</v>
      </c>
      <c r="AW80" s="511">
        <f t="shared" si="64"/>
        <v>0</v>
      </c>
      <c r="AX80" s="508">
        <f t="shared" si="65"/>
        <v>0</v>
      </c>
      <c r="AY80" s="512">
        <f t="shared" si="66"/>
        <v>0</v>
      </c>
      <c r="AZ80" s="513">
        <f t="shared" si="67"/>
        <v>5258.4</v>
      </c>
      <c r="BA80" s="508">
        <f t="shared" si="68"/>
        <v>5113.5333333333338</v>
      </c>
    </row>
    <row r="81" spans="1:53">
      <c r="A81" s="708" t="s">
        <v>816</v>
      </c>
      <c r="B81" s="675" t="s">
        <v>820</v>
      </c>
      <c r="C81" s="714"/>
      <c r="D81" s="708">
        <v>130891</v>
      </c>
      <c r="E81" s="708">
        <v>9</v>
      </c>
      <c r="F81" s="514" t="s">
        <v>41</v>
      </c>
      <c r="G81" s="515" t="s">
        <v>41</v>
      </c>
      <c r="H81" s="516"/>
      <c r="I81" s="519"/>
      <c r="J81" s="516">
        <v>46550</v>
      </c>
      <c r="K81" s="519">
        <v>44367</v>
      </c>
      <c r="L81" s="516">
        <v>8819</v>
      </c>
      <c r="M81" s="519">
        <v>8406</v>
      </c>
      <c r="N81" s="516">
        <v>48806</v>
      </c>
      <c r="O81" s="519">
        <v>46165</v>
      </c>
      <c r="P81" s="506">
        <f t="shared" si="51"/>
        <v>104175</v>
      </c>
      <c r="Q81" s="507">
        <f t="shared" si="52"/>
        <v>3472.5</v>
      </c>
      <c r="R81" s="508">
        <f t="shared" si="53"/>
        <v>98938</v>
      </c>
      <c r="S81" s="509">
        <f t="shared" si="54"/>
        <v>3297.9333333333334</v>
      </c>
      <c r="T81" s="516"/>
      <c r="U81" s="519"/>
      <c r="V81" s="506">
        <f t="shared" si="55"/>
        <v>0</v>
      </c>
      <c r="W81" s="510">
        <f t="shared" si="56"/>
        <v>0</v>
      </c>
      <c r="X81" s="517"/>
      <c r="Y81" s="519"/>
      <c r="Z81" s="516"/>
      <c r="AA81" s="519"/>
      <c r="AB81" s="516"/>
      <c r="AC81" s="519"/>
      <c r="AD81" s="516"/>
      <c r="AE81" s="519"/>
      <c r="AF81" s="506">
        <f t="shared" si="57"/>
        <v>0</v>
      </c>
      <c r="AG81" s="507">
        <f t="shared" si="58"/>
        <v>0</v>
      </c>
      <c r="AH81" s="508">
        <f t="shared" si="59"/>
        <v>0</v>
      </c>
      <c r="AI81" s="508">
        <f t="shared" si="60"/>
        <v>0</v>
      </c>
      <c r="AJ81" s="516"/>
      <c r="AK81" s="519"/>
      <c r="AL81" s="506">
        <f t="shared" si="61"/>
        <v>0</v>
      </c>
      <c r="AM81" s="509">
        <f t="shared" si="62"/>
        <v>0</v>
      </c>
      <c r="AN81" s="518"/>
      <c r="AO81" s="520"/>
      <c r="AP81" s="516"/>
      <c r="AQ81" s="520"/>
      <c r="AR81" s="516"/>
      <c r="AS81" s="520"/>
      <c r="AT81" s="516"/>
      <c r="AU81" s="520"/>
      <c r="AV81" s="506">
        <f t="shared" si="63"/>
        <v>0</v>
      </c>
      <c r="AW81" s="511">
        <f t="shared" si="64"/>
        <v>0</v>
      </c>
      <c r="AX81" s="508">
        <f t="shared" si="65"/>
        <v>0</v>
      </c>
      <c r="AY81" s="512">
        <f t="shared" si="66"/>
        <v>0</v>
      </c>
      <c r="AZ81" s="513">
        <f t="shared" si="67"/>
        <v>3472.5</v>
      </c>
      <c r="BA81" s="508">
        <f t="shared" si="68"/>
        <v>3297.9333333333334</v>
      </c>
    </row>
    <row r="82" spans="1:53">
      <c r="A82" s="708" t="s">
        <v>816</v>
      </c>
      <c r="B82" s="709" t="s">
        <v>821</v>
      </c>
      <c r="C82" s="710"/>
      <c r="D82" s="708">
        <v>130907</v>
      </c>
      <c r="E82" s="708">
        <v>9</v>
      </c>
      <c r="F82" s="514" t="s">
        <v>41</v>
      </c>
      <c r="G82" s="515" t="s">
        <v>41</v>
      </c>
      <c r="H82" s="516"/>
      <c r="I82" s="519"/>
      <c r="J82" s="516">
        <v>32418</v>
      </c>
      <c r="K82" s="519">
        <v>31712</v>
      </c>
      <c r="L82" s="516">
        <v>8310</v>
      </c>
      <c r="M82" s="519">
        <v>7569</v>
      </c>
      <c r="N82" s="516">
        <v>33865</v>
      </c>
      <c r="O82" s="519">
        <v>31624</v>
      </c>
      <c r="P82" s="506">
        <f t="shared" si="51"/>
        <v>74593</v>
      </c>
      <c r="Q82" s="507">
        <f t="shared" si="52"/>
        <v>2486.4333333333334</v>
      </c>
      <c r="R82" s="508">
        <f t="shared" si="53"/>
        <v>70905</v>
      </c>
      <c r="S82" s="509">
        <f t="shared" si="54"/>
        <v>2363.5</v>
      </c>
      <c r="T82" s="516"/>
      <c r="U82" s="519"/>
      <c r="V82" s="506">
        <f t="shared" si="55"/>
        <v>0</v>
      </c>
      <c r="W82" s="510">
        <f t="shared" si="56"/>
        <v>0</v>
      </c>
      <c r="X82" s="517"/>
      <c r="Y82" s="519"/>
      <c r="Z82" s="516"/>
      <c r="AA82" s="519"/>
      <c r="AB82" s="516"/>
      <c r="AC82" s="519"/>
      <c r="AD82" s="516"/>
      <c r="AE82" s="519"/>
      <c r="AF82" s="506">
        <f t="shared" si="57"/>
        <v>0</v>
      </c>
      <c r="AG82" s="507">
        <f t="shared" si="58"/>
        <v>0</v>
      </c>
      <c r="AH82" s="508">
        <f t="shared" si="59"/>
        <v>0</v>
      </c>
      <c r="AI82" s="508">
        <f t="shared" si="60"/>
        <v>0</v>
      </c>
      <c r="AJ82" s="516"/>
      <c r="AK82" s="519"/>
      <c r="AL82" s="506">
        <f t="shared" si="61"/>
        <v>0</v>
      </c>
      <c r="AM82" s="509">
        <f t="shared" si="62"/>
        <v>0</v>
      </c>
      <c r="AN82" s="518"/>
      <c r="AO82" s="520"/>
      <c r="AP82" s="516"/>
      <c r="AQ82" s="520"/>
      <c r="AR82" s="516"/>
      <c r="AS82" s="520"/>
      <c r="AT82" s="516"/>
      <c r="AU82" s="520"/>
      <c r="AV82" s="506">
        <f t="shared" si="63"/>
        <v>0</v>
      </c>
      <c r="AW82" s="511">
        <f t="shared" si="64"/>
        <v>0</v>
      </c>
      <c r="AX82" s="508">
        <f t="shared" si="65"/>
        <v>0</v>
      </c>
      <c r="AY82" s="512">
        <f t="shared" si="66"/>
        <v>0</v>
      </c>
      <c r="AZ82" s="513">
        <f t="shared" si="67"/>
        <v>2486.4333333333334</v>
      </c>
      <c r="BA82" s="508">
        <f t="shared" si="68"/>
        <v>2363.5</v>
      </c>
    </row>
    <row r="83" spans="1:53">
      <c r="A83" s="597" t="s">
        <v>803</v>
      </c>
      <c r="B83" s="706" t="s">
        <v>804</v>
      </c>
      <c r="C83" s="707"/>
      <c r="D83" s="597">
        <v>133951</v>
      </c>
      <c r="E83" s="597">
        <v>1</v>
      </c>
      <c r="F83" s="514" t="s">
        <v>41</v>
      </c>
      <c r="G83" s="515"/>
      <c r="H83" s="516"/>
      <c r="I83" s="519"/>
      <c r="J83" s="516">
        <v>374465</v>
      </c>
      <c r="K83" s="519">
        <v>400944</v>
      </c>
      <c r="L83" s="516">
        <v>191233</v>
      </c>
      <c r="M83" s="519">
        <v>179559</v>
      </c>
      <c r="N83" s="516">
        <v>414320</v>
      </c>
      <c r="O83" s="519">
        <v>433470</v>
      </c>
      <c r="P83" s="506">
        <f t="shared" si="51"/>
        <v>980018</v>
      </c>
      <c r="Q83" s="507">
        <f t="shared" si="52"/>
        <v>32667.266666666666</v>
      </c>
      <c r="R83" s="508">
        <f t="shared" si="53"/>
        <v>1013973</v>
      </c>
      <c r="S83" s="509">
        <f t="shared" si="54"/>
        <v>33799.1</v>
      </c>
      <c r="T83" s="516">
        <v>25737</v>
      </c>
      <c r="U83" s="519">
        <v>33744</v>
      </c>
      <c r="V83" s="506">
        <f t="shared" si="55"/>
        <v>980018</v>
      </c>
      <c r="W83" s="510">
        <f t="shared" si="56"/>
        <v>1013973</v>
      </c>
      <c r="X83" s="517"/>
      <c r="Y83" s="519"/>
      <c r="Z83" s="516"/>
      <c r="AA83" s="519"/>
      <c r="AB83" s="516"/>
      <c r="AC83" s="519"/>
      <c r="AD83" s="516"/>
      <c r="AE83" s="519"/>
      <c r="AF83" s="506">
        <f t="shared" si="57"/>
        <v>0</v>
      </c>
      <c r="AG83" s="507">
        <f t="shared" si="58"/>
        <v>0</v>
      </c>
      <c r="AH83" s="508">
        <f t="shared" si="59"/>
        <v>0</v>
      </c>
      <c r="AI83" s="508">
        <f t="shared" si="60"/>
        <v>0</v>
      </c>
      <c r="AJ83" s="516"/>
      <c r="AK83" s="519"/>
      <c r="AL83" s="506">
        <f t="shared" si="61"/>
        <v>0</v>
      </c>
      <c r="AM83" s="509">
        <f t="shared" si="62"/>
        <v>0</v>
      </c>
      <c r="AN83" s="518"/>
      <c r="AO83" s="520"/>
      <c r="AP83" s="516">
        <v>72710</v>
      </c>
      <c r="AQ83" s="520">
        <v>74163</v>
      </c>
      <c r="AR83" s="516">
        <v>39887</v>
      </c>
      <c r="AS83" s="520">
        <v>39909</v>
      </c>
      <c r="AT83" s="516">
        <v>75630</v>
      </c>
      <c r="AU83" s="520">
        <v>77091</v>
      </c>
      <c r="AV83" s="506">
        <f t="shared" si="63"/>
        <v>188227</v>
      </c>
      <c r="AW83" s="511">
        <f t="shared" si="64"/>
        <v>7842.791666666667</v>
      </c>
      <c r="AX83" s="508">
        <f t="shared" si="65"/>
        <v>191163</v>
      </c>
      <c r="AY83" s="512">
        <f t="shared" si="66"/>
        <v>7965.125</v>
      </c>
      <c r="AZ83" s="513">
        <f t="shared" si="67"/>
        <v>40510.058333333334</v>
      </c>
      <c r="BA83" s="508">
        <f t="shared" si="68"/>
        <v>41764.224999999999</v>
      </c>
    </row>
    <row r="84" spans="1:53">
      <c r="A84" s="597" t="s">
        <v>803</v>
      </c>
      <c r="B84" s="595" t="s">
        <v>805</v>
      </c>
      <c r="C84" s="707"/>
      <c r="D84" s="597">
        <v>134097</v>
      </c>
      <c r="E84" s="597">
        <v>1</v>
      </c>
      <c r="F84" s="514" t="s">
        <v>41</v>
      </c>
      <c r="G84" s="515"/>
      <c r="H84" s="516"/>
      <c r="I84" s="519"/>
      <c r="J84" s="516">
        <v>399536</v>
      </c>
      <c r="K84" s="519">
        <v>405780</v>
      </c>
      <c r="L84" s="516">
        <v>130933</v>
      </c>
      <c r="M84" s="519">
        <v>127490</v>
      </c>
      <c r="N84" s="516">
        <v>477741</v>
      </c>
      <c r="O84" s="519">
        <v>471701</v>
      </c>
      <c r="P84" s="506">
        <f t="shared" si="51"/>
        <v>1008210</v>
      </c>
      <c r="Q84" s="507">
        <f t="shared" si="52"/>
        <v>33607</v>
      </c>
      <c r="R84" s="508">
        <f t="shared" si="53"/>
        <v>1004971</v>
      </c>
      <c r="S84" s="509">
        <f t="shared" si="54"/>
        <v>33499.033333333333</v>
      </c>
      <c r="T84" s="516">
        <v>467</v>
      </c>
      <c r="U84" s="519">
        <v>1116</v>
      </c>
      <c r="V84" s="506">
        <f t="shared" si="55"/>
        <v>1008210</v>
      </c>
      <c r="W84" s="510">
        <f t="shared" si="56"/>
        <v>1004971</v>
      </c>
      <c r="X84" s="517"/>
      <c r="Y84" s="519"/>
      <c r="Z84" s="516"/>
      <c r="AA84" s="519"/>
      <c r="AB84" s="516"/>
      <c r="AC84" s="519"/>
      <c r="AD84" s="516"/>
      <c r="AE84" s="519"/>
      <c r="AF84" s="506">
        <f t="shared" si="57"/>
        <v>0</v>
      </c>
      <c r="AG84" s="507">
        <f t="shared" si="58"/>
        <v>0</v>
      </c>
      <c r="AH84" s="508">
        <f t="shared" si="59"/>
        <v>0</v>
      </c>
      <c r="AI84" s="508">
        <f t="shared" si="60"/>
        <v>0</v>
      </c>
      <c r="AJ84" s="516"/>
      <c r="AK84" s="519"/>
      <c r="AL84" s="506">
        <f t="shared" si="61"/>
        <v>0</v>
      </c>
      <c r="AM84" s="509">
        <f t="shared" si="62"/>
        <v>0</v>
      </c>
      <c r="AN84" s="518"/>
      <c r="AO84" s="520"/>
      <c r="AP84" s="516">
        <v>70882</v>
      </c>
      <c r="AQ84" s="520">
        <v>71970</v>
      </c>
      <c r="AR84" s="516">
        <v>39693</v>
      </c>
      <c r="AS84" s="520">
        <v>39507</v>
      </c>
      <c r="AT84" s="516">
        <v>74859</v>
      </c>
      <c r="AU84" s="520">
        <v>72063</v>
      </c>
      <c r="AV84" s="506">
        <f t="shared" si="63"/>
        <v>185434</v>
      </c>
      <c r="AW84" s="511">
        <f t="shared" si="64"/>
        <v>7726.416666666667</v>
      </c>
      <c r="AX84" s="508">
        <f t="shared" si="65"/>
        <v>183540</v>
      </c>
      <c r="AY84" s="512">
        <f t="shared" si="66"/>
        <v>7647.5</v>
      </c>
      <c r="AZ84" s="513">
        <f t="shared" si="67"/>
        <v>41333.416666666664</v>
      </c>
      <c r="BA84" s="508">
        <f t="shared" si="68"/>
        <v>41146.533333333333</v>
      </c>
    </row>
    <row r="85" spans="1:53">
      <c r="A85" s="597" t="s">
        <v>803</v>
      </c>
      <c r="B85" s="595" t="s">
        <v>806</v>
      </c>
      <c r="C85" s="707"/>
      <c r="D85" s="597">
        <v>132903</v>
      </c>
      <c r="E85" s="597">
        <v>1</v>
      </c>
      <c r="F85" s="514" t="s">
        <v>41</v>
      </c>
      <c r="G85" s="515"/>
      <c r="H85" s="516"/>
      <c r="I85" s="519"/>
      <c r="J85" s="516">
        <v>550424</v>
      </c>
      <c r="K85" s="519">
        <v>570430</v>
      </c>
      <c r="L85" s="516">
        <v>203060</v>
      </c>
      <c r="M85" s="519">
        <v>206207</v>
      </c>
      <c r="N85" s="516">
        <v>589882</v>
      </c>
      <c r="O85" s="519">
        <v>591832</v>
      </c>
      <c r="P85" s="506">
        <f t="shared" si="51"/>
        <v>1343366</v>
      </c>
      <c r="Q85" s="507">
        <f t="shared" si="52"/>
        <v>44778.866666666669</v>
      </c>
      <c r="R85" s="508">
        <f t="shared" si="53"/>
        <v>1368469</v>
      </c>
      <c r="S85" s="509">
        <f t="shared" si="54"/>
        <v>45615.633333333331</v>
      </c>
      <c r="T85" s="516">
        <v>684</v>
      </c>
      <c r="U85" s="519">
        <v>771</v>
      </c>
      <c r="V85" s="506">
        <f t="shared" si="55"/>
        <v>1343366</v>
      </c>
      <c r="W85" s="510">
        <f t="shared" si="56"/>
        <v>1368469</v>
      </c>
      <c r="X85" s="517"/>
      <c r="Y85" s="519"/>
      <c r="Z85" s="516"/>
      <c r="AA85" s="519"/>
      <c r="AB85" s="516"/>
      <c r="AC85" s="519"/>
      <c r="AD85" s="516"/>
      <c r="AE85" s="519"/>
      <c r="AF85" s="506">
        <f t="shared" si="57"/>
        <v>0</v>
      </c>
      <c r="AG85" s="507">
        <f t="shared" si="58"/>
        <v>0</v>
      </c>
      <c r="AH85" s="508">
        <f t="shared" si="59"/>
        <v>0</v>
      </c>
      <c r="AI85" s="508">
        <f t="shared" si="60"/>
        <v>0</v>
      </c>
      <c r="AJ85" s="516"/>
      <c r="AK85" s="519"/>
      <c r="AL85" s="506">
        <f t="shared" si="61"/>
        <v>0</v>
      </c>
      <c r="AM85" s="509">
        <f t="shared" si="62"/>
        <v>0</v>
      </c>
      <c r="AN85" s="518"/>
      <c r="AO85" s="520"/>
      <c r="AP85" s="516">
        <v>56071</v>
      </c>
      <c r="AQ85" s="520">
        <v>54049</v>
      </c>
      <c r="AR85" s="516">
        <v>29048</v>
      </c>
      <c r="AS85" s="520">
        <v>29598</v>
      </c>
      <c r="AT85" s="516">
        <v>57339</v>
      </c>
      <c r="AU85" s="520">
        <v>58091</v>
      </c>
      <c r="AV85" s="506">
        <f t="shared" si="63"/>
        <v>142458</v>
      </c>
      <c r="AW85" s="511">
        <f t="shared" si="64"/>
        <v>5935.75</v>
      </c>
      <c r="AX85" s="508">
        <f t="shared" si="65"/>
        <v>141738</v>
      </c>
      <c r="AY85" s="512">
        <f t="shared" si="66"/>
        <v>5905.75</v>
      </c>
      <c r="AZ85" s="513">
        <f t="shared" si="67"/>
        <v>50714.616666666669</v>
      </c>
      <c r="BA85" s="508">
        <f t="shared" si="68"/>
        <v>51521.383333333331</v>
      </c>
    </row>
    <row r="86" spans="1:53">
      <c r="A86" s="597" t="s">
        <v>803</v>
      </c>
      <c r="B86" s="595" t="s">
        <v>807</v>
      </c>
      <c r="C86" s="707"/>
      <c r="D86" s="597">
        <v>134130</v>
      </c>
      <c r="E86" s="597">
        <v>1</v>
      </c>
      <c r="F86" s="514" t="s">
        <v>41</v>
      </c>
      <c r="G86" s="515"/>
      <c r="H86" s="516"/>
      <c r="I86" s="519"/>
      <c r="J86" s="516">
        <v>420487</v>
      </c>
      <c r="K86" s="519">
        <v>420313</v>
      </c>
      <c r="L86" s="516">
        <v>117007</v>
      </c>
      <c r="M86" s="519">
        <v>116093</v>
      </c>
      <c r="N86" s="516">
        <v>436376</v>
      </c>
      <c r="O86" s="519">
        <v>435297</v>
      </c>
      <c r="P86" s="506">
        <f t="shared" si="51"/>
        <v>973870</v>
      </c>
      <c r="Q86" s="507">
        <f t="shared" si="52"/>
        <v>32462.333333333332</v>
      </c>
      <c r="R86" s="508">
        <f t="shared" si="53"/>
        <v>971703</v>
      </c>
      <c r="S86" s="509">
        <f t="shared" si="54"/>
        <v>32390.1</v>
      </c>
      <c r="T86" s="516">
        <v>1306</v>
      </c>
      <c r="U86" s="519">
        <v>1487</v>
      </c>
      <c r="V86" s="506">
        <f t="shared" si="55"/>
        <v>973870</v>
      </c>
      <c r="W86" s="510">
        <f t="shared" si="56"/>
        <v>971703</v>
      </c>
      <c r="X86" s="517"/>
      <c r="Y86" s="519"/>
      <c r="Z86" s="516"/>
      <c r="AA86" s="519"/>
      <c r="AB86" s="516"/>
      <c r="AC86" s="519"/>
      <c r="AD86" s="516"/>
      <c r="AE86" s="519"/>
      <c r="AF86" s="506">
        <f t="shared" si="57"/>
        <v>0</v>
      </c>
      <c r="AG86" s="507">
        <f t="shared" si="58"/>
        <v>0</v>
      </c>
      <c r="AH86" s="508">
        <f t="shared" si="59"/>
        <v>0</v>
      </c>
      <c r="AI86" s="508">
        <f t="shared" si="60"/>
        <v>0</v>
      </c>
      <c r="AJ86" s="516"/>
      <c r="AK86" s="519"/>
      <c r="AL86" s="506">
        <f t="shared" si="61"/>
        <v>0</v>
      </c>
      <c r="AM86" s="509">
        <f t="shared" si="62"/>
        <v>0</v>
      </c>
      <c r="AN86" s="518"/>
      <c r="AO86" s="520"/>
      <c r="AP86" s="516">
        <v>143499</v>
      </c>
      <c r="AQ86" s="520">
        <v>140200</v>
      </c>
      <c r="AR86" s="516">
        <v>60534</v>
      </c>
      <c r="AS86" s="520">
        <v>59745</v>
      </c>
      <c r="AT86" s="516">
        <v>149877</v>
      </c>
      <c r="AU86" s="520">
        <v>148986</v>
      </c>
      <c r="AV86" s="506">
        <f t="shared" si="63"/>
        <v>353910</v>
      </c>
      <c r="AW86" s="511">
        <f t="shared" si="64"/>
        <v>14746.25</v>
      </c>
      <c r="AX86" s="508">
        <f t="shared" si="65"/>
        <v>348931</v>
      </c>
      <c r="AY86" s="512">
        <f t="shared" si="66"/>
        <v>14538.791666666666</v>
      </c>
      <c r="AZ86" s="513">
        <f t="shared" si="67"/>
        <v>47208.583333333328</v>
      </c>
      <c r="BA86" s="508">
        <f t="shared" si="68"/>
        <v>46928.891666666663</v>
      </c>
    </row>
    <row r="87" spans="1:53">
      <c r="A87" s="597" t="s">
        <v>803</v>
      </c>
      <c r="B87" s="595" t="s">
        <v>808</v>
      </c>
      <c r="C87" s="707"/>
      <c r="D87" s="597">
        <v>137351</v>
      </c>
      <c r="E87" s="597">
        <v>1</v>
      </c>
      <c r="F87" s="514" t="s">
        <v>41</v>
      </c>
      <c r="G87" s="515"/>
      <c r="H87" s="516"/>
      <c r="I87" s="519"/>
      <c r="J87" s="516">
        <v>416310</v>
      </c>
      <c r="K87" s="519">
        <v>421127</v>
      </c>
      <c r="L87" s="516">
        <v>157950</v>
      </c>
      <c r="M87" s="519">
        <v>153540</v>
      </c>
      <c r="N87" s="516">
        <v>443707</v>
      </c>
      <c r="O87" s="519">
        <v>450005</v>
      </c>
      <c r="P87" s="506">
        <f t="shared" si="51"/>
        <v>1017967</v>
      </c>
      <c r="Q87" s="507">
        <f t="shared" si="52"/>
        <v>33932.23333333333</v>
      </c>
      <c r="R87" s="508">
        <f t="shared" si="53"/>
        <v>1024672</v>
      </c>
      <c r="S87" s="509">
        <f t="shared" si="54"/>
        <v>34155.73333333333</v>
      </c>
      <c r="T87" s="516">
        <v>657</v>
      </c>
      <c r="U87" s="519">
        <v>733</v>
      </c>
      <c r="V87" s="506">
        <f t="shared" si="55"/>
        <v>1017967</v>
      </c>
      <c r="W87" s="510">
        <f t="shared" si="56"/>
        <v>1024672</v>
      </c>
      <c r="X87" s="517"/>
      <c r="Y87" s="519"/>
      <c r="Z87" s="516"/>
      <c r="AA87" s="519"/>
      <c r="AB87" s="516"/>
      <c r="AC87" s="519"/>
      <c r="AD87" s="516"/>
      <c r="AE87" s="519"/>
      <c r="AF87" s="506">
        <f t="shared" si="57"/>
        <v>0</v>
      </c>
      <c r="AG87" s="507">
        <f t="shared" si="58"/>
        <v>0</v>
      </c>
      <c r="AH87" s="508">
        <f t="shared" si="59"/>
        <v>0</v>
      </c>
      <c r="AI87" s="508">
        <f t="shared" si="60"/>
        <v>0</v>
      </c>
      <c r="AJ87" s="516"/>
      <c r="AK87" s="519"/>
      <c r="AL87" s="506">
        <f t="shared" si="61"/>
        <v>0</v>
      </c>
      <c r="AM87" s="509">
        <f t="shared" si="62"/>
        <v>0</v>
      </c>
      <c r="AN87" s="518"/>
      <c r="AO87" s="520"/>
      <c r="AP87" s="516">
        <v>71983</v>
      </c>
      <c r="AQ87" s="520">
        <v>73440</v>
      </c>
      <c r="AR87" s="516">
        <v>37175</v>
      </c>
      <c r="AS87" s="520">
        <v>37636</v>
      </c>
      <c r="AT87" s="516">
        <v>76736</v>
      </c>
      <c r="AU87" s="520">
        <v>78767</v>
      </c>
      <c r="AV87" s="506">
        <f t="shared" si="63"/>
        <v>185894</v>
      </c>
      <c r="AW87" s="511">
        <f t="shared" si="64"/>
        <v>7745.583333333333</v>
      </c>
      <c r="AX87" s="508">
        <f t="shared" si="65"/>
        <v>189843</v>
      </c>
      <c r="AY87" s="512">
        <f t="shared" si="66"/>
        <v>7910.125</v>
      </c>
      <c r="AZ87" s="513">
        <f t="shared" si="67"/>
        <v>41677.816666666666</v>
      </c>
      <c r="BA87" s="508">
        <f t="shared" si="68"/>
        <v>42065.85833333333</v>
      </c>
    </row>
    <row r="88" spans="1:53">
      <c r="A88" s="597" t="s">
        <v>803</v>
      </c>
      <c r="B88" s="595" t="s">
        <v>809</v>
      </c>
      <c r="C88" s="707" t="s">
        <v>380</v>
      </c>
      <c r="D88" s="597">
        <v>133669</v>
      </c>
      <c r="E88" s="597">
        <v>2</v>
      </c>
      <c r="F88" s="514" t="s">
        <v>41</v>
      </c>
      <c r="G88" s="515"/>
      <c r="H88" s="516"/>
      <c r="I88" s="519"/>
      <c r="J88" s="516">
        <v>236722</v>
      </c>
      <c r="K88" s="519">
        <v>249063</v>
      </c>
      <c r="L88" s="516">
        <v>96196</v>
      </c>
      <c r="M88" s="519">
        <v>91973</v>
      </c>
      <c r="N88" s="516">
        <v>266759</v>
      </c>
      <c r="O88" s="519">
        <v>275769</v>
      </c>
      <c r="P88" s="506">
        <f t="shared" si="51"/>
        <v>599677</v>
      </c>
      <c r="Q88" s="507">
        <f t="shared" si="52"/>
        <v>19989.233333333334</v>
      </c>
      <c r="R88" s="508">
        <f t="shared" si="53"/>
        <v>616805</v>
      </c>
      <c r="S88" s="509">
        <f t="shared" si="54"/>
        <v>20560.166666666668</v>
      </c>
      <c r="T88" s="516">
        <v>6185</v>
      </c>
      <c r="U88" s="519">
        <v>8071</v>
      </c>
      <c r="V88" s="506">
        <f t="shared" si="55"/>
        <v>599677</v>
      </c>
      <c r="W88" s="510">
        <f t="shared" si="56"/>
        <v>616805</v>
      </c>
      <c r="X88" s="517"/>
      <c r="Y88" s="519"/>
      <c r="Z88" s="516"/>
      <c r="AA88" s="519"/>
      <c r="AB88" s="516"/>
      <c r="AC88" s="519"/>
      <c r="AD88" s="516"/>
      <c r="AE88" s="519"/>
      <c r="AF88" s="506">
        <f t="shared" si="57"/>
        <v>0</v>
      </c>
      <c r="AG88" s="507">
        <f t="shared" si="58"/>
        <v>0</v>
      </c>
      <c r="AH88" s="508">
        <f t="shared" si="59"/>
        <v>0</v>
      </c>
      <c r="AI88" s="508">
        <f t="shared" si="60"/>
        <v>0</v>
      </c>
      <c r="AJ88" s="516"/>
      <c r="AK88" s="519"/>
      <c r="AL88" s="506">
        <f t="shared" si="61"/>
        <v>0</v>
      </c>
      <c r="AM88" s="509">
        <f t="shared" si="62"/>
        <v>0</v>
      </c>
      <c r="AN88" s="518"/>
      <c r="AO88" s="520"/>
      <c r="AP88" s="516">
        <v>30766</v>
      </c>
      <c r="AQ88" s="520">
        <v>30525</v>
      </c>
      <c r="AR88" s="516">
        <v>17396</v>
      </c>
      <c r="AS88" s="520">
        <v>17242</v>
      </c>
      <c r="AT88" s="516">
        <v>30396</v>
      </c>
      <c r="AU88" s="520">
        <v>31731</v>
      </c>
      <c r="AV88" s="506">
        <f t="shared" si="63"/>
        <v>78558</v>
      </c>
      <c r="AW88" s="511">
        <f t="shared" si="64"/>
        <v>3273.25</v>
      </c>
      <c r="AX88" s="508">
        <f t="shared" si="65"/>
        <v>79498</v>
      </c>
      <c r="AY88" s="512">
        <f t="shared" si="66"/>
        <v>3312.4166666666665</v>
      </c>
      <c r="AZ88" s="513">
        <f t="shared" si="67"/>
        <v>23262.483333333334</v>
      </c>
      <c r="BA88" s="508">
        <f t="shared" si="68"/>
        <v>23872.583333333336</v>
      </c>
    </row>
    <row r="89" spans="1:53">
      <c r="A89" s="597" t="s">
        <v>803</v>
      </c>
      <c r="B89" s="595" t="s">
        <v>810</v>
      </c>
      <c r="C89" s="707" t="s">
        <v>815</v>
      </c>
      <c r="D89" s="597">
        <v>133650</v>
      </c>
      <c r="E89" s="597">
        <v>3</v>
      </c>
      <c r="F89" s="514" t="s">
        <v>41</v>
      </c>
      <c r="G89" s="515"/>
      <c r="H89" s="516"/>
      <c r="I89" s="519"/>
      <c r="J89" s="516">
        <v>143196</v>
      </c>
      <c r="K89" s="519">
        <v>138674</v>
      </c>
      <c r="L89" s="516">
        <v>29446</v>
      </c>
      <c r="M89" s="519">
        <v>27241</v>
      </c>
      <c r="N89" s="516">
        <v>151544</v>
      </c>
      <c r="O89" s="519">
        <v>136531</v>
      </c>
      <c r="P89" s="506">
        <f t="shared" si="51"/>
        <v>324186</v>
      </c>
      <c r="Q89" s="507">
        <f t="shared" si="52"/>
        <v>10806.2</v>
      </c>
      <c r="R89" s="508">
        <f t="shared" si="53"/>
        <v>302446</v>
      </c>
      <c r="S89" s="509">
        <f t="shared" si="54"/>
        <v>10081.533333333333</v>
      </c>
      <c r="T89" s="516">
        <v>139</v>
      </c>
      <c r="U89" s="519">
        <v>189</v>
      </c>
      <c r="V89" s="506">
        <f t="shared" si="55"/>
        <v>324186</v>
      </c>
      <c r="W89" s="510">
        <f t="shared" si="56"/>
        <v>302446</v>
      </c>
      <c r="X89" s="517"/>
      <c r="Y89" s="519"/>
      <c r="Z89" s="516"/>
      <c r="AA89" s="519"/>
      <c r="AB89" s="516"/>
      <c r="AC89" s="519"/>
      <c r="AD89" s="516"/>
      <c r="AE89" s="519"/>
      <c r="AF89" s="506">
        <f t="shared" si="57"/>
        <v>0</v>
      </c>
      <c r="AG89" s="507">
        <f t="shared" si="58"/>
        <v>0</v>
      </c>
      <c r="AH89" s="508">
        <f t="shared" si="59"/>
        <v>0</v>
      </c>
      <c r="AI89" s="508">
        <f t="shared" si="60"/>
        <v>0</v>
      </c>
      <c r="AJ89" s="516"/>
      <c r="AK89" s="519"/>
      <c r="AL89" s="506">
        <f t="shared" si="61"/>
        <v>0</v>
      </c>
      <c r="AM89" s="509">
        <f t="shared" si="62"/>
        <v>0</v>
      </c>
      <c r="AN89" s="518"/>
      <c r="AO89" s="520"/>
      <c r="AP89" s="516">
        <v>20888</v>
      </c>
      <c r="AQ89" s="520">
        <v>21590</v>
      </c>
      <c r="AR89" s="516">
        <v>6725</v>
      </c>
      <c r="AS89" s="520">
        <v>7420</v>
      </c>
      <c r="AT89" s="516">
        <v>22547</v>
      </c>
      <c r="AU89" s="520">
        <v>21789</v>
      </c>
      <c r="AV89" s="506">
        <f t="shared" si="63"/>
        <v>50160</v>
      </c>
      <c r="AW89" s="511">
        <f t="shared" si="64"/>
        <v>2090</v>
      </c>
      <c r="AX89" s="508">
        <f t="shared" si="65"/>
        <v>50799</v>
      </c>
      <c r="AY89" s="512">
        <f t="shared" si="66"/>
        <v>2116.625</v>
      </c>
      <c r="AZ89" s="513">
        <f t="shared" si="67"/>
        <v>12896.2</v>
      </c>
      <c r="BA89" s="508">
        <f t="shared" si="68"/>
        <v>12198.158333333333</v>
      </c>
    </row>
    <row r="90" spans="1:53">
      <c r="A90" s="597" t="s">
        <v>803</v>
      </c>
      <c r="B90" s="595" t="s">
        <v>811</v>
      </c>
      <c r="C90" s="707"/>
      <c r="D90" s="597">
        <v>136172</v>
      </c>
      <c r="E90" s="597">
        <v>3</v>
      </c>
      <c r="F90" s="514" t="s">
        <v>41</v>
      </c>
      <c r="G90" s="515"/>
      <c r="H90" s="516"/>
      <c r="I90" s="519"/>
      <c r="J90" s="516">
        <v>156495</v>
      </c>
      <c r="K90" s="519">
        <v>156989</v>
      </c>
      <c r="L90" s="516">
        <v>57248</v>
      </c>
      <c r="M90" s="519">
        <v>53389</v>
      </c>
      <c r="N90" s="516">
        <v>168733</v>
      </c>
      <c r="O90" s="519">
        <v>168167</v>
      </c>
      <c r="P90" s="506">
        <f t="shared" si="51"/>
        <v>382476</v>
      </c>
      <c r="Q90" s="507">
        <f t="shared" si="52"/>
        <v>12749.2</v>
      </c>
      <c r="R90" s="508">
        <f t="shared" si="53"/>
        <v>378545</v>
      </c>
      <c r="S90" s="509">
        <f t="shared" si="54"/>
        <v>12618.166666666666</v>
      </c>
      <c r="T90" s="516">
        <v>825</v>
      </c>
      <c r="U90" s="519">
        <v>744</v>
      </c>
      <c r="V90" s="506">
        <f t="shared" si="55"/>
        <v>382476</v>
      </c>
      <c r="W90" s="510">
        <f t="shared" si="56"/>
        <v>378545</v>
      </c>
      <c r="X90" s="517"/>
      <c r="Y90" s="519"/>
      <c r="Z90" s="516"/>
      <c r="AA90" s="519"/>
      <c r="AB90" s="516"/>
      <c r="AC90" s="519"/>
      <c r="AD90" s="516"/>
      <c r="AE90" s="519"/>
      <c r="AF90" s="506">
        <f t="shared" si="57"/>
        <v>0</v>
      </c>
      <c r="AG90" s="507">
        <f t="shared" si="58"/>
        <v>0</v>
      </c>
      <c r="AH90" s="508">
        <f t="shared" si="59"/>
        <v>0</v>
      </c>
      <c r="AI90" s="508">
        <f t="shared" si="60"/>
        <v>0</v>
      </c>
      <c r="AJ90" s="516"/>
      <c r="AK90" s="519"/>
      <c r="AL90" s="506">
        <f t="shared" si="61"/>
        <v>0</v>
      </c>
      <c r="AM90" s="509">
        <f t="shared" si="62"/>
        <v>0</v>
      </c>
      <c r="AN90" s="518"/>
      <c r="AO90" s="520"/>
      <c r="AP90" s="516">
        <v>12422</v>
      </c>
      <c r="AQ90" s="520">
        <v>11923</v>
      </c>
      <c r="AR90" s="516">
        <v>6947</v>
      </c>
      <c r="AS90" s="520">
        <v>6524</v>
      </c>
      <c r="AT90" s="516">
        <v>13175</v>
      </c>
      <c r="AU90" s="520">
        <v>12699</v>
      </c>
      <c r="AV90" s="506">
        <f t="shared" si="63"/>
        <v>32544</v>
      </c>
      <c r="AW90" s="511">
        <f t="shared" si="64"/>
        <v>1356</v>
      </c>
      <c r="AX90" s="508">
        <f t="shared" si="65"/>
        <v>31146</v>
      </c>
      <c r="AY90" s="512">
        <f t="shared" si="66"/>
        <v>1297.75</v>
      </c>
      <c r="AZ90" s="513">
        <f t="shared" si="67"/>
        <v>14105.2</v>
      </c>
      <c r="BA90" s="508">
        <f t="shared" si="68"/>
        <v>13915.916666666666</v>
      </c>
    </row>
    <row r="91" spans="1:53">
      <c r="A91" s="597" t="s">
        <v>803</v>
      </c>
      <c r="B91" s="595" t="s">
        <v>812</v>
      </c>
      <c r="C91" s="707"/>
      <c r="D91" s="597">
        <v>138354</v>
      </c>
      <c r="E91" s="597">
        <v>3</v>
      </c>
      <c r="F91" s="514" t="s">
        <v>41</v>
      </c>
      <c r="G91" s="515"/>
      <c r="H91" s="516"/>
      <c r="I91" s="519"/>
      <c r="J91" s="516">
        <v>103175</v>
      </c>
      <c r="K91" s="519">
        <v>106062</v>
      </c>
      <c r="L91" s="516">
        <v>40268</v>
      </c>
      <c r="M91" s="519">
        <v>34663</v>
      </c>
      <c r="N91" s="516">
        <v>112277</v>
      </c>
      <c r="O91" s="519">
        <v>119021</v>
      </c>
      <c r="P91" s="506">
        <f t="shared" si="51"/>
        <v>255720</v>
      </c>
      <c r="Q91" s="507">
        <f t="shared" si="52"/>
        <v>8524</v>
      </c>
      <c r="R91" s="508">
        <f t="shared" si="53"/>
        <v>259746</v>
      </c>
      <c r="S91" s="509">
        <f t="shared" si="54"/>
        <v>8658.2000000000007</v>
      </c>
      <c r="T91" s="516">
        <v>585</v>
      </c>
      <c r="U91" s="519">
        <v>614</v>
      </c>
      <c r="V91" s="506">
        <f t="shared" si="55"/>
        <v>255720</v>
      </c>
      <c r="W91" s="510">
        <f t="shared" si="56"/>
        <v>259746</v>
      </c>
      <c r="X91" s="517"/>
      <c r="Y91" s="519"/>
      <c r="Z91" s="516"/>
      <c r="AA91" s="519"/>
      <c r="AB91" s="516"/>
      <c r="AC91" s="519"/>
      <c r="AD91" s="516"/>
      <c r="AE91" s="519"/>
      <c r="AF91" s="506">
        <f t="shared" si="57"/>
        <v>0</v>
      </c>
      <c r="AG91" s="507">
        <f t="shared" si="58"/>
        <v>0</v>
      </c>
      <c r="AH91" s="508">
        <f t="shared" si="59"/>
        <v>0</v>
      </c>
      <c r="AI91" s="508">
        <f t="shared" si="60"/>
        <v>0</v>
      </c>
      <c r="AJ91" s="516"/>
      <c r="AK91" s="519"/>
      <c r="AL91" s="506">
        <f t="shared" si="61"/>
        <v>0</v>
      </c>
      <c r="AM91" s="509">
        <f t="shared" si="62"/>
        <v>0</v>
      </c>
      <c r="AN91" s="518"/>
      <c r="AO91" s="520"/>
      <c r="AP91" s="516">
        <v>11396</v>
      </c>
      <c r="AQ91" s="520">
        <v>11984</v>
      </c>
      <c r="AR91" s="516">
        <v>8434</v>
      </c>
      <c r="AS91" s="520">
        <v>8453.5</v>
      </c>
      <c r="AT91" s="516">
        <v>12054</v>
      </c>
      <c r="AU91" s="520">
        <v>12972</v>
      </c>
      <c r="AV91" s="506">
        <f t="shared" si="63"/>
        <v>31884</v>
      </c>
      <c r="AW91" s="511">
        <f t="shared" si="64"/>
        <v>1328.5</v>
      </c>
      <c r="AX91" s="508">
        <f t="shared" si="65"/>
        <v>33409.5</v>
      </c>
      <c r="AY91" s="512">
        <f t="shared" si="66"/>
        <v>1392.0625</v>
      </c>
      <c r="AZ91" s="513">
        <f t="shared" si="67"/>
        <v>9852.5</v>
      </c>
      <c r="BA91" s="508">
        <f t="shared" si="68"/>
        <v>10050.262500000001</v>
      </c>
    </row>
    <row r="92" spans="1:53">
      <c r="A92" s="597" t="s">
        <v>803</v>
      </c>
      <c r="B92" s="595" t="s">
        <v>813</v>
      </c>
      <c r="C92" s="707"/>
      <c r="D92" s="597">
        <v>433660</v>
      </c>
      <c r="E92" s="597">
        <v>4</v>
      </c>
      <c r="F92" s="514" t="s">
        <v>41</v>
      </c>
      <c r="G92" s="515"/>
      <c r="H92" s="516"/>
      <c r="I92" s="519"/>
      <c r="J92" s="516">
        <v>119973</v>
      </c>
      <c r="K92" s="519">
        <v>128362</v>
      </c>
      <c r="L92" s="516">
        <v>30408</v>
      </c>
      <c r="M92" s="519">
        <v>29430</v>
      </c>
      <c r="N92" s="516">
        <v>138182</v>
      </c>
      <c r="O92" s="519">
        <v>146619</v>
      </c>
      <c r="P92" s="506">
        <f t="shared" si="51"/>
        <v>288563</v>
      </c>
      <c r="Q92" s="507">
        <f t="shared" si="52"/>
        <v>9618.7666666666664</v>
      </c>
      <c r="R92" s="508">
        <f t="shared" si="53"/>
        <v>304411</v>
      </c>
      <c r="S92" s="509">
        <f t="shared" si="54"/>
        <v>10147.033333333333</v>
      </c>
      <c r="T92" s="516">
        <v>2373</v>
      </c>
      <c r="U92" s="519">
        <v>3235</v>
      </c>
      <c r="V92" s="506">
        <f t="shared" si="55"/>
        <v>288563</v>
      </c>
      <c r="W92" s="510">
        <f t="shared" si="56"/>
        <v>304411</v>
      </c>
      <c r="X92" s="517"/>
      <c r="Y92" s="519"/>
      <c r="Z92" s="516"/>
      <c r="AA92" s="519"/>
      <c r="AB92" s="516"/>
      <c r="AC92" s="519"/>
      <c r="AD92" s="516"/>
      <c r="AE92" s="519"/>
      <c r="AF92" s="506">
        <f t="shared" si="57"/>
        <v>0</v>
      </c>
      <c r="AG92" s="507">
        <f t="shared" si="58"/>
        <v>0</v>
      </c>
      <c r="AH92" s="508">
        <f t="shared" si="59"/>
        <v>0</v>
      </c>
      <c r="AI92" s="508">
        <f t="shared" si="60"/>
        <v>0</v>
      </c>
      <c r="AJ92" s="516"/>
      <c r="AK92" s="519"/>
      <c r="AL92" s="506">
        <f t="shared" si="61"/>
        <v>0</v>
      </c>
      <c r="AM92" s="509">
        <f t="shared" si="62"/>
        <v>0</v>
      </c>
      <c r="AN92" s="518"/>
      <c r="AO92" s="520"/>
      <c r="AP92" s="516">
        <v>9588</v>
      </c>
      <c r="AQ92" s="520">
        <v>9165</v>
      </c>
      <c r="AR92" s="516">
        <v>4999</v>
      </c>
      <c r="AS92" s="520">
        <v>4744</v>
      </c>
      <c r="AT92" s="516">
        <v>9376</v>
      </c>
      <c r="AU92" s="520">
        <v>8612</v>
      </c>
      <c r="AV92" s="506">
        <f t="shared" si="63"/>
        <v>23963</v>
      </c>
      <c r="AW92" s="511">
        <f t="shared" si="64"/>
        <v>998.45833333333337</v>
      </c>
      <c r="AX92" s="508">
        <f t="shared" si="65"/>
        <v>22521</v>
      </c>
      <c r="AY92" s="512">
        <f t="shared" si="66"/>
        <v>938.375</v>
      </c>
      <c r="AZ92" s="513">
        <f t="shared" si="67"/>
        <v>10617.225</v>
      </c>
      <c r="BA92" s="508">
        <f t="shared" si="68"/>
        <v>11085.408333333333</v>
      </c>
    </row>
    <row r="93" spans="1:53">
      <c r="A93" s="597" t="s">
        <v>803</v>
      </c>
      <c r="B93" s="595" t="s">
        <v>814</v>
      </c>
      <c r="C93" s="707"/>
      <c r="D93" s="597">
        <v>262129</v>
      </c>
      <c r="E93" s="597">
        <v>6</v>
      </c>
      <c r="F93" s="514" t="s">
        <v>41</v>
      </c>
      <c r="G93" s="515"/>
      <c r="H93" s="516"/>
      <c r="I93" s="519"/>
      <c r="J93" s="516">
        <v>12144</v>
      </c>
      <c r="K93" s="519">
        <v>12752</v>
      </c>
      <c r="L93" s="516"/>
      <c r="M93" s="519">
        <v>0</v>
      </c>
      <c r="N93" s="516">
        <v>16064</v>
      </c>
      <c r="O93" s="519">
        <v>15768</v>
      </c>
      <c r="P93" s="506">
        <f t="shared" si="51"/>
        <v>28208</v>
      </c>
      <c r="Q93" s="507">
        <f t="shared" si="52"/>
        <v>940.26666666666665</v>
      </c>
      <c r="R93" s="508">
        <f t="shared" si="53"/>
        <v>28520</v>
      </c>
      <c r="S93" s="509">
        <f t="shared" si="54"/>
        <v>950.66666666666663</v>
      </c>
      <c r="T93" s="516"/>
      <c r="U93" s="519">
        <v>20</v>
      </c>
      <c r="V93" s="506">
        <f t="shared" si="55"/>
        <v>0</v>
      </c>
      <c r="W93" s="510">
        <f t="shared" si="56"/>
        <v>28520</v>
      </c>
      <c r="X93" s="517"/>
      <c r="Y93" s="519"/>
      <c r="Z93" s="516"/>
      <c r="AA93" s="519"/>
      <c r="AB93" s="516"/>
      <c r="AC93" s="519"/>
      <c r="AD93" s="516"/>
      <c r="AE93" s="519"/>
      <c r="AF93" s="506">
        <f t="shared" si="57"/>
        <v>0</v>
      </c>
      <c r="AG93" s="507">
        <f t="shared" si="58"/>
        <v>0</v>
      </c>
      <c r="AH93" s="508">
        <f t="shared" si="59"/>
        <v>0</v>
      </c>
      <c r="AI93" s="508">
        <f t="shared" si="60"/>
        <v>0</v>
      </c>
      <c r="AJ93" s="516"/>
      <c r="AK93" s="519"/>
      <c r="AL93" s="506">
        <f t="shared" si="61"/>
        <v>0</v>
      </c>
      <c r="AM93" s="509">
        <f t="shared" si="62"/>
        <v>0</v>
      </c>
      <c r="AN93" s="518"/>
      <c r="AO93" s="520"/>
      <c r="AP93" s="516"/>
      <c r="AQ93" s="520"/>
      <c r="AR93" s="516"/>
      <c r="AS93" s="520"/>
      <c r="AT93" s="516"/>
      <c r="AU93" s="520"/>
      <c r="AV93" s="506">
        <f t="shared" si="63"/>
        <v>0</v>
      </c>
      <c r="AW93" s="511">
        <f t="shared" si="64"/>
        <v>0</v>
      </c>
      <c r="AX93" s="508">
        <f t="shared" si="65"/>
        <v>0</v>
      </c>
      <c r="AY93" s="512">
        <f t="shared" si="66"/>
        <v>0</v>
      </c>
      <c r="AZ93" s="513">
        <f t="shared" si="67"/>
        <v>940.26666666666665</v>
      </c>
      <c r="BA93" s="508">
        <f t="shared" si="68"/>
        <v>950.66666666666663</v>
      </c>
    </row>
    <row r="94" spans="1:53">
      <c r="A94" s="773" t="s">
        <v>803</v>
      </c>
      <c r="B94" s="774" t="s">
        <v>888</v>
      </c>
      <c r="C94" s="775"/>
      <c r="D94" s="784">
        <v>133021</v>
      </c>
      <c r="E94" s="776">
        <v>7</v>
      </c>
      <c r="F94" s="514" t="s">
        <v>41</v>
      </c>
      <c r="G94" s="515" t="s">
        <v>41</v>
      </c>
      <c r="H94" s="516"/>
      <c r="I94" s="519"/>
      <c r="J94" s="516">
        <v>19257</v>
      </c>
      <c r="K94" s="519">
        <v>19100</v>
      </c>
      <c r="L94" s="516">
        <v>5980</v>
      </c>
      <c r="M94" s="519">
        <v>5901</v>
      </c>
      <c r="N94" s="516">
        <v>20842</v>
      </c>
      <c r="O94" s="519">
        <v>20255</v>
      </c>
      <c r="P94" s="506">
        <f t="shared" si="51"/>
        <v>46079</v>
      </c>
      <c r="Q94" s="507">
        <f t="shared" si="52"/>
        <v>1535.9666666666667</v>
      </c>
      <c r="R94" s="508">
        <f t="shared" si="53"/>
        <v>45256</v>
      </c>
      <c r="S94" s="509">
        <f t="shared" si="54"/>
        <v>1508.5333333333333</v>
      </c>
      <c r="T94" s="516">
        <v>4503</v>
      </c>
      <c r="U94" s="519">
        <v>5469</v>
      </c>
      <c r="V94" s="506">
        <f t="shared" si="55"/>
        <v>46079</v>
      </c>
      <c r="W94" s="510">
        <f t="shared" si="56"/>
        <v>45256</v>
      </c>
      <c r="X94" s="517"/>
      <c r="Y94" s="519"/>
      <c r="Z94" s="516">
        <v>49087</v>
      </c>
      <c r="AA94" s="519">
        <v>42203</v>
      </c>
      <c r="AB94" s="516">
        <v>16451</v>
      </c>
      <c r="AC94" s="519">
        <v>13777</v>
      </c>
      <c r="AD94" s="516">
        <v>46361</v>
      </c>
      <c r="AE94" s="519">
        <v>49304</v>
      </c>
      <c r="AF94" s="506">
        <f t="shared" si="57"/>
        <v>111899</v>
      </c>
      <c r="AG94" s="507">
        <f t="shared" si="58"/>
        <v>124.33222222222223</v>
      </c>
      <c r="AH94" s="508">
        <f t="shared" si="59"/>
        <v>105284</v>
      </c>
      <c r="AI94" s="508">
        <f t="shared" si="60"/>
        <v>116.98222222222222</v>
      </c>
      <c r="AJ94" s="516">
        <v>2730</v>
      </c>
      <c r="AK94" s="519">
        <v>1785</v>
      </c>
      <c r="AL94" s="506">
        <f t="shared" si="61"/>
        <v>111899</v>
      </c>
      <c r="AM94" s="509">
        <f t="shared" si="62"/>
        <v>105284</v>
      </c>
      <c r="AN94" s="518"/>
      <c r="AO94" s="520"/>
      <c r="AP94" s="516"/>
      <c r="AQ94" s="520"/>
      <c r="AR94" s="516"/>
      <c r="AS94" s="520"/>
      <c r="AT94" s="516"/>
      <c r="AU94" s="520"/>
      <c r="AV94" s="506">
        <f t="shared" si="63"/>
        <v>0</v>
      </c>
      <c r="AW94" s="511">
        <f t="shared" si="64"/>
        <v>0</v>
      </c>
      <c r="AX94" s="508">
        <f t="shared" si="65"/>
        <v>0</v>
      </c>
      <c r="AY94" s="512">
        <f t="shared" si="66"/>
        <v>0</v>
      </c>
      <c r="AZ94" s="513">
        <f t="shared" si="67"/>
        <v>1660.298888888889</v>
      </c>
      <c r="BA94" s="508">
        <f t="shared" si="68"/>
        <v>1625.5155555555555</v>
      </c>
    </row>
    <row r="95" spans="1:53">
      <c r="A95" s="773" t="s">
        <v>803</v>
      </c>
      <c r="B95" s="777" t="s">
        <v>889</v>
      </c>
      <c r="C95" s="778"/>
      <c r="D95" s="784">
        <v>133386</v>
      </c>
      <c r="E95" s="776">
        <v>7</v>
      </c>
      <c r="F95" s="514" t="s">
        <v>41</v>
      </c>
      <c r="G95" s="515" t="s">
        <v>41</v>
      </c>
      <c r="H95" s="516"/>
      <c r="I95" s="519"/>
      <c r="J95" s="516">
        <v>168080</v>
      </c>
      <c r="K95" s="519">
        <v>144792</v>
      </c>
      <c r="L95" s="516">
        <v>52875</v>
      </c>
      <c r="M95" s="519">
        <v>44520</v>
      </c>
      <c r="N95" s="516">
        <v>156632</v>
      </c>
      <c r="O95" s="519">
        <v>140532</v>
      </c>
      <c r="P95" s="506">
        <f t="shared" si="51"/>
        <v>377587</v>
      </c>
      <c r="Q95" s="507">
        <f t="shared" si="52"/>
        <v>12586.233333333334</v>
      </c>
      <c r="R95" s="508">
        <f t="shared" si="53"/>
        <v>329844</v>
      </c>
      <c r="S95" s="509">
        <f t="shared" si="54"/>
        <v>10994.8</v>
      </c>
      <c r="T95" s="516">
        <v>24883</v>
      </c>
      <c r="U95" s="519">
        <v>27072</v>
      </c>
      <c r="V95" s="506">
        <f t="shared" si="55"/>
        <v>377587</v>
      </c>
      <c r="W95" s="510">
        <f t="shared" si="56"/>
        <v>329844</v>
      </c>
      <c r="X95" s="517"/>
      <c r="Y95" s="519"/>
      <c r="Z95" s="516">
        <v>1139373</v>
      </c>
      <c r="AA95" s="519">
        <v>847829</v>
      </c>
      <c r="AB95" s="516">
        <v>646883</v>
      </c>
      <c r="AC95" s="519">
        <v>450015</v>
      </c>
      <c r="AD95" s="516">
        <v>859415</v>
      </c>
      <c r="AE95" s="519">
        <v>816179</v>
      </c>
      <c r="AF95" s="506">
        <f t="shared" si="57"/>
        <v>2645671</v>
      </c>
      <c r="AG95" s="507">
        <f t="shared" si="58"/>
        <v>2939.6344444444444</v>
      </c>
      <c r="AH95" s="508">
        <f t="shared" si="59"/>
        <v>2114023</v>
      </c>
      <c r="AI95" s="508">
        <f t="shared" si="60"/>
        <v>2348.9144444444446</v>
      </c>
      <c r="AJ95" s="516">
        <v>5580</v>
      </c>
      <c r="AK95" s="519">
        <v>4940</v>
      </c>
      <c r="AL95" s="506">
        <f t="shared" si="61"/>
        <v>2645671</v>
      </c>
      <c r="AM95" s="509">
        <f t="shared" si="62"/>
        <v>2114023</v>
      </c>
      <c r="AN95" s="518"/>
      <c r="AO95" s="520"/>
      <c r="AP95" s="516"/>
      <c r="AQ95" s="520"/>
      <c r="AR95" s="516"/>
      <c r="AS95" s="520"/>
      <c r="AT95" s="516"/>
      <c r="AU95" s="520"/>
      <c r="AV95" s="506">
        <f t="shared" si="63"/>
        <v>0</v>
      </c>
      <c r="AW95" s="511">
        <f t="shared" si="64"/>
        <v>0</v>
      </c>
      <c r="AX95" s="508">
        <f t="shared" si="65"/>
        <v>0</v>
      </c>
      <c r="AY95" s="512">
        <f t="shared" si="66"/>
        <v>0</v>
      </c>
      <c r="AZ95" s="513">
        <f t="shared" si="67"/>
        <v>15525.867777777778</v>
      </c>
      <c r="BA95" s="508">
        <f t="shared" si="68"/>
        <v>13343.714444444444</v>
      </c>
    </row>
    <row r="96" spans="1:53">
      <c r="A96" s="773" t="s">
        <v>803</v>
      </c>
      <c r="B96" s="777" t="s">
        <v>890</v>
      </c>
      <c r="C96" s="778"/>
      <c r="D96" s="779">
        <v>133508</v>
      </c>
      <c r="E96" s="779">
        <v>7</v>
      </c>
      <c r="F96" s="514" t="s">
        <v>41</v>
      </c>
      <c r="G96" s="515" t="s">
        <v>41</v>
      </c>
      <c r="H96" s="516"/>
      <c r="I96" s="519"/>
      <c r="J96" s="516">
        <v>150475</v>
      </c>
      <c r="K96" s="519">
        <v>141156</v>
      </c>
      <c r="L96" s="516">
        <v>63150</v>
      </c>
      <c r="M96" s="519">
        <v>52499</v>
      </c>
      <c r="N96" s="516">
        <v>151732</v>
      </c>
      <c r="O96" s="519">
        <v>136807</v>
      </c>
      <c r="P96" s="506">
        <f t="shared" si="51"/>
        <v>365357</v>
      </c>
      <c r="Q96" s="507">
        <f t="shared" si="52"/>
        <v>12178.566666666668</v>
      </c>
      <c r="R96" s="508">
        <f t="shared" si="53"/>
        <v>330462</v>
      </c>
      <c r="S96" s="509">
        <f t="shared" si="54"/>
        <v>11015.4</v>
      </c>
      <c r="T96" s="516">
        <v>26397</v>
      </c>
      <c r="U96" s="519">
        <v>26406</v>
      </c>
      <c r="V96" s="506">
        <f t="shared" si="55"/>
        <v>365357</v>
      </c>
      <c r="W96" s="510">
        <f t="shared" si="56"/>
        <v>330462</v>
      </c>
      <c r="X96" s="517"/>
      <c r="Y96" s="519"/>
      <c r="Z96" s="516">
        <v>7020</v>
      </c>
      <c r="AA96" s="519">
        <v>3990</v>
      </c>
      <c r="AB96" s="516">
        <v>11760</v>
      </c>
      <c r="AC96" s="519">
        <v>3900</v>
      </c>
      <c r="AD96" s="516">
        <v>4800</v>
      </c>
      <c r="AE96" s="519">
        <v>0</v>
      </c>
      <c r="AF96" s="506">
        <f t="shared" si="57"/>
        <v>23580</v>
      </c>
      <c r="AG96" s="507">
        <f t="shared" si="58"/>
        <v>26.2</v>
      </c>
      <c r="AH96" s="508">
        <f t="shared" si="59"/>
        <v>7890</v>
      </c>
      <c r="AI96" s="508">
        <f t="shared" si="60"/>
        <v>8.7666666666666675</v>
      </c>
      <c r="AJ96" s="516">
        <v>0</v>
      </c>
      <c r="AK96" s="519">
        <v>0</v>
      </c>
      <c r="AL96" s="506">
        <f t="shared" si="61"/>
        <v>23580</v>
      </c>
      <c r="AM96" s="509">
        <f t="shared" si="62"/>
        <v>7890</v>
      </c>
      <c r="AN96" s="518"/>
      <c r="AO96" s="520"/>
      <c r="AP96" s="516"/>
      <c r="AQ96" s="520"/>
      <c r="AR96" s="516"/>
      <c r="AS96" s="520"/>
      <c r="AT96" s="516"/>
      <c r="AU96" s="520"/>
      <c r="AV96" s="506">
        <f t="shared" si="63"/>
        <v>0</v>
      </c>
      <c r="AW96" s="511">
        <f t="shared" si="64"/>
        <v>0</v>
      </c>
      <c r="AX96" s="508">
        <f t="shared" si="65"/>
        <v>0</v>
      </c>
      <c r="AY96" s="512">
        <f t="shared" si="66"/>
        <v>0</v>
      </c>
      <c r="AZ96" s="513">
        <f t="shared" si="67"/>
        <v>12204.766666666668</v>
      </c>
      <c r="BA96" s="508">
        <f t="shared" si="68"/>
        <v>11024.166666666666</v>
      </c>
    </row>
    <row r="97" spans="1:53">
      <c r="A97" s="773" t="s">
        <v>803</v>
      </c>
      <c r="B97" s="777" t="s">
        <v>891</v>
      </c>
      <c r="C97" s="780"/>
      <c r="D97" s="784">
        <v>133702</v>
      </c>
      <c r="E97" s="785">
        <v>7</v>
      </c>
      <c r="F97" s="514" t="s">
        <v>41</v>
      </c>
      <c r="G97" s="515" t="s">
        <v>41</v>
      </c>
      <c r="H97" s="516"/>
      <c r="I97" s="519"/>
      <c r="J97" s="516">
        <v>265115</v>
      </c>
      <c r="K97" s="519">
        <v>259025</v>
      </c>
      <c r="L97" s="516">
        <v>144070</v>
      </c>
      <c r="M97" s="519">
        <v>129952</v>
      </c>
      <c r="N97" s="516">
        <v>273768</v>
      </c>
      <c r="O97" s="519">
        <v>248614</v>
      </c>
      <c r="P97" s="506">
        <f t="shared" si="51"/>
        <v>682953</v>
      </c>
      <c r="Q97" s="507">
        <f t="shared" si="52"/>
        <v>22765.1</v>
      </c>
      <c r="R97" s="508">
        <f t="shared" si="53"/>
        <v>637591</v>
      </c>
      <c r="S97" s="509">
        <f t="shared" si="54"/>
        <v>21253.033333333333</v>
      </c>
      <c r="T97" s="516">
        <v>31742</v>
      </c>
      <c r="U97" s="519">
        <v>32881</v>
      </c>
      <c r="V97" s="506">
        <f t="shared" si="55"/>
        <v>682953</v>
      </c>
      <c r="W97" s="510">
        <f t="shared" si="56"/>
        <v>637591</v>
      </c>
      <c r="X97" s="517"/>
      <c r="Y97" s="519"/>
      <c r="Z97" s="516">
        <v>990157</v>
      </c>
      <c r="AA97" s="519">
        <v>873495</v>
      </c>
      <c r="AB97" s="516">
        <v>770279</v>
      </c>
      <c r="AC97" s="519">
        <v>535059</v>
      </c>
      <c r="AD97" s="516">
        <v>838246</v>
      </c>
      <c r="AE97" s="519">
        <v>799377</v>
      </c>
      <c r="AF97" s="506">
        <f t="shared" si="57"/>
        <v>2598682</v>
      </c>
      <c r="AG97" s="507">
        <f t="shared" si="58"/>
        <v>2887.4244444444444</v>
      </c>
      <c r="AH97" s="508">
        <f t="shared" si="59"/>
        <v>2207931</v>
      </c>
      <c r="AI97" s="508">
        <f t="shared" si="60"/>
        <v>2453.2566666666667</v>
      </c>
      <c r="AJ97" s="516">
        <v>39231</v>
      </c>
      <c r="AK97" s="519">
        <v>34827</v>
      </c>
      <c r="AL97" s="506">
        <f t="shared" si="61"/>
        <v>2598682</v>
      </c>
      <c r="AM97" s="509">
        <f t="shared" si="62"/>
        <v>2207931</v>
      </c>
      <c r="AN97" s="518"/>
      <c r="AO97" s="520"/>
      <c r="AP97" s="516"/>
      <c r="AQ97" s="520"/>
      <c r="AR97" s="516"/>
      <c r="AS97" s="520"/>
      <c r="AT97" s="516"/>
      <c r="AU97" s="520"/>
      <c r="AV97" s="506">
        <f t="shared" si="63"/>
        <v>0</v>
      </c>
      <c r="AW97" s="511">
        <f t="shared" si="64"/>
        <v>0</v>
      </c>
      <c r="AX97" s="508">
        <f t="shared" si="65"/>
        <v>0</v>
      </c>
      <c r="AY97" s="512">
        <f t="shared" si="66"/>
        <v>0</v>
      </c>
      <c r="AZ97" s="513">
        <f t="shared" si="67"/>
        <v>25652.524444444443</v>
      </c>
      <c r="BA97" s="508">
        <f t="shared" si="68"/>
        <v>23706.29</v>
      </c>
    </row>
    <row r="98" spans="1:53">
      <c r="A98" s="773" t="s">
        <v>803</v>
      </c>
      <c r="B98" s="777" t="s">
        <v>892</v>
      </c>
      <c r="C98" s="780"/>
      <c r="D98" s="784">
        <v>134608</v>
      </c>
      <c r="E98" s="785">
        <v>7</v>
      </c>
      <c r="F98" s="514" t="s">
        <v>41</v>
      </c>
      <c r="G98" s="515" t="s">
        <v>41</v>
      </c>
      <c r="H98" s="516"/>
      <c r="I98" s="519"/>
      <c r="J98" s="516">
        <v>133258</v>
      </c>
      <c r="K98" s="519">
        <v>133118</v>
      </c>
      <c r="L98" s="516">
        <v>67639</v>
      </c>
      <c r="M98" s="519">
        <v>63072</v>
      </c>
      <c r="N98" s="516">
        <v>140421</v>
      </c>
      <c r="O98" s="519">
        <v>143137</v>
      </c>
      <c r="P98" s="506">
        <f t="shared" si="51"/>
        <v>341318</v>
      </c>
      <c r="Q98" s="507">
        <f t="shared" si="52"/>
        <v>11377.266666666666</v>
      </c>
      <c r="R98" s="508">
        <f t="shared" si="53"/>
        <v>339327</v>
      </c>
      <c r="S98" s="509">
        <f t="shared" si="54"/>
        <v>11310.9</v>
      </c>
      <c r="T98" s="516">
        <v>31606</v>
      </c>
      <c r="U98" s="519">
        <v>36630</v>
      </c>
      <c r="V98" s="506">
        <f t="shared" si="55"/>
        <v>341318</v>
      </c>
      <c r="W98" s="510">
        <f t="shared" si="56"/>
        <v>339327</v>
      </c>
      <c r="X98" s="517"/>
      <c r="Y98" s="519"/>
      <c r="Z98" s="516">
        <v>933053</v>
      </c>
      <c r="AA98" s="519">
        <v>722970</v>
      </c>
      <c r="AB98" s="516">
        <v>650630</v>
      </c>
      <c r="AC98" s="519">
        <v>490692</v>
      </c>
      <c r="AD98" s="516">
        <v>770013</v>
      </c>
      <c r="AE98" s="519">
        <v>724338</v>
      </c>
      <c r="AF98" s="506">
        <f t="shared" si="57"/>
        <v>2353696</v>
      </c>
      <c r="AG98" s="507">
        <f t="shared" si="58"/>
        <v>2615.2177777777779</v>
      </c>
      <c r="AH98" s="508">
        <f t="shared" si="59"/>
        <v>1938000</v>
      </c>
      <c r="AI98" s="508">
        <f t="shared" si="60"/>
        <v>2153.3333333333335</v>
      </c>
      <c r="AJ98" s="516">
        <v>35757</v>
      </c>
      <c r="AK98" s="519">
        <v>41440</v>
      </c>
      <c r="AL98" s="506">
        <f t="shared" si="61"/>
        <v>2353696</v>
      </c>
      <c r="AM98" s="509">
        <f t="shared" si="62"/>
        <v>1938000</v>
      </c>
      <c r="AN98" s="518"/>
      <c r="AO98" s="520"/>
      <c r="AP98" s="516"/>
      <c r="AQ98" s="520"/>
      <c r="AR98" s="516"/>
      <c r="AS98" s="520"/>
      <c r="AT98" s="516"/>
      <c r="AU98" s="520"/>
      <c r="AV98" s="506">
        <f t="shared" si="63"/>
        <v>0</v>
      </c>
      <c r="AW98" s="511">
        <f t="shared" si="64"/>
        <v>0</v>
      </c>
      <c r="AX98" s="508">
        <f t="shared" si="65"/>
        <v>0</v>
      </c>
      <c r="AY98" s="512">
        <f t="shared" si="66"/>
        <v>0</v>
      </c>
      <c r="AZ98" s="513">
        <f t="shared" si="67"/>
        <v>13992.484444444444</v>
      </c>
      <c r="BA98" s="508">
        <f t="shared" si="68"/>
        <v>13464.233333333334</v>
      </c>
    </row>
    <row r="99" spans="1:53">
      <c r="A99" s="773" t="s">
        <v>803</v>
      </c>
      <c r="B99" s="774" t="s">
        <v>893</v>
      </c>
      <c r="C99" s="775"/>
      <c r="D99" s="784">
        <v>135717</v>
      </c>
      <c r="E99" s="776">
        <v>7</v>
      </c>
      <c r="F99" s="514" t="s">
        <v>41</v>
      </c>
      <c r="G99" s="515" t="s">
        <v>41</v>
      </c>
      <c r="H99" s="516"/>
      <c r="I99" s="519"/>
      <c r="J99" s="516">
        <v>639453</v>
      </c>
      <c r="K99" s="519">
        <v>650249</v>
      </c>
      <c r="L99" s="516">
        <v>344344</v>
      </c>
      <c r="M99" s="519">
        <v>295176</v>
      </c>
      <c r="N99" s="516">
        <v>670327</v>
      </c>
      <c r="O99" s="519">
        <v>650690</v>
      </c>
      <c r="P99" s="506">
        <f t="shared" si="51"/>
        <v>1654124</v>
      </c>
      <c r="Q99" s="507">
        <f t="shared" si="52"/>
        <v>55137.466666666667</v>
      </c>
      <c r="R99" s="508">
        <f t="shared" si="53"/>
        <v>1596115</v>
      </c>
      <c r="S99" s="509">
        <f t="shared" si="54"/>
        <v>53203.833333333336</v>
      </c>
      <c r="T99" s="516">
        <v>26532</v>
      </c>
      <c r="U99" s="519">
        <v>35022</v>
      </c>
      <c r="V99" s="506">
        <f t="shared" si="55"/>
        <v>1654124</v>
      </c>
      <c r="W99" s="510">
        <f t="shared" si="56"/>
        <v>1596115</v>
      </c>
      <c r="X99" s="517"/>
      <c r="Y99" s="519"/>
      <c r="Z99" s="516">
        <v>1971917</v>
      </c>
      <c r="AA99" s="519">
        <v>1233420</v>
      </c>
      <c r="AB99" s="516">
        <v>1484804</v>
      </c>
      <c r="AC99" s="519">
        <v>921686</v>
      </c>
      <c r="AD99" s="516">
        <v>1100943</v>
      </c>
      <c r="AE99" s="519">
        <v>1108304</v>
      </c>
      <c r="AF99" s="506">
        <f t="shared" si="57"/>
        <v>4557664</v>
      </c>
      <c r="AG99" s="507">
        <f t="shared" si="58"/>
        <v>5064.0711111111113</v>
      </c>
      <c r="AH99" s="508">
        <f t="shared" si="59"/>
        <v>3263410</v>
      </c>
      <c r="AI99" s="508">
        <f t="shared" si="60"/>
        <v>3626.0111111111109</v>
      </c>
      <c r="AJ99" s="516">
        <v>0</v>
      </c>
      <c r="AK99" s="519">
        <v>0</v>
      </c>
      <c r="AL99" s="506">
        <f t="shared" si="61"/>
        <v>4557664</v>
      </c>
      <c r="AM99" s="509">
        <f t="shared" si="62"/>
        <v>3263410</v>
      </c>
      <c r="AN99" s="518"/>
      <c r="AO99" s="520"/>
      <c r="AP99" s="516"/>
      <c r="AQ99" s="520"/>
      <c r="AR99" s="516"/>
      <c r="AS99" s="520"/>
      <c r="AT99" s="516"/>
      <c r="AU99" s="520"/>
      <c r="AV99" s="506">
        <f t="shared" si="63"/>
        <v>0</v>
      </c>
      <c r="AW99" s="511">
        <f t="shared" si="64"/>
        <v>0</v>
      </c>
      <c r="AX99" s="508">
        <f t="shared" si="65"/>
        <v>0</v>
      </c>
      <c r="AY99" s="512">
        <f t="shared" si="66"/>
        <v>0</v>
      </c>
      <c r="AZ99" s="513">
        <f t="shared" si="67"/>
        <v>60201.537777777776</v>
      </c>
      <c r="BA99" s="508">
        <f t="shared" si="68"/>
        <v>56829.844444444447</v>
      </c>
    </row>
    <row r="100" spans="1:53">
      <c r="A100" s="773" t="s">
        <v>803</v>
      </c>
      <c r="B100" s="774" t="s">
        <v>894</v>
      </c>
      <c r="C100" s="775"/>
      <c r="D100" s="786">
        <v>136233</v>
      </c>
      <c r="E100" s="776">
        <v>7</v>
      </c>
      <c r="F100" s="514" t="s">
        <v>41</v>
      </c>
      <c r="G100" s="515" t="s">
        <v>41</v>
      </c>
      <c r="H100" s="516"/>
      <c r="I100" s="519"/>
      <c r="J100" s="516">
        <v>67037</v>
      </c>
      <c r="K100" s="519">
        <v>63434</v>
      </c>
      <c r="L100" s="516">
        <v>29849</v>
      </c>
      <c r="M100" s="519">
        <v>26154</v>
      </c>
      <c r="N100" s="516">
        <v>65510</v>
      </c>
      <c r="O100" s="519">
        <v>62508</v>
      </c>
      <c r="P100" s="506">
        <f t="shared" si="51"/>
        <v>162396</v>
      </c>
      <c r="Q100" s="507">
        <f t="shared" si="52"/>
        <v>5413.2</v>
      </c>
      <c r="R100" s="508">
        <f t="shared" si="53"/>
        <v>152096</v>
      </c>
      <c r="S100" s="509">
        <f t="shared" si="54"/>
        <v>5069.8666666666668</v>
      </c>
      <c r="T100" s="516">
        <v>8400</v>
      </c>
      <c r="U100" s="519">
        <v>8870</v>
      </c>
      <c r="V100" s="506">
        <f t="shared" si="55"/>
        <v>162396</v>
      </c>
      <c r="W100" s="510">
        <f t="shared" si="56"/>
        <v>152096</v>
      </c>
      <c r="X100" s="517"/>
      <c r="Y100" s="519"/>
      <c r="Z100" s="516">
        <v>108168</v>
      </c>
      <c r="AA100" s="519">
        <v>109611</v>
      </c>
      <c r="AB100" s="516">
        <v>63392</v>
      </c>
      <c r="AC100" s="519">
        <v>60497</v>
      </c>
      <c r="AD100" s="516">
        <v>98506</v>
      </c>
      <c r="AE100" s="519">
        <v>107642</v>
      </c>
      <c r="AF100" s="506">
        <f t="shared" si="57"/>
        <v>270066</v>
      </c>
      <c r="AG100" s="507">
        <f t="shared" si="58"/>
        <v>300.07333333333332</v>
      </c>
      <c r="AH100" s="508">
        <f t="shared" si="59"/>
        <v>277750</v>
      </c>
      <c r="AI100" s="508">
        <f t="shared" si="60"/>
        <v>308.61111111111109</v>
      </c>
      <c r="AJ100" s="516">
        <v>0</v>
      </c>
      <c r="AK100" s="519">
        <v>0</v>
      </c>
      <c r="AL100" s="506">
        <f t="shared" si="61"/>
        <v>270066</v>
      </c>
      <c r="AM100" s="509">
        <f t="shared" si="62"/>
        <v>277750</v>
      </c>
      <c r="AN100" s="518"/>
      <c r="AO100" s="520"/>
      <c r="AP100" s="516"/>
      <c r="AQ100" s="520"/>
      <c r="AR100" s="516"/>
      <c r="AS100" s="520"/>
      <c r="AT100" s="516"/>
      <c r="AU100" s="520"/>
      <c r="AV100" s="506">
        <f t="shared" si="63"/>
        <v>0</v>
      </c>
      <c r="AW100" s="511">
        <f t="shared" si="64"/>
        <v>0</v>
      </c>
      <c r="AX100" s="508">
        <f t="shared" si="65"/>
        <v>0</v>
      </c>
      <c r="AY100" s="512">
        <f t="shared" si="66"/>
        <v>0</v>
      </c>
      <c r="AZ100" s="513">
        <f t="shared" si="67"/>
        <v>5713.2733333333335</v>
      </c>
      <c r="BA100" s="508">
        <f t="shared" si="68"/>
        <v>5378.4777777777781</v>
      </c>
    </row>
    <row r="101" spans="1:53">
      <c r="A101" s="773" t="s">
        <v>803</v>
      </c>
      <c r="B101" s="774" t="s">
        <v>895</v>
      </c>
      <c r="C101" s="775"/>
      <c r="D101" s="784">
        <v>137078</v>
      </c>
      <c r="E101" s="776">
        <v>7</v>
      </c>
      <c r="F101" s="514" t="s">
        <v>41</v>
      </c>
      <c r="G101" s="515" t="s">
        <v>41</v>
      </c>
      <c r="H101" s="516"/>
      <c r="I101" s="519"/>
      <c r="J101" s="516">
        <v>279908</v>
      </c>
      <c r="K101" s="519">
        <v>271911</v>
      </c>
      <c r="L101" s="516">
        <v>108608</v>
      </c>
      <c r="M101" s="519">
        <v>96285</v>
      </c>
      <c r="N101" s="516">
        <v>291178</v>
      </c>
      <c r="O101" s="519">
        <v>276141</v>
      </c>
      <c r="P101" s="506">
        <f t="shared" si="51"/>
        <v>679694</v>
      </c>
      <c r="Q101" s="507">
        <f t="shared" si="52"/>
        <v>22656.466666666667</v>
      </c>
      <c r="R101" s="508">
        <f t="shared" si="53"/>
        <v>644337</v>
      </c>
      <c r="S101" s="509">
        <f t="shared" si="54"/>
        <v>21477.9</v>
      </c>
      <c r="T101" s="516">
        <v>33428</v>
      </c>
      <c r="U101" s="519">
        <v>37452</v>
      </c>
      <c r="V101" s="506">
        <f t="shared" si="55"/>
        <v>679694</v>
      </c>
      <c r="W101" s="510">
        <f t="shared" si="56"/>
        <v>644337</v>
      </c>
      <c r="X101" s="517"/>
      <c r="Y101" s="519"/>
      <c r="Z101" s="516">
        <v>59075</v>
      </c>
      <c r="AA101" s="519">
        <v>47140</v>
      </c>
      <c r="AB101" s="516">
        <v>25397</v>
      </c>
      <c r="AC101" s="519">
        <v>26277</v>
      </c>
      <c r="AD101" s="516">
        <v>60834</v>
      </c>
      <c r="AE101" s="519">
        <v>62940</v>
      </c>
      <c r="AF101" s="506">
        <f t="shared" si="57"/>
        <v>145306</v>
      </c>
      <c r="AG101" s="507">
        <f t="shared" si="58"/>
        <v>161.45111111111112</v>
      </c>
      <c r="AH101" s="508">
        <f t="shared" si="59"/>
        <v>136357</v>
      </c>
      <c r="AI101" s="508">
        <f t="shared" si="60"/>
        <v>151.50777777777779</v>
      </c>
      <c r="AJ101" s="516">
        <v>0</v>
      </c>
      <c r="AK101" s="519">
        <v>0</v>
      </c>
      <c r="AL101" s="506">
        <f t="shared" si="61"/>
        <v>145306</v>
      </c>
      <c r="AM101" s="509">
        <f t="shared" si="62"/>
        <v>136357</v>
      </c>
      <c r="AN101" s="518"/>
      <c r="AO101" s="520"/>
      <c r="AP101" s="516"/>
      <c r="AQ101" s="520"/>
      <c r="AR101" s="516"/>
      <c r="AS101" s="520"/>
      <c r="AT101" s="516"/>
      <c r="AU101" s="520"/>
      <c r="AV101" s="506">
        <f t="shared" si="63"/>
        <v>0</v>
      </c>
      <c r="AW101" s="511">
        <f t="shared" si="64"/>
        <v>0</v>
      </c>
      <c r="AX101" s="508">
        <f t="shared" si="65"/>
        <v>0</v>
      </c>
      <c r="AY101" s="512">
        <f t="shared" si="66"/>
        <v>0</v>
      </c>
      <c r="AZ101" s="513">
        <f t="shared" si="67"/>
        <v>22817.917777777777</v>
      </c>
      <c r="BA101" s="508">
        <f t="shared" si="68"/>
        <v>21629.407777777778</v>
      </c>
    </row>
    <row r="102" spans="1:53">
      <c r="A102" s="773" t="s">
        <v>803</v>
      </c>
      <c r="B102" s="774" t="s">
        <v>896</v>
      </c>
      <c r="C102" s="775"/>
      <c r="D102" s="784">
        <v>132693</v>
      </c>
      <c r="E102" s="776">
        <v>8</v>
      </c>
      <c r="F102" s="514" t="s">
        <v>41</v>
      </c>
      <c r="G102" s="515" t="s">
        <v>41</v>
      </c>
      <c r="H102" s="516"/>
      <c r="I102" s="519"/>
      <c r="J102" s="516">
        <v>155633</v>
      </c>
      <c r="K102" s="519">
        <v>150391</v>
      </c>
      <c r="L102" s="516">
        <v>57150</v>
      </c>
      <c r="M102" s="519">
        <v>48875</v>
      </c>
      <c r="N102" s="516">
        <v>160161</v>
      </c>
      <c r="O102" s="519">
        <v>147500</v>
      </c>
      <c r="P102" s="506">
        <f t="shared" si="51"/>
        <v>372944</v>
      </c>
      <c r="Q102" s="507">
        <f t="shared" si="52"/>
        <v>12431.466666666667</v>
      </c>
      <c r="R102" s="508">
        <f t="shared" si="53"/>
        <v>346766</v>
      </c>
      <c r="S102" s="509">
        <f t="shared" si="54"/>
        <v>11558.866666666667</v>
      </c>
      <c r="T102" s="516">
        <v>50287</v>
      </c>
      <c r="U102" s="519">
        <v>54984</v>
      </c>
      <c r="V102" s="506">
        <f t="shared" si="55"/>
        <v>372944</v>
      </c>
      <c r="W102" s="510">
        <f t="shared" si="56"/>
        <v>346766</v>
      </c>
      <c r="X102" s="517"/>
      <c r="Y102" s="519"/>
      <c r="Z102" s="516">
        <v>705107</v>
      </c>
      <c r="AA102" s="519">
        <v>452940</v>
      </c>
      <c r="AB102" s="516">
        <v>121528</v>
      </c>
      <c r="AC102" s="519">
        <v>129757</v>
      </c>
      <c r="AD102" s="516">
        <v>492401</v>
      </c>
      <c r="AE102" s="519">
        <v>362364</v>
      </c>
      <c r="AF102" s="506">
        <f t="shared" si="57"/>
        <v>1319036</v>
      </c>
      <c r="AG102" s="507">
        <f t="shared" si="58"/>
        <v>1465.5955555555556</v>
      </c>
      <c r="AH102" s="508">
        <f t="shared" si="59"/>
        <v>945061</v>
      </c>
      <c r="AI102" s="508">
        <f t="shared" si="60"/>
        <v>1050.0677777777778</v>
      </c>
      <c r="AJ102" s="516">
        <v>91770</v>
      </c>
      <c r="AK102" s="519">
        <v>92565</v>
      </c>
      <c r="AL102" s="506">
        <f t="shared" si="61"/>
        <v>1319036</v>
      </c>
      <c r="AM102" s="509">
        <f t="shared" si="62"/>
        <v>945061</v>
      </c>
      <c r="AN102" s="518"/>
      <c r="AO102" s="520"/>
      <c r="AP102" s="516"/>
      <c r="AQ102" s="520"/>
      <c r="AR102" s="516"/>
      <c r="AS102" s="520"/>
      <c r="AT102" s="516"/>
      <c r="AU102" s="520"/>
      <c r="AV102" s="506">
        <f t="shared" si="63"/>
        <v>0</v>
      </c>
      <c r="AW102" s="511">
        <f t="shared" si="64"/>
        <v>0</v>
      </c>
      <c r="AX102" s="508">
        <f t="shared" si="65"/>
        <v>0</v>
      </c>
      <c r="AY102" s="512">
        <f t="shared" si="66"/>
        <v>0</v>
      </c>
      <c r="AZ102" s="513">
        <f t="shared" si="67"/>
        <v>13897.062222222223</v>
      </c>
      <c r="BA102" s="508">
        <f t="shared" si="68"/>
        <v>12608.934444444445</v>
      </c>
    </row>
    <row r="103" spans="1:53">
      <c r="A103" s="773" t="s">
        <v>803</v>
      </c>
      <c r="B103" s="777" t="s">
        <v>897</v>
      </c>
      <c r="C103" s="781" t="s">
        <v>916</v>
      </c>
      <c r="D103" s="784">
        <v>132709</v>
      </c>
      <c r="E103" s="776">
        <v>8</v>
      </c>
      <c r="F103" s="514" t="s">
        <v>41</v>
      </c>
      <c r="G103" s="515" t="s">
        <v>41</v>
      </c>
      <c r="H103" s="516"/>
      <c r="I103" s="519"/>
      <c r="J103" s="516">
        <v>364923</v>
      </c>
      <c r="K103" s="519">
        <v>363645</v>
      </c>
      <c r="L103" s="516">
        <v>187684</v>
      </c>
      <c r="M103" s="519">
        <v>171912</v>
      </c>
      <c r="N103" s="516">
        <v>369074</v>
      </c>
      <c r="O103" s="519">
        <v>365871</v>
      </c>
      <c r="P103" s="506">
        <f t="shared" si="51"/>
        <v>921681</v>
      </c>
      <c r="Q103" s="507">
        <f t="shared" si="52"/>
        <v>30722.7</v>
      </c>
      <c r="R103" s="508">
        <f t="shared" si="53"/>
        <v>901428</v>
      </c>
      <c r="S103" s="509">
        <f t="shared" si="54"/>
        <v>30047.599999999999</v>
      </c>
      <c r="T103" s="516">
        <v>40449</v>
      </c>
      <c r="U103" s="519">
        <v>45262</v>
      </c>
      <c r="V103" s="506">
        <f t="shared" si="55"/>
        <v>921681</v>
      </c>
      <c r="W103" s="510">
        <f t="shared" si="56"/>
        <v>901428</v>
      </c>
      <c r="X103" s="517"/>
      <c r="Y103" s="519"/>
      <c r="Z103" s="516">
        <v>147620</v>
      </c>
      <c r="AA103" s="519">
        <v>163204</v>
      </c>
      <c r="AB103" s="516">
        <v>109605</v>
      </c>
      <c r="AC103" s="519">
        <v>97091</v>
      </c>
      <c r="AD103" s="516">
        <v>164154</v>
      </c>
      <c r="AE103" s="519">
        <v>149838</v>
      </c>
      <c r="AF103" s="506">
        <f t="shared" si="57"/>
        <v>421379</v>
      </c>
      <c r="AG103" s="507">
        <f t="shared" si="58"/>
        <v>468.19888888888892</v>
      </c>
      <c r="AH103" s="508">
        <f t="shared" si="59"/>
        <v>410133</v>
      </c>
      <c r="AI103" s="508">
        <f t="shared" si="60"/>
        <v>455.70333333333332</v>
      </c>
      <c r="AJ103" s="516">
        <v>0</v>
      </c>
      <c r="AK103" s="519">
        <v>225</v>
      </c>
      <c r="AL103" s="506">
        <f t="shared" si="61"/>
        <v>421379</v>
      </c>
      <c r="AM103" s="509">
        <f t="shared" si="62"/>
        <v>410133</v>
      </c>
      <c r="AN103" s="518"/>
      <c r="AO103" s="520"/>
      <c r="AP103" s="516"/>
      <c r="AQ103" s="520"/>
      <c r="AR103" s="516"/>
      <c r="AS103" s="520"/>
      <c r="AT103" s="516"/>
      <c r="AU103" s="520"/>
      <c r="AV103" s="506">
        <f t="shared" si="63"/>
        <v>0</v>
      </c>
      <c r="AW103" s="511">
        <f t="shared" si="64"/>
        <v>0</v>
      </c>
      <c r="AX103" s="508">
        <f t="shared" si="65"/>
        <v>0</v>
      </c>
      <c r="AY103" s="512">
        <f t="shared" si="66"/>
        <v>0</v>
      </c>
      <c r="AZ103" s="513">
        <f t="shared" si="67"/>
        <v>31190.898888888889</v>
      </c>
      <c r="BA103" s="508">
        <f t="shared" si="68"/>
        <v>30503.303333333333</v>
      </c>
    </row>
    <row r="104" spans="1:53">
      <c r="A104" s="773" t="s">
        <v>803</v>
      </c>
      <c r="B104" s="777" t="s">
        <v>898</v>
      </c>
      <c r="C104" s="778"/>
      <c r="D104" s="779">
        <v>132851</v>
      </c>
      <c r="E104" s="779">
        <v>8</v>
      </c>
      <c r="F104" s="514" t="s">
        <v>41</v>
      </c>
      <c r="G104" s="515" t="s">
        <v>41</v>
      </c>
      <c r="H104" s="516"/>
      <c r="I104" s="519"/>
      <c r="J104" s="516">
        <v>76838</v>
      </c>
      <c r="K104" s="519">
        <v>74341</v>
      </c>
      <c r="L104" s="516">
        <v>28700</v>
      </c>
      <c r="M104" s="519">
        <v>26395</v>
      </c>
      <c r="N104" s="516">
        <v>78593</v>
      </c>
      <c r="O104" s="519">
        <v>74213</v>
      </c>
      <c r="P104" s="506">
        <f t="shared" si="51"/>
        <v>184131</v>
      </c>
      <c r="Q104" s="507">
        <f t="shared" si="52"/>
        <v>6137.7</v>
      </c>
      <c r="R104" s="508">
        <f t="shared" si="53"/>
        <v>174949</v>
      </c>
      <c r="S104" s="509">
        <f t="shared" si="54"/>
        <v>5831.6333333333332</v>
      </c>
      <c r="T104" s="516">
        <v>11671</v>
      </c>
      <c r="U104" s="519">
        <v>13023</v>
      </c>
      <c r="V104" s="506">
        <f t="shared" si="55"/>
        <v>184131</v>
      </c>
      <c r="W104" s="510">
        <f t="shared" si="56"/>
        <v>174949</v>
      </c>
      <c r="X104" s="517"/>
      <c r="Y104" s="519"/>
      <c r="Z104" s="516">
        <v>190618</v>
      </c>
      <c r="AA104" s="519">
        <v>146424</v>
      </c>
      <c r="AB104" s="516">
        <v>118329</v>
      </c>
      <c r="AC104" s="519">
        <v>84648</v>
      </c>
      <c r="AD104" s="516">
        <v>155787</v>
      </c>
      <c r="AE104" s="519">
        <v>117024</v>
      </c>
      <c r="AF104" s="506">
        <f t="shared" si="57"/>
        <v>464734</v>
      </c>
      <c r="AG104" s="507">
        <f t="shared" si="58"/>
        <v>516.37111111111108</v>
      </c>
      <c r="AH104" s="508">
        <f t="shared" si="59"/>
        <v>348096</v>
      </c>
      <c r="AI104" s="508">
        <f t="shared" si="60"/>
        <v>386.77333333333331</v>
      </c>
      <c r="AJ104" s="516">
        <v>1860</v>
      </c>
      <c r="AK104" s="519">
        <v>1050</v>
      </c>
      <c r="AL104" s="506">
        <f t="shared" si="61"/>
        <v>464734</v>
      </c>
      <c r="AM104" s="509">
        <f t="shared" si="62"/>
        <v>348096</v>
      </c>
      <c r="AN104" s="518"/>
      <c r="AO104" s="520"/>
      <c r="AP104" s="516"/>
      <c r="AQ104" s="520"/>
      <c r="AR104" s="516"/>
      <c r="AS104" s="520"/>
      <c r="AT104" s="516"/>
      <c r="AU104" s="520"/>
      <c r="AV104" s="506">
        <f t="shared" si="63"/>
        <v>0</v>
      </c>
      <c r="AW104" s="511">
        <f t="shared" si="64"/>
        <v>0</v>
      </c>
      <c r="AX104" s="508">
        <f t="shared" si="65"/>
        <v>0</v>
      </c>
      <c r="AY104" s="512">
        <f t="shared" si="66"/>
        <v>0</v>
      </c>
      <c r="AZ104" s="513">
        <f t="shared" si="67"/>
        <v>6654.0711111111104</v>
      </c>
      <c r="BA104" s="508">
        <f t="shared" si="68"/>
        <v>6218.4066666666668</v>
      </c>
    </row>
    <row r="105" spans="1:53">
      <c r="A105" s="773" t="s">
        <v>803</v>
      </c>
      <c r="B105" s="774" t="s">
        <v>899</v>
      </c>
      <c r="C105" s="778"/>
      <c r="D105" s="784">
        <v>134495</v>
      </c>
      <c r="E105" s="776">
        <v>8</v>
      </c>
      <c r="F105" s="514" t="s">
        <v>41</v>
      </c>
      <c r="G105" s="515" t="s">
        <v>41</v>
      </c>
      <c r="H105" s="516"/>
      <c r="I105" s="519"/>
      <c r="J105" s="516">
        <v>253680</v>
      </c>
      <c r="K105" s="519">
        <v>250281</v>
      </c>
      <c r="L105" s="516">
        <v>94010</v>
      </c>
      <c r="M105" s="519">
        <v>87131</v>
      </c>
      <c r="N105" s="516">
        <v>256082</v>
      </c>
      <c r="O105" s="519">
        <v>249249</v>
      </c>
      <c r="P105" s="506">
        <f t="shared" si="51"/>
        <v>603772</v>
      </c>
      <c r="Q105" s="507">
        <f t="shared" si="52"/>
        <v>20125.733333333334</v>
      </c>
      <c r="R105" s="508">
        <f t="shared" si="53"/>
        <v>586661</v>
      </c>
      <c r="S105" s="509">
        <f t="shared" si="54"/>
        <v>19555.366666666665</v>
      </c>
      <c r="T105" s="516">
        <v>11877</v>
      </c>
      <c r="U105" s="519">
        <v>15384</v>
      </c>
      <c r="V105" s="506">
        <f t="shared" si="55"/>
        <v>603772</v>
      </c>
      <c r="W105" s="510">
        <f t="shared" si="56"/>
        <v>586661</v>
      </c>
      <c r="X105" s="517"/>
      <c r="Y105" s="519"/>
      <c r="Z105" s="516">
        <v>610533</v>
      </c>
      <c r="AA105" s="519">
        <v>558295</v>
      </c>
      <c r="AB105" s="516">
        <v>121009</v>
      </c>
      <c r="AC105" s="519">
        <v>99500</v>
      </c>
      <c r="AD105" s="516">
        <v>632269</v>
      </c>
      <c r="AE105" s="519">
        <v>634802</v>
      </c>
      <c r="AF105" s="506">
        <f t="shared" si="57"/>
        <v>1363811</v>
      </c>
      <c r="AG105" s="507">
        <f t="shared" si="58"/>
        <v>1515.3455555555556</v>
      </c>
      <c r="AH105" s="508">
        <f t="shared" si="59"/>
        <v>1292597</v>
      </c>
      <c r="AI105" s="508">
        <f t="shared" si="60"/>
        <v>1436.2188888888888</v>
      </c>
      <c r="AJ105" s="516">
        <v>0</v>
      </c>
      <c r="AK105" s="519">
        <v>0</v>
      </c>
      <c r="AL105" s="506">
        <f t="shared" si="61"/>
        <v>1363811</v>
      </c>
      <c r="AM105" s="509">
        <f t="shared" si="62"/>
        <v>1292597</v>
      </c>
      <c r="AN105" s="518"/>
      <c r="AO105" s="520"/>
      <c r="AP105" s="516"/>
      <c r="AQ105" s="520"/>
      <c r="AR105" s="516"/>
      <c r="AS105" s="520"/>
      <c r="AT105" s="516"/>
      <c r="AU105" s="520"/>
      <c r="AV105" s="506">
        <f t="shared" si="63"/>
        <v>0</v>
      </c>
      <c r="AW105" s="511">
        <f t="shared" si="64"/>
        <v>0</v>
      </c>
      <c r="AX105" s="508">
        <f t="shared" si="65"/>
        <v>0</v>
      </c>
      <c r="AY105" s="512">
        <f t="shared" si="66"/>
        <v>0</v>
      </c>
      <c r="AZ105" s="513">
        <f t="shared" si="67"/>
        <v>21641.078888888889</v>
      </c>
      <c r="BA105" s="508">
        <f t="shared" si="68"/>
        <v>20991.585555555554</v>
      </c>
    </row>
    <row r="106" spans="1:53">
      <c r="A106" s="773" t="s">
        <v>803</v>
      </c>
      <c r="B106" s="777" t="s">
        <v>900</v>
      </c>
      <c r="C106" s="781" t="s">
        <v>916</v>
      </c>
      <c r="D106" s="784">
        <v>136358</v>
      </c>
      <c r="E106" s="776">
        <v>8</v>
      </c>
      <c r="F106" s="514" t="s">
        <v>41</v>
      </c>
      <c r="G106" s="515" t="s">
        <v>41</v>
      </c>
      <c r="H106" s="516"/>
      <c r="I106" s="519"/>
      <c r="J106" s="516">
        <v>236663</v>
      </c>
      <c r="K106" s="519">
        <v>235834</v>
      </c>
      <c r="L106" s="516">
        <v>103022</v>
      </c>
      <c r="M106" s="519">
        <v>90121</v>
      </c>
      <c r="N106" s="516">
        <v>252774</v>
      </c>
      <c r="O106" s="519">
        <v>244928</v>
      </c>
      <c r="P106" s="506">
        <f t="shared" si="51"/>
        <v>592459</v>
      </c>
      <c r="Q106" s="507">
        <f t="shared" si="52"/>
        <v>19748.633333333335</v>
      </c>
      <c r="R106" s="508">
        <f t="shared" si="53"/>
        <v>570883</v>
      </c>
      <c r="S106" s="509">
        <f t="shared" si="54"/>
        <v>19029.433333333334</v>
      </c>
      <c r="T106" s="516">
        <v>25471</v>
      </c>
      <c r="U106" s="519">
        <v>22540</v>
      </c>
      <c r="V106" s="506">
        <f t="shared" si="55"/>
        <v>592459</v>
      </c>
      <c r="W106" s="510">
        <f t="shared" si="56"/>
        <v>570883</v>
      </c>
      <c r="X106" s="517"/>
      <c r="Y106" s="519"/>
      <c r="Z106" s="516">
        <v>554691</v>
      </c>
      <c r="AA106" s="519">
        <v>470037</v>
      </c>
      <c r="AB106" s="516">
        <v>311300</v>
      </c>
      <c r="AC106" s="519">
        <v>269345</v>
      </c>
      <c r="AD106" s="516">
        <v>458036</v>
      </c>
      <c r="AE106" s="519">
        <v>479213</v>
      </c>
      <c r="AF106" s="506">
        <f t="shared" si="57"/>
        <v>1324027</v>
      </c>
      <c r="AG106" s="507">
        <f t="shared" si="58"/>
        <v>1471.1411111111111</v>
      </c>
      <c r="AH106" s="508">
        <f t="shared" si="59"/>
        <v>1218595</v>
      </c>
      <c r="AI106" s="508">
        <f t="shared" si="60"/>
        <v>1353.9944444444445</v>
      </c>
      <c r="AJ106" s="516">
        <v>15000</v>
      </c>
      <c r="AK106" s="519">
        <v>4080</v>
      </c>
      <c r="AL106" s="506">
        <f t="shared" si="61"/>
        <v>1324027</v>
      </c>
      <c r="AM106" s="509">
        <f t="shared" si="62"/>
        <v>1218595</v>
      </c>
      <c r="AN106" s="518"/>
      <c r="AO106" s="520"/>
      <c r="AP106" s="516"/>
      <c r="AQ106" s="520"/>
      <c r="AR106" s="516"/>
      <c r="AS106" s="520"/>
      <c r="AT106" s="516"/>
      <c r="AU106" s="520"/>
      <c r="AV106" s="506">
        <f t="shared" si="63"/>
        <v>0</v>
      </c>
      <c r="AW106" s="511">
        <f t="shared" si="64"/>
        <v>0</v>
      </c>
      <c r="AX106" s="508">
        <f t="shared" si="65"/>
        <v>0</v>
      </c>
      <c r="AY106" s="512">
        <f t="shared" si="66"/>
        <v>0</v>
      </c>
      <c r="AZ106" s="513">
        <f t="shared" si="67"/>
        <v>21219.774444444447</v>
      </c>
      <c r="BA106" s="508">
        <f t="shared" si="68"/>
        <v>20383.427777777779</v>
      </c>
    </row>
    <row r="107" spans="1:53">
      <c r="A107" s="773" t="s">
        <v>803</v>
      </c>
      <c r="B107" s="774" t="s">
        <v>901</v>
      </c>
      <c r="C107" s="778"/>
      <c r="D107" s="784">
        <v>136400</v>
      </c>
      <c r="E107" s="776">
        <v>8</v>
      </c>
      <c r="F107" s="514" t="s">
        <v>41</v>
      </c>
      <c r="G107" s="515" t="s">
        <v>41</v>
      </c>
      <c r="H107" s="516"/>
      <c r="I107" s="519"/>
      <c r="J107" s="516">
        <v>93566</v>
      </c>
      <c r="K107" s="519">
        <v>92204</v>
      </c>
      <c r="L107" s="516">
        <v>30868</v>
      </c>
      <c r="M107" s="519">
        <v>27620</v>
      </c>
      <c r="N107" s="516">
        <v>98347</v>
      </c>
      <c r="O107" s="519">
        <v>89575</v>
      </c>
      <c r="P107" s="506">
        <f t="shared" si="51"/>
        <v>222781</v>
      </c>
      <c r="Q107" s="507">
        <f t="shared" si="52"/>
        <v>7426.0333333333338</v>
      </c>
      <c r="R107" s="508">
        <f t="shared" si="53"/>
        <v>209399</v>
      </c>
      <c r="S107" s="509">
        <f t="shared" si="54"/>
        <v>6979.9666666666662</v>
      </c>
      <c r="T107" s="516">
        <v>24342</v>
      </c>
      <c r="U107" s="519">
        <v>24399</v>
      </c>
      <c r="V107" s="506">
        <f t="shared" si="55"/>
        <v>222781</v>
      </c>
      <c r="W107" s="510">
        <f t="shared" si="56"/>
        <v>209399</v>
      </c>
      <c r="X107" s="517"/>
      <c r="Y107" s="519"/>
      <c r="Z107" s="516">
        <v>206440</v>
      </c>
      <c r="AA107" s="519">
        <v>168953</v>
      </c>
      <c r="AB107" s="516">
        <v>82670</v>
      </c>
      <c r="AC107" s="519">
        <v>79855</v>
      </c>
      <c r="AD107" s="516">
        <v>170272</v>
      </c>
      <c r="AE107" s="519">
        <v>114863</v>
      </c>
      <c r="AF107" s="506">
        <f t="shared" si="57"/>
        <v>459382</v>
      </c>
      <c r="AG107" s="507">
        <f t="shared" si="58"/>
        <v>510.42444444444442</v>
      </c>
      <c r="AH107" s="508">
        <f t="shared" si="59"/>
        <v>363671</v>
      </c>
      <c r="AI107" s="508">
        <f t="shared" si="60"/>
        <v>404.07888888888891</v>
      </c>
      <c r="AJ107" s="516">
        <v>480</v>
      </c>
      <c r="AK107" s="519">
        <v>805</v>
      </c>
      <c r="AL107" s="506">
        <f t="shared" si="61"/>
        <v>459382</v>
      </c>
      <c r="AM107" s="509">
        <f t="shared" si="62"/>
        <v>363671</v>
      </c>
      <c r="AN107" s="518"/>
      <c r="AO107" s="520"/>
      <c r="AP107" s="516"/>
      <c r="AQ107" s="520"/>
      <c r="AR107" s="516"/>
      <c r="AS107" s="520"/>
      <c r="AT107" s="516"/>
      <c r="AU107" s="520"/>
      <c r="AV107" s="506">
        <f t="shared" si="63"/>
        <v>0</v>
      </c>
      <c r="AW107" s="511">
        <f t="shared" si="64"/>
        <v>0</v>
      </c>
      <c r="AX107" s="508">
        <f t="shared" si="65"/>
        <v>0</v>
      </c>
      <c r="AY107" s="512">
        <f t="shared" si="66"/>
        <v>0</v>
      </c>
      <c r="AZ107" s="513">
        <f t="shared" si="67"/>
        <v>7936.4577777777786</v>
      </c>
      <c r="BA107" s="508">
        <f t="shared" si="68"/>
        <v>7384.0455555555554</v>
      </c>
    </row>
    <row r="108" spans="1:53">
      <c r="A108" s="773" t="s">
        <v>803</v>
      </c>
      <c r="B108" s="777" t="s">
        <v>902</v>
      </c>
      <c r="C108" s="781" t="s">
        <v>917</v>
      </c>
      <c r="D108" s="784">
        <v>136473</v>
      </c>
      <c r="E108" s="776">
        <v>8</v>
      </c>
      <c r="F108" s="514" t="s">
        <v>41</v>
      </c>
      <c r="G108" s="515" t="s">
        <v>41</v>
      </c>
      <c r="H108" s="516"/>
      <c r="I108" s="519"/>
      <c r="J108" s="516">
        <v>102411</v>
      </c>
      <c r="K108" s="519">
        <v>102456</v>
      </c>
      <c r="L108" s="516">
        <v>42531</v>
      </c>
      <c r="M108" s="519">
        <v>40266</v>
      </c>
      <c r="N108" s="516">
        <v>107693</v>
      </c>
      <c r="O108" s="519">
        <v>106379</v>
      </c>
      <c r="P108" s="506">
        <f t="shared" si="51"/>
        <v>252635</v>
      </c>
      <c r="Q108" s="507">
        <f t="shared" si="52"/>
        <v>8421.1666666666661</v>
      </c>
      <c r="R108" s="508">
        <f t="shared" si="53"/>
        <v>249101</v>
      </c>
      <c r="S108" s="509">
        <f t="shared" si="54"/>
        <v>8303.3666666666668</v>
      </c>
      <c r="T108" s="516">
        <v>26172</v>
      </c>
      <c r="U108" s="519">
        <v>27988</v>
      </c>
      <c r="V108" s="506">
        <f t="shared" si="55"/>
        <v>252635</v>
      </c>
      <c r="W108" s="510">
        <f t="shared" si="56"/>
        <v>249101</v>
      </c>
      <c r="X108" s="517"/>
      <c r="Y108" s="519"/>
      <c r="Z108" s="516">
        <v>387822</v>
      </c>
      <c r="AA108" s="519">
        <v>379700</v>
      </c>
      <c r="AB108" s="516">
        <v>234222</v>
      </c>
      <c r="AC108" s="519">
        <v>220774</v>
      </c>
      <c r="AD108" s="516">
        <v>383605</v>
      </c>
      <c r="AE108" s="519">
        <v>409685</v>
      </c>
      <c r="AF108" s="506">
        <f t="shared" si="57"/>
        <v>1005649</v>
      </c>
      <c r="AG108" s="507">
        <f t="shared" si="58"/>
        <v>1117.3877777777777</v>
      </c>
      <c r="AH108" s="508">
        <f t="shared" si="59"/>
        <v>1010159</v>
      </c>
      <c r="AI108" s="508">
        <f t="shared" si="60"/>
        <v>1122.3988888888889</v>
      </c>
      <c r="AJ108" s="516">
        <v>2160</v>
      </c>
      <c r="AK108" s="519">
        <v>1170</v>
      </c>
      <c r="AL108" s="506">
        <f t="shared" si="61"/>
        <v>1005649</v>
      </c>
      <c r="AM108" s="509">
        <f t="shared" si="62"/>
        <v>1010159</v>
      </c>
      <c r="AN108" s="518"/>
      <c r="AO108" s="520"/>
      <c r="AP108" s="516"/>
      <c r="AQ108" s="520"/>
      <c r="AR108" s="516"/>
      <c r="AS108" s="520"/>
      <c r="AT108" s="516"/>
      <c r="AU108" s="520"/>
      <c r="AV108" s="506">
        <f t="shared" si="63"/>
        <v>0</v>
      </c>
      <c r="AW108" s="511">
        <f t="shared" si="64"/>
        <v>0</v>
      </c>
      <c r="AX108" s="508">
        <f t="shared" si="65"/>
        <v>0</v>
      </c>
      <c r="AY108" s="512">
        <f t="shared" si="66"/>
        <v>0</v>
      </c>
      <c r="AZ108" s="513">
        <f t="shared" si="67"/>
        <v>9538.554444444444</v>
      </c>
      <c r="BA108" s="508">
        <f t="shared" si="68"/>
        <v>9425.7655555555557</v>
      </c>
    </row>
    <row r="109" spans="1:53">
      <c r="A109" s="773" t="s">
        <v>803</v>
      </c>
      <c r="B109" s="777" t="s">
        <v>903</v>
      </c>
      <c r="C109" s="781" t="s">
        <v>916</v>
      </c>
      <c r="D109" s="784">
        <v>136516</v>
      </c>
      <c r="E109" s="776">
        <v>8</v>
      </c>
      <c r="F109" s="514" t="s">
        <v>41</v>
      </c>
      <c r="G109" s="515" t="s">
        <v>41</v>
      </c>
      <c r="H109" s="516"/>
      <c r="I109" s="519"/>
      <c r="J109" s="516">
        <v>87435</v>
      </c>
      <c r="K109" s="519">
        <v>95577</v>
      </c>
      <c r="L109" s="516">
        <v>33282</v>
      </c>
      <c r="M109" s="519">
        <v>35442</v>
      </c>
      <c r="N109" s="516">
        <v>98313</v>
      </c>
      <c r="O109" s="519">
        <v>100190</v>
      </c>
      <c r="P109" s="506">
        <f t="shared" si="51"/>
        <v>219030</v>
      </c>
      <c r="Q109" s="507">
        <f t="shared" si="52"/>
        <v>7301</v>
      </c>
      <c r="R109" s="508">
        <f t="shared" si="53"/>
        <v>231209</v>
      </c>
      <c r="S109" s="509">
        <f t="shared" si="54"/>
        <v>7706.9666666666662</v>
      </c>
      <c r="T109" s="516">
        <v>23256</v>
      </c>
      <c r="U109" s="519">
        <v>29544</v>
      </c>
      <c r="V109" s="506">
        <f t="shared" si="55"/>
        <v>219030</v>
      </c>
      <c r="W109" s="510">
        <f t="shared" si="56"/>
        <v>231209</v>
      </c>
      <c r="X109" s="517"/>
      <c r="Y109" s="519"/>
      <c r="Z109" s="516">
        <v>40784</v>
      </c>
      <c r="AA109" s="519">
        <v>27397</v>
      </c>
      <c r="AB109" s="516">
        <v>24268</v>
      </c>
      <c r="AC109" s="519">
        <v>24121</v>
      </c>
      <c r="AD109" s="516">
        <v>35946</v>
      </c>
      <c r="AE109" s="519">
        <v>29361</v>
      </c>
      <c r="AF109" s="506">
        <f t="shared" si="57"/>
        <v>100998</v>
      </c>
      <c r="AG109" s="507">
        <f t="shared" si="58"/>
        <v>112.22</v>
      </c>
      <c r="AH109" s="508">
        <f t="shared" si="59"/>
        <v>80879</v>
      </c>
      <c r="AI109" s="508">
        <f t="shared" si="60"/>
        <v>89.865555555555559</v>
      </c>
      <c r="AJ109" s="516">
        <v>0</v>
      </c>
      <c r="AK109" s="519">
        <v>0</v>
      </c>
      <c r="AL109" s="506">
        <f t="shared" si="61"/>
        <v>100998</v>
      </c>
      <c r="AM109" s="509">
        <f t="shared" si="62"/>
        <v>80879</v>
      </c>
      <c r="AN109" s="518"/>
      <c r="AO109" s="520"/>
      <c r="AP109" s="516"/>
      <c r="AQ109" s="520"/>
      <c r="AR109" s="516"/>
      <c r="AS109" s="520"/>
      <c r="AT109" s="516"/>
      <c r="AU109" s="520"/>
      <c r="AV109" s="506">
        <f t="shared" si="63"/>
        <v>0</v>
      </c>
      <c r="AW109" s="511">
        <f t="shared" si="64"/>
        <v>0</v>
      </c>
      <c r="AX109" s="508">
        <f t="shared" si="65"/>
        <v>0</v>
      </c>
      <c r="AY109" s="512">
        <f t="shared" si="66"/>
        <v>0</v>
      </c>
      <c r="AZ109" s="513">
        <f t="shared" si="67"/>
        <v>7413.22</v>
      </c>
      <c r="BA109" s="508">
        <f t="shared" si="68"/>
        <v>7796.8322222222214</v>
      </c>
    </row>
    <row r="110" spans="1:53">
      <c r="A110" s="773" t="s">
        <v>803</v>
      </c>
      <c r="B110" s="777" t="s">
        <v>904</v>
      </c>
      <c r="C110" s="781" t="s">
        <v>917</v>
      </c>
      <c r="D110" s="784">
        <v>137096</v>
      </c>
      <c r="E110" s="776">
        <v>8</v>
      </c>
      <c r="F110" s="514" t="s">
        <v>41</v>
      </c>
      <c r="G110" s="515" t="s">
        <v>41</v>
      </c>
      <c r="H110" s="516"/>
      <c r="I110" s="519"/>
      <c r="J110" s="516">
        <v>145105</v>
      </c>
      <c r="K110" s="519">
        <v>142534</v>
      </c>
      <c r="L110" s="516">
        <v>67496</v>
      </c>
      <c r="M110" s="519">
        <v>60253</v>
      </c>
      <c r="N110" s="516">
        <v>151359</v>
      </c>
      <c r="O110" s="519">
        <v>146754</v>
      </c>
      <c r="P110" s="506">
        <f t="shared" si="51"/>
        <v>363960</v>
      </c>
      <c r="Q110" s="507">
        <f t="shared" si="52"/>
        <v>12132</v>
      </c>
      <c r="R110" s="508">
        <f t="shared" si="53"/>
        <v>349541</v>
      </c>
      <c r="S110" s="509">
        <f t="shared" si="54"/>
        <v>11651.366666666667</v>
      </c>
      <c r="T110" s="516">
        <v>14020</v>
      </c>
      <c r="U110" s="519">
        <v>15659</v>
      </c>
      <c r="V110" s="506">
        <f t="shared" si="55"/>
        <v>363960</v>
      </c>
      <c r="W110" s="510">
        <f t="shared" si="56"/>
        <v>349541</v>
      </c>
      <c r="X110" s="517"/>
      <c r="Y110" s="519"/>
      <c r="Z110" s="516">
        <v>214465</v>
      </c>
      <c r="AA110" s="519">
        <v>195473</v>
      </c>
      <c r="AB110" s="516">
        <v>144304</v>
      </c>
      <c r="AC110" s="519">
        <v>126062</v>
      </c>
      <c r="AD110" s="516">
        <v>191013</v>
      </c>
      <c r="AE110" s="519">
        <v>211324</v>
      </c>
      <c r="AF110" s="506">
        <f t="shared" si="57"/>
        <v>549782</v>
      </c>
      <c r="AG110" s="507">
        <f t="shared" si="58"/>
        <v>610.86888888888893</v>
      </c>
      <c r="AH110" s="508">
        <f t="shared" si="59"/>
        <v>532859</v>
      </c>
      <c r="AI110" s="508">
        <f t="shared" si="60"/>
        <v>592.06555555555553</v>
      </c>
      <c r="AJ110" s="516">
        <v>525</v>
      </c>
      <c r="AK110" s="519">
        <v>1080</v>
      </c>
      <c r="AL110" s="506">
        <f t="shared" si="61"/>
        <v>549782</v>
      </c>
      <c r="AM110" s="509">
        <f t="shared" si="62"/>
        <v>532859</v>
      </c>
      <c r="AN110" s="518"/>
      <c r="AO110" s="520"/>
      <c r="AP110" s="516"/>
      <c r="AQ110" s="520"/>
      <c r="AR110" s="516"/>
      <c r="AS110" s="520"/>
      <c r="AT110" s="516"/>
      <c r="AU110" s="520"/>
      <c r="AV110" s="506">
        <f t="shared" si="63"/>
        <v>0</v>
      </c>
      <c r="AW110" s="511">
        <f t="shared" si="64"/>
        <v>0</v>
      </c>
      <c r="AX110" s="508">
        <f t="shared" si="65"/>
        <v>0</v>
      </c>
      <c r="AY110" s="512">
        <f t="shared" si="66"/>
        <v>0</v>
      </c>
      <c r="AZ110" s="513">
        <f t="shared" si="67"/>
        <v>12742.868888888888</v>
      </c>
      <c r="BA110" s="508">
        <f t="shared" si="68"/>
        <v>12243.432222222222</v>
      </c>
    </row>
    <row r="111" spans="1:53">
      <c r="A111" s="773" t="s">
        <v>803</v>
      </c>
      <c r="B111" s="777" t="s">
        <v>905</v>
      </c>
      <c r="C111" s="781" t="s">
        <v>917</v>
      </c>
      <c r="D111" s="784">
        <v>137209</v>
      </c>
      <c r="E111" s="776">
        <v>8</v>
      </c>
      <c r="F111" s="514" t="s">
        <v>41</v>
      </c>
      <c r="G111" s="515" t="s">
        <v>41</v>
      </c>
      <c r="H111" s="516"/>
      <c r="I111" s="519"/>
      <c r="J111" s="516">
        <v>169869</v>
      </c>
      <c r="K111" s="519">
        <v>167812</v>
      </c>
      <c r="L111" s="516">
        <v>75855</v>
      </c>
      <c r="M111" s="519">
        <v>71447</v>
      </c>
      <c r="N111" s="516">
        <v>169432</v>
      </c>
      <c r="O111" s="519">
        <v>175798</v>
      </c>
      <c r="P111" s="506">
        <f t="shared" si="51"/>
        <v>415156</v>
      </c>
      <c r="Q111" s="507">
        <f t="shared" si="52"/>
        <v>13838.533333333333</v>
      </c>
      <c r="R111" s="508">
        <f t="shared" si="53"/>
        <v>415057</v>
      </c>
      <c r="S111" s="509">
        <f t="shared" si="54"/>
        <v>13835.233333333334</v>
      </c>
      <c r="T111" s="516">
        <v>5883</v>
      </c>
      <c r="U111" s="519">
        <v>6881</v>
      </c>
      <c r="V111" s="506">
        <f t="shared" si="55"/>
        <v>415156</v>
      </c>
      <c r="W111" s="510">
        <f t="shared" si="56"/>
        <v>415057</v>
      </c>
      <c r="X111" s="517"/>
      <c r="Y111" s="519"/>
      <c r="Z111" s="516">
        <v>542141</v>
      </c>
      <c r="AA111" s="519">
        <v>470402</v>
      </c>
      <c r="AB111" s="516">
        <v>344890</v>
      </c>
      <c r="AC111" s="519">
        <v>321229</v>
      </c>
      <c r="AD111" s="516">
        <v>496784</v>
      </c>
      <c r="AE111" s="519">
        <v>441055</v>
      </c>
      <c r="AF111" s="506">
        <f t="shared" si="57"/>
        <v>1383815</v>
      </c>
      <c r="AG111" s="507">
        <f t="shared" si="58"/>
        <v>1537.5722222222223</v>
      </c>
      <c r="AH111" s="508">
        <f t="shared" si="59"/>
        <v>1232686</v>
      </c>
      <c r="AI111" s="508">
        <f t="shared" si="60"/>
        <v>1369.651111111111</v>
      </c>
      <c r="AJ111" s="516">
        <v>4680</v>
      </c>
      <c r="AK111" s="519">
        <v>6120</v>
      </c>
      <c r="AL111" s="506">
        <f t="shared" si="61"/>
        <v>1383815</v>
      </c>
      <c r="AM111" s="509">
        <f t="shared" si="62"/>
        <v>1232686</v>
      </c>
      <c r="AN111" s="518"/>
      <c r="AO111" s="520"/>
      <c r="AP111" s="516"/>
      <c r="AQ111" s="520"/>
      <c r="AR111" s="516"/>
      <c r="AS111" s="520"/>
      <c r="AT111" s="516"/>
      <c r="AU111" s="520"/>
      <c r="AV111" s="506">
        <f t="shared" si="63"/>
        <v>0</v>
      </c>
      <c r="AW111" s="511">
        <f t="shared" si="64"/>
        <v>0</v>
      </c>
      <c r="AX111" s="508">
        <f t="shared" si="65"/>
        <v>0</v>
      </c>
      <c r="AY111" s="512">
        <f t="shared" si="66"/>
        <v>0</v>
      </c>
      <c r="AZ111" s="513">
        <f t="shared" si="67"/>
        <v>15376.105555555556</v>
      </c>
      <c r="BA111" s="508">
        <f t="shared" si="68"/>
        <v>15204.884444444444</v>
      </c>
    </row>
    <row r="112" spans="1:53">
      <c r="A112" s="773" t="s">
        <v>803</v>
      </c>
      <c r="B112" s="774" t="s">
        <v>906</v>
      </c>
      <c r="C112" s="781" t="s">
        <v>916</v>
      </c>
      <c r="D112" s="784">
        <v>135391</v>
      </c>
      <c r="E112" s="776">
        <v>8</v>
      </c>
      <c r="F112" s="514" t="s">
        <v>41</v>
      </c>
      <c r="G112" s="515" t="s">
        <v>41</v>
      </c>
      <c r="H112" s="516"/>
      <c r="I112" s="519"/>
      <c r="J112" s="516">
        <v>109231</v>
      </c>
      <c r="K112" s="519">
        <v>104680</v>
      </c>
      <c r="L112" s="516">
        <v>36876</v>
      </c>
      <c r="M112" s="519">
        <v>32779</v>
      </c>
      <c r="N112" s="516">
        <v>112326</v>
      </c>
      <c r="O112" s="519">
        <v>108096</v>
      </c>
      <c r="P112" s="506">
        <f t="shared" si="51"/>
        <v>258433</v>
      </c>
      <c r="Q112" s="507">
        <f t="shared" si="52"/>
        <v>8614.4333333333325</v>
      </c>
      <c r="R112" s="508">
        <f t="shared" si="53"/>
        <v>245555</v>
      </c>
      <c r="S112" s="509">
        <f t="shared" si="54"/>
        <v>8185.166666666667</v>
      </c>
      <c r="T112" s="516">
        <v>16709</v>
      </c>
      <c r="U112" s="519">
        <v>18340</v>
      </c>
      <c r="V112" s="506">
        <f t="shared" si="55"/>
        <v>258433</v>
      </c>
      <c r="W112" s="510">
        <f t="shared" si="56"/>
        <v>245555</v>
      </c>
      <c r="X112" s="517"/>
      <c r="Y112" s="519"/>
      <c r="Z112" s="516">
        <v>10805</v>
      </c>
      <c r="AA112" s="519">
        <v>0</v>
      </c>
      <c r="AB112" s="516">
        <v>4708</v>
      </c>
      <c r="AC112" s="519">
        <v>0</v>
      </c>
      <c r="AD112" s="516">
        <v>0</v>
      </c>
      <c r="AE112" s="519">
        <v>0</v>
      </c>
      <c r="AF112" s="506">
        <f t="shared" si="57"/>
        <v>15513</v>
      </c>
      <c r="AG112" s="507">
        <f t="shared" si="58"/>
        <v>17.236666666666668</v>
      </c>
      <c r="AH112" s="508">
        <f t="shared" si="59"/>
        <v>0</v>
      </c>
      <c r="AI112" s="508">
        <f t="shared" si="60"/>
        <v>0</v>
      </c>
      <c r="AJ112" s="516">
        <v>0</v>
      </c>
      <c r="AK112" s="519">
        <v>0</v>
      </c>
      <c r="AL112" s="506">
        <f t="shared" si="61"/>
        <v>15513</v>
      </c>
      <c r="AM112" s="509">
        <f t="shared" si="62"/>
        <v>0</v>
      </c>
      <c r="AN112" s="518"/>
      <c r="AO112" s="520"/>
      <c r="AP112" s="516"/>
      <c r="AQ112" s="520"/>
      <c r="AR112" s="516"/>
      <c r="AS112" s="520"/>
      <c r="AT112" s="516"/>
      <c r="AU112" s="520"/>
      <c r="AV112" s="506">
        <f t="shared" si="63"/>
        <v>0</v>
      </c>
      <c r="AW112" s="511">
        <f t="shared" si="64"/>
        <v>0</v>
      </c>
      <c r="AX112" s="508">
        <f t="shared" si="65"/>
        <v>0</v>
      </c>
      <c r="AY112" s="512">
        <f t="shared" si="66"/>
        <v>0</v>
      </c>
      <c r="AZ112" s="513">
        <f t="shared" si="67"/>
        <v>8631.6699999999983</v>
      </c>
      <c r="BA112" s="508">
        <f t="shared" si="68"/>
        <v>8185.166666666667</v>
      </c>
    </row>
    <row r="113" spans="1:53">
      <c r="A113" s="773" t="s">
        <v>803</v>
      </c>
      <c r="B113" s="774" t="s">
        <v>907</v>
      </c>
      <c r="C113" s="778"/>
      <c r="D113" s="784">
        <v>137759</v>
      </c>
      <c r="E113" s="776">
        <v>8</v>
      </c>
      <c r="F113" s="514" t="s">
        <v>41</v>
      </c>
      <c r="G113" s="515" t="s">
        <v>41</v>
      </c>
      <c r="H113" s="516"/>
      <c r="I113" s="519"/>
      <c r="J113" s="516">
        <v>133652</v>
      </c>
      <c r="K113" s="519">
        <v>135595</v>
      </c>
      <c r="L113" s="516">
        <v>70124</v>
      </c>
      <c r="M113" s="519">
        <v>61101</v>
      </c>
      <c r="N113" s="516">
        <v>148741</v>
      </c>
      <c r="O113" s="519">
        <v>135376</v>
      </c>
      <c r="P113" s="506">
        <f t="shared" si="51"/>
        <v>352517</v>
      </c>
      <c r="Q113" s="507">
        <f t="shared" si="52"/>
        <v>11750.566666666668</v>
      </c>
      <c r="R113" s="508">
        <f t="shared" si="53"/>
        <v>332072</v>
      </c>
      <c r="S113" s="509">
        <f t="shared" si="54"/>
        <v>11069.066666666668</v>
      </c>
      <c r="T113" s="516">
        <v>8663</v>
      </c>
      <c r="U113" s="519">
        <v>8082</v>
      </c>
      <c r="V113" s="506">
        <f t="shared" si="55"/>
        <v>352517</v>
      </c>
      <c r="W113" s="510">
        <f t="shared" si="56"/>
        <v>332072</v>
      </c>
      <c r="X113" s="517"/>
      <c r="Y113" s="519"/>
      <c r="Z113" s="516">
        <v>228984</v>
      </c>
      <c r="AA113" s="519">
        <v>186962</v>
      </c>
      <c r="AB113" s="516">
        <v>40015</v>
      </c>
      <c r="AC113" s="519">
        <v>43974</v>
      </c>
      <c r="AD113" s="516">
        <v>142710</v>
      </c>
      <c r="AE113" s="519">
        <v>152595</v>
      </c>
      <c r="AF113" s="506">
        <f t="shared" si="57"/>
        <v>411709</v>
      </c>
      <c r="AG113" s="507">
        <f t="shared" si="58"/>
        <v>457.45444444444445</v>
      </c>
      <c r="AH113" s="508">
        <f t="shared" si="59"/>
        <v>383531</v>
      </c>
      <c r="AI113" s="508">
        <f t="shared" si="60"/>
        <v>426.14555555555557</v>
      </c>
      <c r="AJ113" s="516">
        <v>7028</v>
      </c>
      <c r="AK113" s="519">
        <v>692</v>
      </c>
      <c r="AL113" s="506">
        <f t="shared" si="61"/>
        <v>411709</v>
      </c>
      <c r="AM113" s="509">
        <f t="shared" si="62"/>
        <v>383531</v>
      </c>
      <c r="AN113" s="518"/>
      <c r="AO113" s="520"/>
      <c r="AP113" s="516"/>
      <c r="AQ113" s="520"/>
      <c r="AR113" s="516"/>
      <c r="AS113" s="520"/>
      <c r="AT113" s="516"/>
      <c r="AU113" s="520"/>
      <c r="AV113" s="506">
        <f t="shared" si="63"/>
        <v>0</v>
      </c>
      <c r="AW113" s="511">
        <f t="shared" si="64"/>
        <v>0</v>
      </c>
      <c r="AX113" s="508">
        <f t="shared" si="65"/>
        <v>0</v>
      </c>
      <c r="AY113" s="512">
        <f t="shared" si="66"/>
        <v>0</v>
      </c>
      <c r="AZ113" s="513">
        <f t="shared" si="67"/>
        <v>12208.021111111111</v>
      </c>
      <c r="BA113" s="508">
        <f t="shared" si="68"/>
        <v>11495.212222222222</v>
      </c>
    </row>
    <row r="114" spans="1:53">
      <c r="A114" s="773" t="s">
        <v>803</v>
      </c>
      <c r="B114" s="774" t="s">
        <v>908</v>
      </c>
      <c r="C114" s="778"/>
      <c r="D114" s="784">
        <v>138187</v>
      </c>
      <c r="E114" s="776">
        <v>8</v>
      </c>
      <c r="F114" s="514" t="s">
        <v>41</v>
      </c>
      <c r="G114" s="515" t="s">
        <v>41</v>
      </c>
      <c r="H114" s="516"/>
      <c r="I114" s="519"/>
      <c r="J114" s="516">
        <v>367512</v>
      </c>
      <c r="K114" s="519">
        <v>364963</v>
      </c>
      <c r="L114" s="516">
        <v>187193</v>
      </c>
      <c r="M114" s="519">
        <v>165729</v>
      </c>
      <c r="N114" s="516">
        <v>388537</v>
      </c>
      <c r="O114" s="519">
        <v>380499</v>
      </c>
      <c r="P114" s="506">
        <f t="shared" si="51"/>
        <v>943242</v>
      </c>
      <c r="Q114" s="507">
        <f t="shared" si="52"/>
        <v>31441.4</v>
      </c>
      <c r="R114" s="508">
        <f t="shared" si="53"/>
        <v>911191</v>
      </c>
      <c r="S114" s="509">
        <f t="shared" si="54"/>
        <v>30373.033333333333</v>
      </c>
      <c r="T114" s="516">
        <v>37913</v>
      </c>
      <c r="U114" s="519">
        <v>37708</v>
      </c>
      <c r="V114" s="506">
        <f t="shared" si="55"/>
        <v>943242</v>
      </c>
      <c r="W114" s="510">
        <f t="shared" si="56"/>
        <v>911191</v>
      </c>
      <c r="X114" s="517"/>
      <c r="Y114" s="519"/>
      <c r="Z114" s="516">
        <v>96784</v>
      </c>
      <c r="AA114" s="519">
        <v>106522</v>
      </c>
      <c r="AB114" s="516">
        <v>55258</v>
      </c>
      <c r="AC114" s="519">
        <v>35864</v>
      </c>
      <c r="AD114" s="516">
        <v>39296</v>
      </c>
      <c r="AE114" s="519">
        <v>42650</v>
      </c>
      <c r="AF114" s="506">
        <f t="shared" si="57"/>
        <v>191338</v>
      </c>
      <c r="AG114" s="507">
        <f t="shared" si="58"/>
        <v>212.59777777777776</v>
      </c>
      <c r="AH114" s="508">
        <f t="shared" si="59"/>
        <v>185036</v>
      </c>
      <c r="AI114" s="508">
        <f t="shared" si="60"/>
        <v>205.59555555555556</v>
      </c>
      <c r="AJ114" s="516">
        <v>0</v>
      </c>
      <c r="AK114" s="519">
        <v>0</v>
      </c>
      <c r="AL114" s="506">
        <f t="shared" si="61"/>
        <v>191338</v>
      </c>
      <c r="AM114" s="509">
        <f t="shared" si="62"/>
        <v>185036</v>
      </c>
      <c r="AN114" s="518"/>
      <c r="AO114" s="520"/>
      <c r="AP114" s="516"/>
      <c r="AQ114" s="520"/>
      <c r="AR114" s="516"/>
      <c r="AS114" s="520"/>
      <c r="AT114" s="516"/>
      <c r="AU114" s="520"/>
      <c r="AV114" s="506">
        <f t="shared" si="63"/>
        <v>0</v>
      </c>
      <c r="AW114" s="511">
        <f t="shared" si="64"/>
        <v>0</v>
      </c>
      <c r="AX114" s="508">
        <f t="shared" si="65"/>
        <v>0</v>
      </c>
      <c r="AY114" s="512">
        <f t="shared" si="66"/>
        <v>0</v>
      </c>
      <c r="AZ114" s="513">
        <f t="shared" si="67"/>
        <v>31653.997777777779</v>
      </c>
      <c r="BA114" s="508">
        <f t="shared" si="68"/>
        <v>30578.628888888888</v>
      </c>
    </row>
    <row r="115" spans="1:53">
      <c r="A115" s="773" t="s">
        <v>803</v>
      </c>
      <c r="B115" s="782" t="s">
        <v>909</v>
      </c>
      <c r="C115" s="775"/>
      <c r="D115" s="784">
        <v>135160</v>
      </c>
      <c r="E115" s="776">
        <v>9</v>
      </c>
      <c r="F115" s="514" t="s">
        <v>41</v>
      </c>
      <c r="G115" s="515" t="s">
        <v>41</v>
      </c>
      <c r="H115" s="516"/>
      <c r="I115" s="519"/>
      <c r="J115" s="516">
        <v>23834</v>
      </c>
      <c r="K115" s="519">
        <v>24508</v>
      </c>
      <c r="L115" s="516">
        <v>10470</v>
      </c>
      <c r="M115" s="519">
        <v>9472</v>
      </c>
      <c r="N115" s="516">
        <v>25526</v>
      </c>
      <c r="O115" s="519">
        <v>24083</v>
      </c>
      <c r="P115" s="506">
        <f t="shared" si="51"/>
        <v>59830</v>
      </c>
      <c r="Q115" s="507">
        <f t="shared" si="52"/>
        <v>1994.3333333333333</v>
      </c>
      <c r="R115" s="508">
        <f t="shared" si="53"/>
        <v>58063</v>
      </c>
      <c r="S115" s="509">
        <f t="shared" si="54"/>
        <v>1935.4333333333334</v>
      </c>
      <c r="T115" s="516">
        <v>10042</v>
      </c>
      <c r="U115" s="519">
        <v>13166</v>
      </c>
      <c r="V115" s="506">
        <f t="shared" si="55"/>
        <v>59830</v>
      </c>
      <c r="W115" s="510">
        <f t="shared" si="56"/>
        <v>58063</v>
      </c>
      <c r="X115" s="517"/>
      <c r="Y115" s="519"/>
      <c r="Z115" s="516">
        <v>129183</v>
      </c>
      <c r="AA115" s="519">
        <v>105997</v>
      </c>
      <c r="AB115" s="516">
        <v>62678</v>
      </c>
      <c r="AC115" s="519">
        <v>65806</v>
      </c>
      <c r="AD115" s="516">
        <v>121412</v>
      </c>
      <c r="AE115" s="519">
        <v>100505</v>
      </c>
      <c r="AF115" s="506">
        <f t="shared" si="57"/>
        <v>313273</v>
      </c>
      <c r="AG115" s="507">
        <f t="shared" si="58"/>
        <v>348.08111111111111</v>
      </c>
      <c r="AH115" s="508">
        <f t="shared" si="59"/>
        <v>272308</v>
      </c>
      <c r="AI115" s="508">
        <f t="shared" si="60"/>
        <v>302.56444444444446</v>
      </c>
      <c r="AJ115" s="516">
        <v>5316</v>
      </c>
      <c r="AK115" s="519">
        <v>9095</v>
      </c>
      <c r="AL115" s="506">
        <f t="shared" si="61"/>
        <v>313273</v>
      </c>
      <c r="AM115" s="509">
        <f t="shared" si="62"/>
        <v>272308</v>
      </c>
      <c r="AN115" s="518"/>
      <c r="AO115" s="520"/>
      <c r="AP115" s="516"/>
      <c r="AQ115" s="520"/>
      <c r="AR115" s="516"/>
      <c r="AS115" s="520"/>
      <c r="AT115" s="516"/>
      <c r="AU115" s="520"/>
      <c r="AV115" s="506">
        <f t="shared" si="63"/>
        <v>0</v>
      </c>
      <c r="AW115" s="511">
        <f t="shared" si="64"/>
        <v>0</v>
      </c>
      <c r="AX115" s="508">
        <f t="shared" si="65"/>
        <v>0</v>
      </c>
      <c r="AY115" s="512">
        <f t="shared" si="66"/>
        <v>0</v>
      </c>
      <c r="AZ115" s="513">
        <f t="shared" si="67"/>
        <v>2342.4144444444446</v>
      </c>
      <c r="BA115" s="508">
        <f t="shared" si="68"/>
        <v>2237.9977777777776</v>
      </c>
    </row>
    <row r="116" spans="1:53">
      <c r="A116" s="773" t="s">
        <v>803</v>
      </c>
      <c r="B116" s="783" t="s">
        <v>910</v>
      </c>
      <c r="C116" s="781" t="s">
        <v>917</v>
      </c>
      <c r="D116" s="784">
        <v>134343</v>
      </c>
      <c r="E116" s="776">
        <v>9</v>
      </c>
      <c r="F116" s="514" t="s">
        <v>41</v>
      </c>
      <c r="G116" s="515" t="s">
        <v>41</v>
      </c>
      <c r="H116" s="516"/>
      <c r="I116" s="519"/>
      <c r="J116" s="516">
        <v>57781</v>
      </c>
      <c r="K116" s="519">
        <v>57995</v>
      </c>
      <c r="L116" s="516">
        <v>18136</v>
      </c>
      <c r="M116" s="519">
        <v>17122</v>
      </c>
      <c r="N116" s="516">
        <v>62384</v>
      </c>
      <c r="O116" s="519">
        <v>57451</v>
      </c>
      <c r="P116" s="506">
        <f t="shared" si="51"/>
        <v>138301</v>
      </c>
      <c r="Q116" s="507">
        <f t="shared" si="52"/>
        <v>4610.0333333333338</v>
      </c>
      <c r="R116" s="508">
        <f t="shared" si="53"/>
        <v>132568</v>
      </c>
      <c r="S116" s="509">
        <f t="shared" si="54"/>
        <v>4418.9333333333334</v>
      </c>
      <c r="T116" s="516">
        <v>15203</v>
      </c>
      <c r="U116" s="519">
        <v>14090</v>
      </c>
      <c r="V116" s="506">
        <f t="shared" si="55"/>
        <v>138301</v>
      </c>
      <c r="W116" s="510">
        <f t="shared" si="56"/>
        <v>132568</v>
      </c>
      <c r="X116" s="517"/>
      <c r="Y116" s="519"/>
      <c r="Z116" s="516">
        <v>111116</v>
      </c>
      <c r="AA116" s="519">
        <v>75812</v>
      </c>
      <c r="AB116" s="516">
        <v>66384</v>
      </c>
      <c r="AC116" s="519">
        <v>47721</v>
      </c>
      <c r="AD116" s="516">
        <v>74222</v>
      </c>
      <c r="AE116" s="519">
        <v>58552</v>
      </c>
      <c r="AF116" s="506">
        <f t="shared" si="57"/>
        <v>251722</v>
      </c>
      <c r="AG116" s="507">
        <f t="shared" si="58"/>
        <v>279.69111111111113</v>
      </c>
      <c r="AH116" s="508">
        <f t="shared" si="59"/>
        <v>182085</v>
      </c>
      <c r="AI116" s="508">
        <f t="shared" si="60"/>
        <v>202.31666666666666</v>
      </c>
      <c r="AJ116" s="516">
        <v>0</v>
      </c>
      <c r="AK116" s="519">
        <v>0</v>
      </c>
      <c r="AL116" s="506">
        <f t="shared" si="61"/>
        <v>251722</v>
      </c>
      <c r="AM116" s="509">
        <f t="shared" si="62"/>
        <v>182085</v>
      </c>
      <c r="AN116" s="518"/>
      <c r="AO116" s="520"/>
      <c r="AP116" s="516"/>
      <c r="AQ116" s="520"/>
      <c r="AR116" s="516"/>
      <c r="AS116" s="520"/>
      <c r="AT116" s="516"/>
      <c r="AU116" s="520"/>
      <c r="AV116" s="506">
        <f t="shared" si="63"/>
        <v>0</v>
      </c>
      <c r="AW116" s="511">
        <f t="shared" si="64"/>
        <v>0</v>
      </c>
      <c r="AX116" s="508">
        <f t="shared" si="65"/>
        <v>0</v>
      </c>
      <c r="AY116" s="512">
        <f t="shared" si="66"/>
        <v>0</v>
      </c>
      <c r="AZ116" s="513">
        <f t="shared" si="67"/>
        <v>4889.724444444445</v>
      </c>
      <c r="BA116" s="508">
        <f t="shared" si="68"/>
        <v>4621.25</v>
      </c>
    </row>
    <row r="117" spans="1:53">
      <c r="A117" s="773" t="s">
        <v>803</v>
      </c>
      <c r="B117" s="774" t="s">
        <v>911</v>
      </c>
      <c r="C117" s="775"/>
      <c r="D117" s="784">
        <v>135188</v>
      </c>
      <c r="E117" s="776">
        <v>9</v>
      </c>
      <c r="F117" s="514" t="s">
        <v>41</v>
      </c>
      <c r="G117" s="515" t="s">
        <v>41</v>
      </c>
      <c r="H117" s="516"/>
      <c r="I117" s="519"/>
      <c r="J117" s="516">
        <v>40603</v>
      </c>
      <c r="K117" s="519">
        <v>40492</v>
      </c>
      <c r="L117" s="516">
        <v>13943</v>
      </c>
      <c r="M117" s="519">
        <v>12836</v>
      </c>
      <c r="N117" s="516">
        <v>42677</v>
      </c>
      <c r="O117" s="519">
        <v>39424</v>
      </c>
      <c r="P117" s="506">
        <f t="shared" si="51"/>
        <v>97223</v>
      </c>
      <c r="Q117" s="507">
        <f t="shared" si="52"/>
        <v>3240.7666666666669</v>
      </c>
      <c r="R117" s="508">
        <f t="shared" si="53"/>
        <v>92752</v>
      </c>
      <c r="S117" s="509">
        <f t="shared" si="54"/>
        <v>3091.7333333333331</v>
      </c>
      <c r="T117" s="516">
        <v>13580</v>
      </c>
      <c r="U117" s="519">
        <v>13282</v>
      </c>
      <c r="V117" s="506">
        <f t="shared" si="55"/>
        <v>97223</v>
      </c>
      <c r="W117" s="510">
        <f t="shared" si="56"/>
        <v>92752</v>
      </c>
      <c r="X117" s="517"/>
      <c r="Y117" s="519"/>
      <c r="Z117" s="516">
        <v>979</v>
      </c>
      <c r="AA117" s="519">
        <v>798</v>
      </c>
      <c r="AB117" s="516">
        <v>207</v>
      </c>
      <c r="AC117" s="519">
        <v>105</v>
      </c>
      <c r="AD117" s="516">
        <v>654</v>
      </c>
      <c r="AE117" s="519">
        <v>1031</v>
      </c>
      <c r="AF117" s="506">
        <f t="shared" si="57"/>
        <v>1840</v>
      </c>
      <c r="AG117" s="507">
        <f t="shared" si="58"/>
        <v>2.0444444444444443</v>
      </c>
      <c r="AH117" s="508">
        <f t="shared" si="59"/>
        <v>1934</v>
      </c>
      <c r="AI117" s="508">
        <f t="shared" si="60"/>
        <v>2.1488888888888891</v>
      </c>
      <c r="AJ117" s="516">
        <v>0</v>
      </c>
      <c r="AK117" s="519">
        <v>0</v>
      </c>
      <c r="AL117" s="506">
        <f t="shared" si="61"/>
        <v>1840</v>
      </c>
      <c r="AM117" s="509">
        <f t="shared" si="62"/>
        <v>1934</v>
      </c>
      <c r="AN117" s="518"/>
      <c r="AO117" s="520"/>
      <c r="AP117" s="516"/>
      <c r="AQ117" s="520"/>
      <c r="AR117" s="516"/>
      <c r="AS117" s="520"/>
      <c r="AT117" s="516"/>
      <c r="AU117" s="520"/>
      <c r="AV117" s="506">
        <f t="shared" si="63"/>
        <v>0</v>
      </c>
      <c r="AW117" s="511">
        <f t="shared" si="64"/>
        <v>0</v>
      </c>
      <c r="AX117" s="508">
        <f t="shared" si="65"/>
        <v>0</v>
      </c>
      <c r="AY117" s="512">
        <f t="shared" si="66"/>
        <v>0</v>
      </c>
      <c r="AZ117" s="513">
        <f t="shared" si="67"/>
        <v>3242.8111111111111</v>
      </c>
      <c r="BA117" s="508">
        <f t="shared" si="68"/>
        <v>3093.882222222222</v>
      </c>
    </row>
    <row r="118" spans="1:53">
      <c r="A118" s="773" t="s">
        <v>803</v>
      </c>
      <c r="B118" s="774" t="s">
        <v>912</v>
      </c>
      <c r="C118" s="775"/>
      <c r="D118" s="784">
        <v>137315</v>
      </c>
      <c r="E118" s="776">
        <v>9</v>
      </c>
      <c r="F118" s="514" t="s">
        <v>41</v>
      </c>
      <c r="G118" s="515" t="s">
        <v>41</v>
      </c>
      <c r="H118" s="516"/>
      <c r="I118" s="519"/>
      <c r="J118" s="516">
        <v>20029</v>
      </c>
      <c r="K118" s="519">
        <v>19548</v>
      </c>
      <c r="L118" s="516">
        <v>6394</v>
      </c>
      <c r="M118" s="519">
        <v>5808</v>
      </c>
      <c r="N118" s="516">
        <v>20933</v>
      </c>
      <c r="O118" s="519">
        <v>21291</v>
      </c>
      <c r="P118" s="506">
        <f t="shared" si="51"/>
        <v>47356</v>
      </c>
      <c r="Q118" s="507">
        <f t="shared" si="52"/>
        <v>1578.5333333333333</v>
      </c>
      <c r="R118" s="508">
        <f t="shared" si="53"/>
        <v>46647</v>
      </c>
      <c r="S118" s="509">
        <f t="shared" si="54"/>
        <v>1554.9</v>
      </c>
      <c r="T118" s="516">
        <v>5311</v>
      </c>
      <c r="U118" s="519">
        <v>5711</v>
      </c>
      <c r="V118" s="506">
        <f t="shared" si="55"/>
        <v>47356</v>
      </c>
      <c r="W118" s="510">
        <f t="shared" si="56"/>
        <v>46647</v>
      </c>
      <c r="X118" s="517"/>
      <c r="Y118" s="519"/>
      <c r="Z118" s="516">
        <v>387106</v>
      </c>
      <c r="AA118" s="519">
        <v>284820</v>
      </c>
      <c r="AB118" s="516">
        <v>179605</v>
      </c>
      <c r="AC118" s="519">
        <v>131551</v>
      </c>
      <c r="AD118" s="516">
        <v>307704</v>
      </c>
      <c r="AE118" s="519">
        <v>290221</v>
      </c>
      <c r="AF118" s="506">
        <f t="shared" si="57"/>
        <v>874415</v>
      </c>
      <c r="AG118" s="507">
        <f t="shared" si="58"/>
        <v>971.57222222222219</v>
      </c>
      <c r="AH118" s="508">
        <f t="shared" si="59"/>
        <v>706592</v>
      </c>
      <c r="AI118" s="508">
        <f t="shared" si="60"/>
        <v>785.10222222222217</v>
      </c>
      <c r="AJ118" s="516">
        <v>90138</v>
      </c>
      <c r="AK118" s="519">
        <v>82194</v>
      </c>
      <c r="AL118" s="506">
        <f t="shared" si="61"/>
        <v>874415</v>
      </c>
      <c r="AM118" s="509">
        <f t="shared" si="62"/>
        <v>706592</v>
      </c>
      <c r="AN118" s="518"/>
      <c r="AO118" s="520"/>
      <c r="AP118" s="516"/>
      <c r="AQ118" s="520"/>
      <c r="AR118" s="516"/>
      <c r="AS118" s="520"/>
      <c r="AT118" s="516"/>
      <c r="AU118" s="520"/>
      <c r="AV118" s="506">
        <f t="shared" si="63"/>
        <v>0</v>
      </c>
      <c r="AW118" s="511">
        <f t="shared" si="64"/>
        <v>0</v>
      </c>
      <c r="AX118" s="508">
        <f t="shared" si="65"/>
        <v>0</v>
      </c>
      <c r="AY118" s="512">
        <f t="shared" si="66"/>
        <v>0</v>
      </c>
      <c r="AZ118" s="513">
        <f t="shared" si="67"/>
        <v>2550.1055555555554</v>
      </c>
      <c r="BA118" s="508">
        <f t="shared" si="68"/>
        <v>2340.0022222222224</v>
      </c>
    </row>
    <row r="119" spans="1:53">
      <c r="A119" s="773" t="s">
        <v>803</v>
      </c>
      <c r="B119" s="777" t="s">
        <v>913</v>
      </c>
      <c r="C119" s="778" t="s">
        <v>916</v>
      </c>
      <c r="D119" s="784">
        <v>137281</v>
      </c>
      <c r="E119" s="776">
        <v>9</v>
      </c>
      <c r="F119" s="514" t="s">
        <v>41</v>
      </c>
      <c r="G119" s="515" t="s">
        <v>41</v>
      </c>
      <c r="H119" s="516"/>
      <c r="I119" s="519"/>
      <c r="J119" s="516">
        <v>55862</v>
      </c>
      <c r="K119" s="519">
        <v>56675</v>
      </c>
      <c r="L119" s="516">
        <v>28011</v>
      </c>
      <c r="M119" s="519">
        <v>23696</v>
      </c>
      <c r="N119" s="516">
        <v>59157</v>
      </c>
      <c r="O119" s="519">
        <v>57468</v>
      </c>
      <c r="P119" s="506">
        <f t="shared" si="51"/>
        <v>143030</v>
      </c>
      <c r="Q119" s="507">
        <f t="shared" si="52"/>
        <v>4767.666666666667</v>
      </c>
      <c r="R119" s="508">
        <f t="shared" si="53"/>
        <v>137839</v>
      </c>
      <c r="S119" s="509">
        <f t="shared" si="54"/>
        <v>4594.6333333333332</v>
      </c>
      <c r="T119" s="516">
        <v>14774</v>
      </c>
      <c r="U119" s="519">
        <v>14555</v>
      </c>
      <c r="V119" s="506">
        <f t="shared" si="55"/>
        <v>143030</v>
      </c>
      <c r="W119" s="510">
        <f t="shared" si="56"/>
        <v>137839</v>
      </c>
      <c r="X119" s="517"/>
      <c r="Y119" s="519"/>
      <c r="Z119" s="516">
        <v>117431</v>
      </c>
      <c r="AA119" s="519">
        <v>104943</v>
      </c>
      <c r="AB119" s="516">
        <v>65403</v>
      </c>
      <c r="AC119" s="519">
        <v>55933</v>
      </c>
      <c r="AD119" s="516">
        <v>110790</v>
      </c>
      <c r="AE119" s="519">
        <v>125073</v>
      </c>
      <c r="AF119" s="506">
        <f t="shared" si="57"/>
        <v>293624</v>
      </c>
      <c r="AG119" s="507">
        <f t="shared" si="58"/>
        <v>326.24888888888887</v>
      </c>
      <c r="AH119" s="508">
        <f t="shared" si="59"/>
        <v>285949</v>
      </c>
      <c r="AI119" s="508">
        <f t="shared" si="60"/>
        <v>317.7211111111111</v>
      </c>
      <c r="AJ119" s="516">
        <v>0</v>
      </c>
      <c r="AK119" s="519">
        <v>0</v>
      </c>
      <c r="AL119" s="506">
        <f t="shared" si="61"/>
        <v>293624</v>
      </c>
      <c r="AM119" s="509">
        <f t="shared" si="62"/>
        <v>285949</v>
      </c>
      <c r="AN119" s="518"/>
      <c r="AO119" s="520"/>
      <c r="AP119" s="516"/>
      <c r="AQ119" s="520"/>
      <c r="AR119" s="516"/>
      <c r="AS119" s="520"/>
      <c r="AT119" s="516"/>
      <c r="AU119" s="520"/>
      <c r="AV119" s="506">
        <f t="shared" si="63"/>
        <v>0</v>
      </c>
      <c r="AW119" s="511">
        <f t="shared" si="64"/>
        <v>0</v>
      </c>
      <c r="AX119" s="508">
        <f t="shared" si="65"/>
        <v>0</v>
      </c>
      <c r="AY119" s="512">
        <f t="shared" si="66"/>
        <v>0</v>
      </c>
      <c r="AZ119" s="513">
        <f t="shared" si="67"/>
        <v>5093.9155555555562</v>
      </c>
      <c r="BA119" s="508">
        <f t="shared" si="68"/>
        <v>4912.3544444444442</v>
      </c>
    </row>
    <row r="120" spans="1:53">
      <c r="A120" s="773" t="s">
        <v>803</v>
      </c>
      <c r="B120" s="774" t="s">
        <v>914</v>
      </c>
      <c r="C120" s="775"/>
      <c r="D120" s="784">
        <v>133960</v>
      </c>
      <c r="E120" s="776">
        <v>10</v>
      </c>
      <c r="F120" s="514" t="s">
        <v>41</v>
      </c>
      <c r="G120" s="515" t="s">
        <v>41</v>
      </c>
      <c r="H120" s="516"/>
      <c r="I120" s="519"/>
      <c r="J120" s="516">
        <v>11322</v>
      </c>
      <c r="K120" s="519">
        <v>10149</v>
      </c>
      <c r="L120" s="516">
        <v>4743</v>
      </c>
      <c r="M120" s="519">
        <v>4030</v>
      </c>
      <c r="N120" s="516">
        <v>11470</v>
      </c>
      <c r="O120" s="519">
        <v>10605</v>
      </c>
      <c r="P120" s="506">
        <f t="shared" si="51"/>
        <v>27535</v>
      </c>
      <c r="Q120" s="507">
        <f t="shared" si="52"/>
        <v>917.83333333333337</v>
      </c>
      <c r="R120" s="508">
        <f t="shared" si="53"/>
        <v>24784</v>
      </c>
      <c r="S120" s="509">
        <f t="shared" si="54"/>
        <v>826.13333333333333</v>
      </c>
      <c r="T120" s="516">
        <v>1914</v>
      </c>
      <c r="U120" s="519">
        <v>1927</v>
      </c>
      <c r="V120" s="506">
        <f t="shared" si="55"/>
        <v>27535</v>
      </c>
      <c r="W120" s="510">
        <f t="shared" si="56"/>
        <v>24784</v>
      </c>
      <c r="X120" s="517"/>
      <c r="Y120" s="519"/>
      <c r="Z120" s="516">
        <v>6750</v>
      </c>
      <c r="AA120" s="519">
        <v>12920</v>
      </c>
      <c r="AB120" s="516">
        <v>8057</v>
      </c>
      <c r="AC120" s="519">
        <v>6386</v>
      </c>
      <c r="AD120" s="516">
        <v>7251</v>
      </c>
      <c r="AE120" s="519">
        <v>12789</v>
      </c>
      <c r="AF120" s="506">
        <f t="shared" si="57"/>
        <v>22058</v>
      </c>
      <c r="AG120" s="507">
        <f t="shared" si="58"/>
        <v>24.50888888888889</v>
      </c>
      <c r="AH120" s="508">
        <f t="shared" si="59"/>
        <v>32095</v>
      </c>
      <c r="AI120" s="508">
        <f t="shared" si="60"/>
        <v>35.661111111111111</v>
      </c>
      <c r="AJ120" s="516">
        <v>0</v>
      </c>
      <c r="AK120" s="519">
        <v>0</v>
      </c>
      <c r="AL120" s="506">
        <f t="shared" si="61"/>
        <v>22058</v>
      </c>
      <c r="AM120" s="509">
        <f t="shared" si="62"/>
        <v>32095</v>
      </c>
      <c r="AN120" s="518"/>
      <c r="AO120" s="520"/>
      <c r="AP120" s="516"/>
      <c r="AQ120" s="520"/>
      <c r="AR120" s="516"/>
      <c r="AS120" s="520"/>
      <c r="AT120" s="516"/>
      <c r="AU120" s="520"/>
      <c r="AV120" s="506">
        <f t="shared" si="63"/>
        <v>0</v>
      </c>
      <c r="AW120" s="511">
        <f t="shared" si="64"/>
        <v>0</v>
      </c>
      <c r="AX120" s="508">
        <f t="shared" si="65"/>
        <v>0</v>
      </c>
      <c r="AY120" s="512">
        <f t="shared" si="66"/>
        <v>0</v>
      </c>
      <c r="AZ120" s="513">
        <f t="shared" si="67"/>
        <v>942.34222222222229</v>
      </c>
      <c r="BA120" s="508">
        <f t="shared" si="68"/>
        <v>861.79444444444448</v>
      </c>
    </row>
    <row r="121" spans="1:53">
      <c r="A121" s="773" t="s">
        <v>803</v>
      </c>
      <c r="B121" s="774" t="s">
        <v>915</v>
      </c>
      <c r="C121" s="775"/>
      <c r="D121" s="784">
        <v>136145</v>
      </c>
      <c r="E121" s="776">
        <v>10</v>
      </c>
      <c r="F121" s="514" t="s">
        <v>41</v>
      </c>
      <c r="G121" s="515" t="s">
        <v>41</v>
      </c>
      <c r="H121" s="516"/>
      <c r="I121" s="519"/>
      <c r="J121" s="516">
        <v>10776</v>
      </c>
      <c r="K121" s="519">
        <v>10272</v>
      </c>
      <c r="L121" s="516">
        <v>3901</v>
      </c>
      <c r="M121" s="519">
        <v>3504</v>
      </c>
      <c r="N121" s="516">
        <v>11642</v>
      </c>
      <c r="O121" s="519">
        <v>10710</v>
      </c>
      <c r="P121" s="506">
        <f t="shared" si="51"/>
        <v>26319</v>
      </c>
      <c r="Q121" s="507">
        <f t="shared" si="52"/>
        <v>877.3</v>
      </c>
      <c r="R121" s="508">
        <f t="shared" si="53"/>
        <v>24486</v>
      </c>
      <c r="S121" s="509">
        <f t="shared" si="54"/>
        <v>816.2</v>
      </c>
      <c r="T121" s="516">
        <v>3712</v>
      </c>
      <c r="U121" s="519">
        <v>3467</v>
      </c>
      <c r="V121" s="506">
        <f t="shared" si="55"/>
        <v>26319</v>
      </c>
      <c r="W121" s="510">
        <f t="shared" si="56"/>
        <v>24486</v>
      </c>
      <c r="X121" s="517"/>
      <c r="Y121" s="519"/>
      <c r="Z121" s="516">
        <v>58213</v>
      </c>
      <c r="AA121" s="519">
        <v>36952</v>
      </c>
      <c r="AB121" s="516">
        <v>21125</v>
      </c>
      <c r="AC121" s="519">
        <v>6448</v>
      </c>
      <c r="AD121" s="516">
        <v>36927</v>
      </c>
      <c r="AE121" s="519">
        <v>46441</v>
      </c>
      <c r="AF121" s="506">
        <f t="shared" si="57"/>
        <v>116265</v>
      </c>
      <c r="AG121" s="507">
        <f t="shared" si="58"/>
        <v>129.18333333333334</v>
      </c>
      <c r="AH121" s="508">
        <f t="shared" si="59"/>
        <v>89841</v>
      </c>
      <c r="AI121" s="508">
        <f t="shared" si="60"/>
        <v>99.823333333333338</v>
      </c>
      <c r="AJ121" s="516">
        <v>590</v>
      </c>
      <c r="AK121" s="519">
        <v>0</v>
      </c>
      <c r="AL121" s="506">
        <f t="shared" si="61"/>
        <v>116265</v>
      </c>
      <c r="AM121" s="509">
        <f t="shared" si="62"/>
        <v>89841</v>
      </c>
      <c r="AN121" s="518"/>
      <c r="AO121" s="520"/>
      <c r="AP121" s="516"/>
      <c r="AQ121" s="520"/>
      <c r="AR121" s="516"/>
      <c r="AS121" s="520"/>
      <c r="AT121" s="516"/>
      <c r="AU121" s="520"/>
      <c r="AV121" s="506">
        <f t="shared" si="63"/>
        <v>0</v>
      </c>
      <c r="AW121" s="511">
        <f t="shared" si="64"/>
        <v>0</v>
      </c>
      <c r="AX121" s="508">
        <f t="shared" si="65"/>
        <v>0</v>
      </c>
      <c r="AY121" s="512">
        <f t="shared" si="66"/>
        <v>0</v>
      </c>
      <c r="AZ121" s="513">
        <f t="shared" si="67"/>
        <v>1006.4833333333333</v>
      </c>
      <c r="BA121" s="508">
        <f t="shared" si="68"/>
        <v>916.02333333333343</v>
      </c>
    </row>
    <row r="122" spans="1:53">
      <c r="A122" s="578" t="s">
        <v>142</v>
      </c>
      <c r="B122" s="579" t="s">
        <v>381</v>
      </c>
      <c r="C122" s="593"/>
      <c r="D122" s="578">
        <v>139940</v>
      </c>
      <c r="E122" s="585">
        <v>1</v>
      </c>
      <c r="F122" s="514" t="s">
        <v>41</v>
      </c>
      <c r="G122" s="515" t="s">
        <v>41</v>
      </c>
      <c r="H122" s="516"/>
      <c r="I122" s="519"/>
      <c r="J122" s="516">
        <v>275402</v>
      </c>
      <c r="K122" s="519">
        <f>149696.5+131100.5</f>
        <v>280797</v>
      </c>
      <c r="L122" s="516">
        <v>78791</v>
      </c>
      <c r="M122" s="519">
        <f>31600+38022</f>
        <v>69622</v>
      </c>
      <c r="N122" s="516">
        <v>294405</v>
      </c>
      <c r="O122" s="519">
        <f>173535+128549.5</f>
        <v>302084.5</v>
      </c>
      <c r="P122" s="506">
        <f t="shared" si="51"/>
        <v>648598</v>
      </c>
      <c r="Q122" s="507">
        <f t="shared" si="52"/>
        <v>21619.933333333334</v>
      </c>
      <c r="R122" s="508">
        <f t="shared" si="53"/>
        <v>652503.5</v>
      </c>
      <c r="S122" s="509">
        <f t="shared" si="54"/>
        <v>21750.116666666665</v>
      </c>
      <c r="T122" s="516">
        <v>1532.5</v>
      </c>
      <c r="U122" s="580">
        <v>2134</v>
      </c>
      <c r="V122" s="506">
        <f t="shared" si="55"/>
        <v>648598</v>
      </c>
      <c r="W122" s="510">
        <f t="shared" si="56"/>
        <v>652503.5</v>
      </c>
      <c r="X122" s="517"/>
      <c r="Y122" s="519"/>
      <c r="Z122" s="516"/>
      <c r="AA122" s="519"/>
      <c r="AB122" s="516"/>
      <c r="AC122" s="519"/>
      <c r="AD122" s="516"/>
      <c r="AE122" s="519"/>
      <c r="AF122" s="506">
        <f t="shared" si="57"/>
        <v>0</v>
      </c>
      <c r="AG122" s="507">
        <f t="shared" si="58"/>
        <v>0</v>
      </c>
      <c r="AH122" s="508">
        <f t="shared" si="59"/>
        <v>0</v>
      </c>
      <c r="AI122" s="508">
        <f t="shared" si="60"/>
        <v>0</v>
      </c>
      <c r="AJ122" s="516"/>
      <c r="AK122" s="519"/>
      <c r="AL122" s="506">
        <f t="shared" si="61"/>
        <v>0</v>
      </c>
      <c r="AM122" s="509">
        <f t="shared" si="62"/>
        <v>0</v>
      </c>
      <c r="AN122" s="518"/>
      <c r="AO122" s="520"/>
      <c r="AP122" s="516">
        <v>87459.5</v>
      </c>
      <c r="AQ122" s="520">
        <v>87306</v>
      </c>
      <c r="AR122" s="516">
        <v>49381</v>
      </c>
      <c r="AS122" s="520">
        <v>49229.5</v>
      </c>
      <c r="AT122" s="516">
        <v>90191</v>
      </c>
      <c r="AU122" s="520">
        <v>88354</v>
      </c>
      <c r="AV122" s="506">
        <f t="shared" si="63"/>
        <v>227031.5</v>
      </c>
      <c r="AW122" s="511">
        <f t="shared" si="64"/>
        <v>9459.6458333333339</v>
      </c>
      <c r="AX122" s="508">
        <f t="shared" si="65"/>
        <v>224889.5</v>
      </c>
      <c r="AY122" s="512">
        <f t="shared" si="66"/>
        <v>9370.3958333333339</v>
      </c>
      <c r="AZ122" s="513">
        <f t="shared" si="67"/>
        <v>31079.57916666667</v>
      </c>
      <c r="BA122" s="508">
        <f t="shared" si="68"/>
        <v>31120.512499999997</v>
      </c>
    </row>
    <row r="123" spans="1:53">
      <c r="A123" s="578" t="s">
        <v>142</v>
      </c>
      <c r="B123" s="579" t="s">
        <v>382</v>
      </c>
      <c r="C123" s="593"/>
      <c r="D123" s="578">
        <v>139959</v>
      </c>
      <c r="E123" s="585">
        <v>1</v>
      </c>
      <c r="F123" s="514" t="s">
        <v>41</v>
      </c>
      <c r="G123" s="515" t="s">
        <v>41</v>
      </c>
      <c r="H123" s="516"/>
      <c r="I123" s="519"/>
      <c r="J123" s="516">
        <v>334519</v>
      </c>
      <c r="K123" s="519">
        <f>178554+163379.4</f>
        <v>341933.4</v>
      </c>
      <c r="L123" s="516">
        <v>56768.5</v>
      </c>
      <c r="M123" s="519">
        <f>21768+30369</f>
        <v>52137</v>
      </c>
      <c r="N123" s="516">
        <v>359771.6</v>
      </c>
      <c r="O123" s="519">
        <f>203172+154832.5</f>
        <v>358004.5</v>
      </c>
      <c r="P123" s="506">
        <f t="shared" ref="P123:P162" si="69">SUM(H123,J123,L123,N123)</f>
        <v>751059.1</v>
      </c>
      <c r="Q123" s="507">
        <f t="shared" ref="Q123:Q130" si="70">+P123/30</f>
        <v>25035.303333333333</v>
      </c>
      <c r="R123" s="508">
        <f t="shared" ref="R123:R162" si="71">SUM(I123,K123,M123,O123)</f>
        <v>752074.9</v>
      </c>
      <c r="S123" s="509">
        <f t="shared" ref="S123:S130" si="72">+R123/30</f>
        <v>25069.163333333334</v>
      </c>
      <c r="T123" s="516">
        <v>245</v>
      </c>
      <c r="U123" s="580">
        <v>303</v>
      </c>
      <c r="V123" s="506">
        <f t="shared" si="55"/>
        <v>751059.1</v>
      </c>
      <c r="W123" s="510">
        <f t="shared" si="56"/>
        <v>752074.9</v>
      </c>
      <c r="X123" s="517"/>
      <c r="Y123" s="519"/>
      <c r="Z123" s="516"/>
      <c r="AA123" s="519"/>
      <c r="AB123" s="516"/>
      <c r="AC123" s="519"/>
      <c r="AD123" s="516"/>
      <c r="AE123" s="519"/>
      <c r="AF123" s="506">
        <f t="shared" ref="AF123:AF162" si="73">SUM(X123,Z123,AB123,AD123)</f>
        <v>0</v>
      </c>
      <c r="AG123" s="507">
        <f t="shared" ref="AG123:AG162" si="74">+AF123/900</f>
        <v>0</v>
      </c>
      <c r="AH123" s="508">
        <f t="shared" ref="AH123:AH162" si="75">SUM(Y123,AA123,AC123,AE123)</f>
        <v>0</v>
      </c>
      <c r="AI123" s="508">
        <f t="shared" ref="AI123:AI162" si="76">+AH123/900</f>
        <v>0</v>
      </c>
      <c r="AJ123" s="516"/>
      <c r="AK123" s="519"/>
      <c r="AL123" s="506">
        <f t="shared" si="61"/>
        <v>0</v>
      </c>
      <c r="AM123" s="509">
        <f t="shared" si="62"/>
        <v>0</v>
      </c>
      <c r="AN123" s="518"/>
      <c r="AO123" s="520"/>
      <c r="AP123" s="516">
        <v>99386.2</v>
      </c>
      <c r="AQ123" s="520">
        <v>100842.9</v>
      </c>
      <c r="AR123" s="516">
        <v>39236</v>
      </c>
      <c r="AS123" s="520">
        <v>39846.6</v>
      </c>
      <c r="AT123" s="516">
        <v>104179.8</v>
      </c>
      <c r="AU123" s="520">
        <v>103033</v>
      </c>
      <c r="AV123" s="506">
        <f t="shared" si="63"/>
        <v>242802</v>
      </c>
      <c r="AW123" s="511">
        <f t="shared" si="64"/>
        <v>10116.75</v>
      </c>
      <c r="AX123" s="508">
        <f t="shared" si="65"/>
        <v>243722.5</v>
      </c>
      <c r="AY123" s="512">
        <f t="shared" si="66"/>
        <v>10155.104166666666</v>
      </c>
      <c r="AZ123" s="513">
        <f t="shared" si="67"/>
        <v>35152.05333333333</v>
      </c>
      <c r="BA123" s="508">
        <f t="shared" si="68"/>
        <v>35224.267500000002</v>
      </c>
    </row>
    <row r="124" spans="1:53">
      <c r="A124" s="578" t="s">
        <v>142</v>
      </c>
      <c r="B124" s="579" t="s">
        <v>383</v>
      </c>
      <c r="C124" s="593"/>
      <c r="D124" s="578">
        <v>139755</v>
      </c>
      <c r="E124" s="585">
        <v>2</v>
      </c>
      <c r="F124" s="514" t="s">
        <v>41</v>
      </c>
      <c r="G124" s="515" t="s">
        <v>41</v>
      </c>
      <c r="H124" s="516"/>
      <c r="I124" s="519"/>
      <c r="J124" s="516">
        <v>174934</v>
      </c>
      <c r="K124" s="519">
        <f>97004+82758.5</f>
        <v>179762.5</v>
      </c>
      <c r="L124" s="516">
        <v>45475</v>
      </c>
      <c r="M124" s="519">
        <f>22134+21447</f>
        <v>43581</v>
      </c>
      <c r="N124" s="516">
        <v>192016</v>
      </c>
      <c r="O124" s="519">
        <f>116035+84549.5</f>
        <v>200584.5</v>
      </c>
      <c r="P124" s="506">
        <f t="shared" si="69"/>
        <v>412425</v>
      </c>
      <c r="Q124" s="507">
        <f t="shared" si="70"/>
        <v>13747.5</v>
      </c>
      <c r="R124" s="508">
        <f t="shared" si="71"/>
        <v>423928</v>
      </c>
      <c r="S124" s="509">
        <f t="shared" si="72"/>
        <v>14130.933333333332</v>
      </c>
      <c r="T124" s="516">
        <v>2210</v>
      </c>
      <c r="U124" s="580">
        <v>2490</v>
      </c>
      <c r="V124" s="506">
        <f t="shared" si="55"/>
        <v>412425</v>
      </c>
      <c r="W124" s="510">
        <f t="shared" si="56"/>
        <v>423928</v>
      </c>
      <c r="X124" s="517"/>
      <c r="Y124" s="519"/>
      <c r="Z124" s="516"/>
      <c r="AA124" s="519"/>
      <c r="AB124" s="516"/>
      <c r="AC124" s="519"/>
      <c r="AD124" s="516"/>
      <c r="AE124" s="519"/>
      <c r="AF124" s="506">
        <f t="shared" si="73"/>
        <v>0</v>
      </c>
      <c r="AG124" s="507">
        <f t="shared" si="74"/>
        <v>0</v>
      </c>
      <c r="AH124" s="508">
        <f t="shared" si="75"/>
        <v>0</v>
      </c>
      <c r="AI124" s="508">
        <f t="shared" si="76"/>
        <v>0</v>
      </c>
      <c r="AJ124" s="516"/>
      <c r="AK124" s="519"/>
      <c r="AL124" s="506">
        <f t="shared" si="61"/>
        <v>0</v>
      </c>
      <c r="AM124" s="509">
        <f t="shared" si="62"/>
        <v>0</v>
      </c>
      <c r="AN124" s="518"/>
      <c r="AO124" s="519"/>
      <c r="AP124" s="516">
        <v>91420.5</v>
      </c>
      <c r="AQ124" s="520">
        <v>91404</v>
      </c>
      <c r="AR124" s="516">
        <v>44087.5</v>
      </c>
      <c r="AS124" s="520">
        <v>43489.5</v>
      </c>
      <c r="AT124" s="516">
        <v>99332</v>
      </c>
      <c r="AU124" s="520">
        <v>99242</v>
      </c>
      <c r="AV124" s="506">
        <f t="shared" si="63"/>
        <v>234840</v>
      </c>
      <c r="AW124" s="511">
        <f t="shared" si="64"/>
        <v>9785</v>
      </c>
      <c r="AX124" s="508">
        <f t="shared" si="65"/>
        <v>234135.5</v>
      </c>
      <c r="AY124" s="512">
        <f t="shared" si="66"/>
        <v>9755.6458333333339</v>
      </c>
      <c r="AZ124" s="513">
        <f t="shared" si="67"/>
        <v>23532.5</v>
      </c>
      <c r="BA124" s="508">
        <f t="shared" si="68"/>
        <v>23886.579166666666</v>
      </c>
    </row>
    <row r="125" spans="1:53">
      <c r="A125" s="578" t="s">
        <v>142</v>
      </c>
      <c r="B125" s="579" t="s">
        <v>384</v>
      </c>
      <c r="C125" s="593"/>
      <c r="D125" s="578">
        <v>139931</v>
      </c>
      <c r="E125" s="585">
        <v>3</v>
      </c>
      <c r="F125" s="514" t="s">
        <v>41</v>
      </c>
      <c r="G125" s="515" t="s">
        <v>41</v>
      </c>
      <c r="H125" s="516"/>
      <c r="I125" s="519"/>
      <c r="J125" s="516">
        <v>211194.5</v>
      </c>
      <c r="K125" s="519">
        <f>141698+78005</f>
        <v>219703</v>
      </c>
      <c r="L125" s="516">
        <v>61666</v>
      </c>
      <c r="M125" s="519">
        <f>32572+24008</f>
        <v>56580</v>
      </c>
      <c r="N125" s="516">
        <v>233397</v>
      </c>
      <c r="O125" s="519">
        <f>161814+76144</f>
        <v>237958</v>
      </c>
      <c r="P125" s="506">
        <f t="shared" si="69"/>
        <v>506257.5</v>
      </c>
      <c r="Q125" s="507">
        <f t="shared" si="70"/>
        <v>16875.25</v>
      </c>
      <c r="R125" s="508">
        <f t="shared" si="71"/>
        <v>514241</v>
      </c>
      <c r="S125" s="509">
        <f t="shared" si="72"/>
        <v>17141.366666666665</v>
      </c>
      <c r="T125" s="516">
        <v>1921</v>
      </c>
      <c r="U125" s="580">
        <v>2137</v>
      </c>
      <c r="V125" s="506">
        <f t="shared" si="55"/>
        <v>506257.5</v>
      </c>
      <c r="W125" s="510">
        <f t="shared" si="56"/>
        <v>514241</v>
      </c>
      <c r="X125" s="517"/>
      <c r="Y125" s="519"/>
      <c r="Z125" s="516"/>
      <c r="AA125" s="519"/>
      <c r="AB125" s="516"/>
      <c r="AC125" s="519"/>
      <c r="AD125" s="516"/>
      <c r="AE125" s="519"/>
      <c r="AF125" s="506">
        <f t="shared" si="73"/>
        <v>0</v>
      </c>
      <c r="AG125" s="507">
        <f t="shared" si="74"/>
        <v>0</v>
      </c>
      <c r="AH125" s="508">
        <f t="shared" si="75"/>
        <v>0</v>
      </c>
      <c r="AI125" s="508">
        <f t="shared" si="76"/>
        <v>0</v>
      </c>
      <c r="AJ125" s="516"/>
      <c r="AK125" s="519"/>
      <c r="AL125" s="506">
        <f t="shared" ref="AL125:AL162" si="77">IF(ISBLANK(AJ125),0,AF125)</f>
        <v>0</v>
      </c>
      <c r="AM125" s="509">
        <f t="shared" ref="AM125:AM162" si="78">IF(ISBLANK(AK125),0,AH125)</f>
        <v>0</v>
      </c>
      <c r="AN125" s="518"/>
      <c r="AO125" s="519"/>
      <c r="AP125" s="516">
        <v>16343</v>
      </c>
      <c r="AQ125" s="520">
        <v>16368</v>
      </c>
      <c r="AR125" s="516">
        <v>11657</v>
      </c>
      <c r="AS125" s="520">
        <v>10451</v>
      </c>
      <c r="AT125" s="516">
        <v>17673</v>
      </c>
      <c r="AU125" s="520">
        <v>17053</v>
      </c>
      <c r="AV125" s="506">
        <f t="shared" ref="AV125:AV162" si="79">SUM(AN125,AP125,AR125,AT125)</f>
        <v>45673</v>
      </c>
      <c r="AW125" s="511">
        <f t="shared" ref="AW125:AW130" si="80">+AV125/24</f>
        <v>1903.0416666666667</v>
      </c>
      <c r="AX125" s="508">
        <f t="shared" ref="AX125:AX162" si="81">SUM(AO125,AQ125,AS125,AU125)</f>
        <v>43872</v>
      </c>
      <c r="AY125" s="512">
        <f t="shared" ref="AY125:AY130" si="82">+AX125/24</f>
        <v>1828</v>
      </c>
      <c r="AZ125" s="513">
        <f t="shared" ref="AZ125:AZ162" si="83">SUM(Q125,AG125,AW125)</f>
        <v>18778.291666666668</v>
      </c>
      <c r="BA125" s="508">
        <f t="shared" ref="BA125:BA162" si="84">SUM(S125,AI125,AY125)</f>
        <v>18969.366666666665</v>
      </c>
    </row>
    <row r="126" spans="1:53">
      <c r="A126" s="578" t="s">
        <v>142</v>
      </c>
      <c r="B126" s="579" t="s">
        <v>385</v>
      </c>
      <c r="C126" s="593"/>
      <c r="D126" s="578">
        <v>141334</v>
      </c>
      <c r="E126" s="585">
        <v>3</v>
      </c>
      <c r="F126" s="514" t="s">
        <v>41</v>
      </c>
      <c r="G126" s="515" t="s">
        <v>41</v>
      </c>
      <c r="H126" s="516"/>
      <c r="I126" s="519"/>
      <c r="J126" s="516">
        <v>116229</v>
      </c>
      <c r="K126" s="519">
        <f>73921+44893</f>
        <v>118814</v>
      </c>
      <c r="L126" s="516">
        <v>33909</v>
      </c>
      <c r="M126" s="519">
        <f>15011+13476</f>
        <v>28487</v>
      </c>
      <c r="N126" s="516">
        <v>128657</v>
      </c>
      <c r="O126" s="519">
        <f>83243+44297</f>
        <v>127540</v>
      </c>
      <c r="P126" s="506">
        <f t="shared" si="69"/>
        <v>278795</v>
      </c>
      <c r="Q126" s="507">
        <f t="shared" si="70"/>
        <v>9293.1666666666661</v>
      </c>
      <c r="R126" s="508">
        <f t="shared" si="71"/>
        <v>274841</v>
      </c>
      <c r="S126" s="509">
        <f t="shared" si="72"/>
        <v>9161.3666666666668</v>
      </c>
      <c r="T126" s="516">
        <v>2573</v>
      </c>
      <c r="U126" s="580">
        <v>2788</v>
      </c>
      <c r="V126" s="506">
        <f t="shared" si="55"/>
        <v>278795</v>
      </c>
      <c r="W126" s="510">
        <f t="shared" si="56"/>
        <v>274841</v>
      </c>
      <c r="X126" s="517"/>
      <c r="Y126" s="519"/>
      <c r="Z126" s="516"/>
      <c r="AA126" s="519"/>
      <c r="AB126" s="516"/>
      <c r="AC126" s="519"/>
      <c r="AD126" s="516"/>
      <c r="AE126" s="519"/>
      <c r="AF126" s="506">
        <f t="shared" si="73"/>
        <v>0</v>
      </c>
      <c r="AG126" s="507">
        <f t="shared" si="74"/>
        <v>0</v>
      </c>
      <c r="AH126" s="508">
        <f t="shared" si="75"/>
        <v>0</v>
      </c>
      <c r="AI126" s="508">
        <f t="shared" si="76"/>
        <v>0</v>
      </c>
      <c r="AJ126" s="516"/>
      <c r="AK126" s="519"/>
      <c r="AL126" s="506">
        <f t="shared" si="77"/>
        <v>0</v>
      </c>
      <c r="AM126" s="509">
        <f t="shared" si="78"/>
        <v>0</v>
      </c>
      <c r="AN126" s="518"/>
      <c r="AO126" s="519"/>
      <c r="AP126" s="516">
        <v>8800</v>
      </c>
      <c r="AQ126" s="520">
        <v>10298</v>
      </c>
      <c r="AR126" s="516">
        <v>6858</v>
      </c>
      <c r="AS126" s="520">
        <v>6802</v>
      </c>
      <c r="AT126" s="516">
        <v>9888</v>
      </c>
      <c r="AU126" s="520">
        <v>11689</v>
      </c>
      <c r="AV126" s="506">
        <f t="shared" si="79"/>
        <v>25546</v>
      </c>
      <c r="AW126" s="511">
        <f t="shared" si="80"/>
        <v>1064.4166666666667</v>
      </c>
      <c r="AX126" s="508">
        <f t="shared" si="81"/>
        <v>28789</v>
      </c>
      <c r="AY126" s="512">
        <f t="shared" si="82"/>
        <v>1199.5416666666667</v>
      </c>
      <c r="AZ126" s="513">
        <f t="shared" si="83"/>
        <v>10357.583333333332</v>
      </c>
      <c r="BA126" s="508">
        <f t="shared" si="84"/>
        <v>10360.908333333333</v>
      </c>
    </row>
    <row r="127" spans="1:53">
      <c r="A127" s="578" t="s">
        <v>142</v>
      </c>
      <c r="B127" s="579" t="s">
        <v>386</v>
      </c>
      <c r="C127" s="593"/>
      <c r="D127" s="578">
        <v>141264</v>
      </c>
      <c r="E127" s="585">
        <v>3</v>
      </c>
      <c r="F127" s="514" t="s">
        <v>41</v>
      </c>
      <c r="G127" s="515" t="s">
        <v>41</v>
      </c>
      <c r="H127" s="516"/>
      <c r="I127" s="519"/>
      <c r="J127" s="516">
        <v>132972</v>
      </c>
      <c r="K127" s="519">
        <f>82326+48527</f>
        <v>130853</v>
      </c>
      <c r="L127" s="516">
        <v>26870</v>
      </c>
      <c r="M127" s="519">
        <f>12417+10987</f>
        <v>23404</v>
      </c>
      <c r="N127" s="516">
        <v>139485</v>
      </c>
      <c r="O127" s="519">
        <f>86517+47203</f>
        <v>133720</v>
      </c>
      <c r="P127" s="506">
        <f t="shared" si="69"/>
        <v>299327</v>
      </c>
      <c r="Q127" s="507">
        <f t="shared" si="70"/>
        <v>9977.5666666666675</v>
      </c>
      <c r="R127" s="508">
        <f t="shared" si="71"/>
        <v>287977</v>
      </c>
      <c r="S127" s="509">
        <f t="shared" si="72"/>
        <v>9599.2333333333336</v>
      </c>
      <c r="T127" s="516">
        <v>269</v>
      </c>
      <c r="U127" s="580">
        <v>198</v>
      </c>
      <c r="V127" s="506">
        <f t="shared" ref="V127:V162" si="85">IF(ISBLANK(T127),0,P127)</f>
        <v>299327</v>
      </c>
      <c r="W127" s="510">
        <f t="shared" ref="W127:W162" si="86">IF(ISBLANK(U127),0,R127)</f>
        <v>287977</v>
      </c>
      <c r="X127" s="517"/>
      <c r="Y127" s="519"/>
      <c r="Z127" s="516"/>
      <c r="AA127" s="519"/>
      <c r="AB127" s="516"/>
      <c r="AC127" s="519"/>
      <c r="AD127" s="516"/>
      <c r="AE127" s="519"/>
      <c r="AF127" s="506">
        <f t="shared" si="73"/>
        <v>0</v>
      </c>
      <c r="AG127" s="507">
        <f t="shared" si="74"/>
        <v>0</v>
      </c>
      <c r="AH127" s="508">
        <f t="shared" si="75"/>
        <v>0</v>
      </c>
      <c r="AI127" s="508">
        <f t="shared" si="76"/>
        <v>0</v>
      </c>
      <c r="AJ127" s="516"/>
      <c r="AK127" s="519"/>
      <c r="AL127" s="506">
        <f t="shared" si="77"/>
        <v>0</v>
      </c>
      <c r="AM127" s="509">
        <f t="shared" si="78"/>
        <v>0</v>
      </c>
      <c r="AN127" s="518"/>
      <c r="AO127" s="519"/>
      <c r="AP127" s="516">
        <v>15081</v>
      </c>
      <c r="AQ127" s="520">
        <v>15987</v>
      </c>
      <c r="AR127" s="516">
        <v>12012</v>
      </c>
      <c r="AS127" s="520">
        <v>11555</v>
      </c>
      <c r="AT127" s="516">
        <v>15975</v>
      </c>
      <c r="AU127" s="520">
        <v>15614</v>
      </c>
      <c r="AV127" s="506">
        <f t="shared" si="79"/>
        <v>43068</v>
      </c>
      <c r="AW127" s="511">
        <f t="shared" si="80"/>
        <v>1794.5</v>
      </c>
      <c r="AX127" s="508">
        <f t="shared" si="81"/>
        <v>43156</v>
      </c>
      <c r="AY127" s="512">
        <f t="shared" si="82"/>
        <v>1798.1666666666667</v>
      </c>
      <c r="AZ127" s="513">
        <f t="shared" si="83"/>
        <v>11772.066666666668</v>
      </c>
      <c r="BA127" s="508">
        <f t="shared" si="84"/>
        <v>11397.4</v>
      </c>
    </row>
    <row r="128" spans="1:53">
      <c r="A128" s="578" t="s">
        <v>142</v>
      </c>
      <c r="B128" s="579" t="s">
        <v>387</v>
      </c>
      <c r="C128" s="593"/>
      <c r="D128" s="578">
        <v>138716</v>
      </c>
      <c r="E128" s="585">
        <v>4</v>
      </c>
      <c r="F128" s="514" t="s">
        <v>41</v>
      </c>
      <c r="G128" s="515" t="s">
        <v>41</v>
      </c>
      <c r="H128" s="516"/>
      <c r="I128" s="519"/>
      <c r="J128" s="516">
        <v>50803</v>
      </c>
      <c r="K128" s="519">
        <f>34163+15643</f>
        <v>49806</v>
      </c>
      <c r="L128" s="516">
        <v>19410</v>
      </c>
      <c r="M128" s="519">
        <f>4953+3355</f>
        <v>8308</v>
      </c>
      <c r="N128" s="516">
        <v>54183</v>
      </c>
      <c r="O128" s="519">
        <f>34095+14324</f>
        <v>48419</v>
      </c>
      <c r="P128" s="506">
        <f t="shared" si="69"/>
        <v>124396</v>
      </c>
      <c r="Q128" s="507">
        <f t="shared" si="70"/>
        <v>4146.5333333333338</v>
      </c>
      <c r="R128" s="508">
        <f t="shared" si="71"/>
        <v>106533</v>
      </c>
      <c r="S128" s="509">
        <f t="shared" si="72"/>
        <v>3551.1</v>
      </c>
      <c r="T128" s="516">
        <v>37</v>
      </c>
      <c r="U128" s="580">
        <v>168</v>
      </c>
      <c r="V128" s="506">
        <f t="shared" si="85"/>
        <v>124396</v>
      </c>
      <c r="W128" s="510">
        <f t="shared" si="86"/>
        <v>106533</v>
      </c>
      <c r="X128" s="517"/>
      <c r="Y128" s="519"/>
      <c r="Z128" s="516"/>
      <c r="AA128" s="519"/>
      <c r="AB128" s="516"/>
      <c r="AC128" s="519"/>
      <c r="AD128" s="516"/>
      <c r="AE128" s="519"/>
      <c r="AF128" s="506">
        <f t="shared" si="73"/>
        <v>0</v>
      </c>
      <c r="AG128" s="507">
        <f t="shared" si="74"/>
        <v>0</v>
      </c>
      <c r="AH128" s="508">
        <f t="shared" si="75"/>
        <v>0</v>
      </c>
      <c r="AI128" s="508">
        <f t="shared" si="76"/>
        <v>0</v>
      </c>
      <c r="AJ128" s="516"/>
      <c r="AK128" s="519"/>
      <c r="AL128" s="506">
        <f t="shared" si="77"/>
        <v>0</v>
      </c>
      <c r="AM128" s="509">
        <f t="shared" si="78"/>
        <v>0</v>
      </c>
      <c r="AN128" s="518"/>
      <c r="AO128" s="519"/>
      <c r="AP128" s="516">
        <v>3017</v>
      </c>
      <c r="AQ128" s="520">
        <v>3343</v>
      </c>
      <c r="AR128" s="516">
        <v>2224</v>
      </c>
      <c r="AS128" s="520">
        <v>1469</v>
      </c>
      <c r="AT128" s="516">
        <v>3327</v>
      </c>
      <c r="AU128" s="520">
        <v>3280</v>
      </c>
      <c r="AV128" s="506">
        <f t="shared" si="79"/>
        <v>8568</v>
      </c>
      <c r="AW128" s="511">
        <f t="shared" si="80"/>
        <v>357</v>
      </c>
      <c r="AX128" s="508">
        <f t="shared" si="81"/>
        <v>8092</v>
      </c>
      <c r="AY128" s="512">
        <f t="shared" si="82"/>
        <v>337.16666666666669</v>
      </c>
      <c r="AZ128" s="513">
        <f t="shared" si="83"/>
        <v>4503.5333333333338</v>
      </c>
      <c r="BA128" s="508">
        <f t="shared" si="84"/>
        <v>3888.2666666666664</v>
      </c>
    </row>
    <row r="129" spans="1:53">
      <c r="A129" s="578" t="s">
        <v>142</v>
      </c>
      <c r="B129" s="579" t="s">
        <v>388</v>
      </c>
      <c r="C129" s="593"/>
      <c r="D129" s="578">
        <v>138789</v>
      </c>
      <c r="E129" s="585">
        <v>4</v>
      </c>
      <c r="F129" s="514" t="s">
        <v>41</v>
      </c>
      <c r="G129" s="515" t="s">
        <v>41</v>
      </c>
      <c r="H129" s="516"/>
      <c r="I129" s="519"/>
      <c r="J129" s="516">
        <v>76494.399999999994</v>
      </c>
      <c r="K129" s="519">
        <f>51720+24227</f>
        <v>75947</v>
      </c>
      <c r="L129" s="516">
        <v>22230</v>
      </c>
      <c r="M129" s="519">
        <f>12909+6839</f>
        <v>19748</v>
      </c>
      <c r="N129" s="516">
        <v>79879</v>
      </c>
      <c r="O129" s="519">
        <f>55910+24501</f>
        <v>80411</v>
      </c>
      <c r="P129" s="506">
        <f t="shared" si="69"/>
        <v>178603.4</v>
      </c>
      <c r="Q129" s="507">
        <f t="shared" si="70"/>
        <v>5953.4466666666667</v>
      </c>
      <c r="R129" s="508">
        <f t="shared" si="71"/>
        <v>176106</v>
      </c>
      <c r="S129" s="509">
        <f t="shared" si="72"/>
        <v>5870.2</v>
      </c>
      <c r="T129" s="516">
        <v>745</v>
      </c>
      <c r="U129" s="580">
        <v>745</v>
      </c>
      <c r="V129" s="506">
        <f t="shared" si="85"/>
        <v>178603.4</v>
      </c>
      <c r="W129" s="510">
        <f t="shared" si="86"/>
        <v>176106</v>
      </c>
      <c r="X129" s="517"/>
      <c r="Y129" s="519"/>
      <c r="Z129" s="516"/>
      <c r="AA129" s="519"/>
      <c r="AB129" s="516"/>
      <c r="AC129" s="519"/>
      <c r="AD129" s="516"/>
      <c r="AE129" s="519"/>
      <c r="AF129" s="506">
        <f t="shared" si="73"/>
        <v>0</v>
      </c>
      <c r="AG129" s="507">
        <f t="shared" si="74"/>
        <v>0</v>
      </c>
      <c r="AH129" s="508">
        <f t="shared" si="75"/>
        <v>0</v>
      </c>
      <c r="AI129" s="508">
        <f t="shared" si="76"/>
        <v>0</v>
      </c>
      <c r="AJ129" s="516"/>
      <c r="AK129" s="519"/>
      <c r="AL129" s="506">
        <f t="shared" si="77"/>
        <v>0</v>
      </c>
      <c r="AM129" s="509">
        <f t="shared" si="78"/>
        <v>0</v>
      </c>
      <c r="AN129" s="518"/>
      <c r="AO129" s="519"/>
      <c r="AP129" s="516">
        <v>5032</v>
      </c>
      <c r="AQ129" s="520">
        <v>4748</v>
      </c>
      <c r="AR129" s="516">
        <v>3282</v>
      </c>
      <c r="AS129" s="520">
        <v>3403</v>
      </c>
      <c r="AT129" s="516">
        <v>4853</v>
      </c>
      <c r="AU129" s="520">
        <v>5208</v>
      </c>
      <c r="AV129" s="506">
        <f t="shared" si="79"/>
        <v>13167</v>
      </c>
      <c r="AW129" s="511">
        <f t="shared" si="80"/>
        <v>548.625</v>
      </c>
      <c r="AX129" s="508">
        <f t="shared" si="81"/>
        <v>13359</v>
      </c>
      <c r="AY129" s="512">
        <f t="shared" si="82"/>
        <v>556.625</v>
      </c>
      <c r="AZ129" s="513">
        <f t="shared" si="83"/>
        <v>6502.0716666666667</v>
      </c>
      <c r="BA129" s="508">
        <f t="shared" si="84"/>
        <v>6426.8249999999998</v>
      </c>
    </row>
    <row r="130" spans="1:53">
      <c r="A130" s="584" t="s">
        <v>142</v>
      </c>
      <c r="B130" s="581" t="s">
        <v>392</v>
      </c>
      <c r="C130" s="588" t="s">
        <v>415</v>
      </c>
      <c r="D130" s="578">
        <v>138983</v>
      </c>
      <c r="E130" s="586">
        <v>4</v>
      </c>
      <c r="F130" s="514" t="s">
        <v>41</v>
      </c>
      <c r="G130" s="515" t="s">
        <v>41</v>
      </c>
      <c r="H130" s="516"/>
      <c r="I130" s="519"/>
      <c r="J130" s="516">
        <v>65929</v>
      </c>
      <c r="K130" s="519">
        <f>42632+22376</f>
        <v>65008</v>
      </c>
      <c r="L130" s="516">
        <v>17265</v>
      </c>
      <c r="M130" s="519">
        <f>9975+4821</f>
        <v>14796</v>
      </c>
      <c r="N130" s="516">
        <v>68476</v>
      </c>
      <c r="O130" s="519">
        <f>45971+21357</f>
        <v>67328</v>
      </c>
      <c r="P130" s="506">
        <f t="shared" si="69"/>
        <v>151670</v>
      </c>
      <c r="Q130" s="507">
        <f t="shared" si="70"/>
        <v>5055.666666666667</v>
      </c>
      <c r="R130" s="508">
        <f t="shared" si="71"/>
        <v>147132</v>
      </c>
      <c r="S130" s="509">
        <f t="shared" si="72"/>
        <v>4904.3999999999996</v>
      </c>
      <c r="T130" s="516">
        <v>844</v>
      </c>
      <c r="U130" s="580">
        <v>946</v>
      </c>
      <c r="V130" s="506">
        <f t="shared" si="85"/>
        <v>151670</v>
      </c>
      <c r="W130" s="510">
        <f t="shared" si="86"/>
        <v>147132</v>
      </c>
      <c r="X130" s="517"/>
      <c r="Y130" s="519"/>
      <c r="Z130" s="516"/>
      <c r="AA130" s="519"/>
      <c r="AB130" s="516"/>
      <c r="AC130" s="519"/>
      <c r="AD130" s="516"/>
      <c r="AE130" s="519"/>
      <c r="AF130" s="506">
        <f t="shared" si="73"/>
        <v>0</v>
      </c>
      <c r="AG130" s="507">
        <f t="shared" si="74"/>
        <v>0</v>
      </c>
      <c r="AH130" s="508">
        <f t="shared" si="75"/>
        <v>0</v>
      </c>
      <c r="AI130" s="508">
        <f t="shared" si="76"/>
        <v>0</v>
      </c>
      <c r="AJ130" s="516"/>
      <c r="AK130" s="519"/>
      <c r="AL130" s="506">
        <f t="shared" si="77"/>
        <v>0</v>
      </c>
      <c r="AM130" s="509">
        <f t="shared" si="78"/>
        <v>0</v>
      </c>
      <c r="AN130" s="518"/>
      <c r="AO130" s="520"/>
      <c r="AP130" s="516">
        <v>6120</v>
      </c>
      <c r="AQ130" s="520">
        <v>5524</v>
      </c>
      <c r="AR130" s="516">
        <v>3620</v>
      </c>
      <c r="AS130" s="520">
        <v>2945</v>
      </c>
      <c r="AT130" s="516">
        <v>5852</v>
      </c>
      <c r="AU130" s="520">
        <v>5221</v>
      </c>
      <c r="AV130" s="506">
        <f t="shared" si="79"/>
        <v>15592</v>
      </c>
      <c r="AW130" s="511">
        <f t="shared" si="80"/>
        <v>649.66666666666663</v>
      </c>
      <c r="AX130" s="508">
        <f t="shared" si="81"/>
        <v>13690</v>
      </c>
      <c r="AY130" s="512">
        <f t="shared" si="82"/>
        <v>570.41666666666663</v>
      </c>
      <c r="AZ130" s="513">
        <f t="shared" si="83"/>
        <v>5705.3333333333339</v>
      </c>
      <c r="BA130" s="508">
        <f t="shared" si="84"/>
        <v>5474.8166666666666</v>
      </c>
    </row>
    <row r="131" spans="1:53">
      <c r="A131" s="584" t="s">
        <v>142</v>
      </c>
      <c r="B131" s="579" t="s">
        <v>389</v>
      </c>
      <c r="C131" s="593"/>
      <c r="D131" s="578">
        <v>139366</v>
      </c>
      <c r="E131" s="585">
        <v>4</v>
      </c>
      <c r="F131" s="514" t="s">
        <v>41</v>
      </c>
      <c r="G131" s="515" t="s">
        <v>41</v>
      </c>
      <c r="H131" s="516"/>
      <c r="I131" s="519"/>
      <c r="J131" s="516">
        <v>78366</v>
      </c>
      <c r="K131" s="519">
        <f>51172+27567</f>
        <v>78739</v>
      </c>
      <c r="L131" s="516">
        <v>23168</v>
      </c>
      <c r="M131" s="519">
        <f>12175+6409</f>
        <v>18584</v>
      </c>
      <c r="N131" s="516">
        <v>83177</v>
      </c>
      <c r="O131" s="519">
        <f>55051+28574</f>
        <v>83625</v>
      </c>
      <c r="P131" s="506">
        <f t="shared" si="69"/>
        <v>184711</v>
      </c>
      <c r="Q131" s="507">
        <f t="shared" ref="Q131:Q162" si="87">+P131/30</f>
        <v>6157.0333333333338</v>
      </c>
      <c r="R131" s="508">
        <f t="shared" si="71"/>
        <v>180948</v>
      </c>
      <c r="S131" s="509">
        <f t="shared" ref="S131:S162" si="88">+R131/30</f>
        <v>6031.6</v>
      </c>
      <c r="T131" s="516">
        <v>766</v>
      </c>
      <c r="U131" s="580">
        <v>942</v>
      </c>
      <c r="V131" s="506">
        <f t="shared" si="85"/>
        <v>184711</v>
      </c>
      <c r="W131" s="510">
        <f t="shared" si="86"/>
        <v>180948</v>
      </c>
      <c r="X131" s="517"/>
      <c r="Y131" s="519"/>
      <c r="Z131" s="516"/>
      <c r="AA131" s="519"/>
      <c r="AB131" s="516"/>
      <c r="AC131" s="519"/>
      <c r="AD131" s="516"/>
      <c r="AE131" s="519"/>
      <c r="AF131" s="506">
        <f t="shared" si="73"/>
        <v>0</v>
      </c>
      <c r="AG131" s="507">
        <f t="shared" si="74"/>
        <v>0</v>
      </c>
      <c r="AH131" s="508">
        <f t="shared" si="75"/>
        <v>0</v>
      </c>
      <c r="AI131" s="508">
        <f t="shared" si="76"/>
        <v>0</v>
      </c>
      <c r="AJ131" s="516"/>
      <c r="AK131" s="519"/>
      <c r="AL131" s="506">
        <f t="shared" si="77"/>
        <v>0</v>
      </c>
      <c r="AM131" s="509">
        <f t="shared" si="78"/>
        <v>0</v>
      </c>
      <c r="AN131" s="518"/>
      <c r="AO131" s="520"/>
      <c r="AP131" s="516">
        <v>7799</v>
      </c>
      <c r="AQ131" s="520">
        <v>7889</v>
      </c>
      <c r="AR131" s="516">
        <v>5414</v>
      </c>
      <c r="AS131" s="520">
        <v>4950</v>
      </c>
      <c r="AT131" s="516">
        <v>8343</v>
      </c>
      <c r="AU131" s="520">
        <v>7897</v>
      </c>
      <c r="AV131" s="506">
        <f t="shared" si="79"/>
        <v>21556</v>
      </c>
      <c r="AW131" s="511">
        <f t="shared" ref="AW131:AW162" si="89">+AV131/24</f>
        <v>898.16666666666663</v>
      </c>
      <c r="AX131" s="508">
        <f t="shared" si="81"/>
        <v>20736</v>
      </c>
      <c r="AY131" s="512">
        <f t="shared" ref="AY131:AY162" si="90">+AX131/24</f>
        <v>864</v>
      </c>
      <c r="AZ131" s="513">
        <f t="shared" si="83"/>
        <v>7055.2000000000007</v>
      </c>
      <c r="BA131" s="508">
        <f t="shared" si="84"/>
        <v>6895.6</v>
      </c>
    </row>
    <row r="132" spans="1:53">
      <c r="A132" s="584" t="s">
        <v>142</v>
      </c>
      <c r="B132" s="579" t="s">
        <v>390</v>
      </c>
      <c r="C132" s="593"/>
      <c r="D132" s="578">
        <v>139861</v>
      </c>
      <c r="E132" s="585">
        <v>4</v>
      </c>
      <c r="F132" s="514" t="s">
        <v>41</v>
      </c>
      <c r="G132" s="515" t="s">
        <v>41</v>
      </c>
      <c r="H132" s="516"/>
      <c r="I132" s="519"/>
      <c r="J132" s="516">
        <v>72065</v>
      </c>
      <c r="K132" s="519">
        <f>43052+30587</f>
        <v>73639</v>
      </c>
      <c r="L132" s="516">
        <v>15575</v>
      </c>
      <c r="M132" s="519">
        <f>7036+7187</f>
        <v>14223</v>
      </c>
      <c r="N132" s="516">
        <v>77941.5</v>
      </c>
      <c r="O132" s="519">
        <f>49557.5+28221</f>
        <v>77778.5</v>
      </c>
      <c r="P132" s="506">
        <f t="shared" si="69"/>
        <v>165581.5</v>
      </c>
      <c r="Q132" s="507">
        <f t="shared" si="87"/>
        <v>5519.3833333333332</v>
      </c>
      <c r="R132" s="508">
        <f t="shared" si="71"/>
        <v>165640.5</v>
      </c>
      <c r="S132" s="509">
        <f t="shared" si="88"/>
        <v>5521.35</v>
      </c>
      <c r="T132" s="516">
        <v>574</v>
      </c>
      <c r="U132" s="580">
        <v>618</v>
      </c>
      <c r="V132" s="506">
        <f t="shared" si="85"/>
        <v>165581.5</v>
      </c>
      <c r="W132" s="510">
        <f t="shared" si="86"/>
        <v>165640.5</v>
      </c>
      <c r="X132" s="517"/>
      <c r="Y132" s="519"/>
      <c r="Z132" s="516"/>
      <c r="AA132" s="519"/>
      <c r="AB132" s="516"/>
      <c r="AC132" s="519"/>
      <c r="AD132" s="516"/>
      <c r="AE132" s="519"/>
      <c r="AF132" s="506">
        <f t="shared" si="73"/>
        <v>0</v>
      </c>
      <c r="AG132" s="507">
        <f t="shared" si="74"/>
        <v>0</v>
      </c>
      <c r="AH132" s="508">
        <f t="shared" si="75"/>
        <v>0</v>
      </c>
      <c r="AI132" s="508">
        <f t="shared" si="76"/>
        <v>0</v>
      </c>
      <c r="AJ132" s="516"/>
      <c r="AK132" s="519"/>
      <c r="AL132" s="506">
        <f t="shared" si="77"/>
        <v>0</v>
      </c>
      <c r="AM132" s="509">
        <f t="shared" si="78"/>
        <v>0</v>
      </c>
      <c r="AN132" s="518"/>
      <c r="AO132" s="520"/>
      <c r="AP132" s="516">
        <v>7029</v>
      </c>
      <c r="AQ132" s="520">
        <v>7123</v>
      </c>
      <c r="AR132" s="516">
        <v>5101.5</v>
      </c>
      <c r="AS132" s="520">
        <v>4740</v>
      </c>
      <c r="AT132" s="516">
        <v>7359</v>
      </c>
      <c r="AU132" s="520">
        <v>6654</v>
      </c>
      <c r="AV132" s="506">
        <f t="shared" si="79"/>
        <v>19489.5</v>
      </c>
      <c r="AW132" s="511">
        <f t="shared" si="89"/>
        <v>812.0625</v>
      </c>
      <c r="AX132" s="508">
        <f t="shared" si="81"/>
        <v>18517</v>
      </c>
      <c r="AY132" s="512">
        <f t="shared" si="90"/>
        <v>771.54166666666663</v>
      </c>
      <c r="AZ132" s="513">
        <f t="shared" si="83"/>
        <v>6331.4458333333332</v>
      </c>
      <c r="BA132" s="508">
        <f t="shared" si="84"/>
        <v>6292.8916666666673</v>
      </c>
    </row>
    <row r="133" spans="1:53">
      <c r="A133" s="584" t="s">
        <v>142</v>
      </c>
      <c r="B133" s="579" t="s">
        <v>391</v>
      </c>
      <c r="C133" s="593" t="s">
        <v>414</v>
      </c>
      <c r="D133" s="578">
        <v>140164</v>
      </c>
      <c r="E133" s="585">
        <v>4</v>
      </c>
      <c r="F133" s="514" t="s">
        <v>41</v>
      </c>
      <c r="G133" s="515" t="s">
        <v>41</v>
      </c>
      <c r="H133" s="516"/>
      <c r="I133" s="519"/>
      <c r="J133" s="516">
        <v>250745</v>
      </c>
      <c r="K133" s="519">
        <f>157105+99497</f>
        <v>256602</v>
      </c>
      <c r="L133" s="516">
        <v>74469</v>
      </c>
      <c r="M133" s="519">
        <f>33658+31378</f>
        <v>65036</v>
      </c>
      <c r="N133" s="516">
        <v>269717</v>
      </c>
      <c r="O133" s="519">
        <f>174606+98931</f>
        <v>273537</v>
      </c>
      <c r="P133" s="506">
        <f t="shared" si="69"/>
        <v>594931</v>
      </c>
      <c r="Q133" s="507">
        <f t="shared" si="87"/>
        <v>19831.033333333333</v>
      </c>
      <c r="R133" s="508">
        <f t="shared" si="71"/>
        <v>595175</v>
      </c>
      <c r="S133" s="509">
        <f t="shared" si="88"/>
        <v>19839.166666666668</v>
      </c>
      <c r="T133" s="516">
        <v>3558</v>
      </c>
      <c r="U133" s="580">
        <v>3923</v>
      </c>
      <c r="V133" s="506">
        <f t="shared" si="85"/>
        <v>594931</v>
      </c>
      <c r="W133" s="510">
        <f t="shared" si="86"/>
        <v>595175</v>
      </c>
      <c r="X133" s="517"/>
      <c r="Y133" s="519"/>
      <c r="Z133" s="516"/>
      <c r="AA133" s="519"/>
      <c r="AB133" s="516"/>
      <c r="AC133" s="519"/>
      <c r="AD133" s="516"/>
      <c r="AE133" s="519"/>
      <c r="AF133" s="506">
        <f t="shared" si="73"/>
        <v>0</v>
      </c>
      <c r="AG133" s="507">
        <f t="shared" si="74"/>
        <v>0</v>
      </c>
      <c r="AH133" s="508">
        <f t="shared" si="75"/>
        <v>0</v>
      </c>
      <c r="AI133" s="508">
        <f t="shared" si="76"/>
        <v>0</v>
      </c>
      <c r="AJ133" s="516"/>
      <c r="AK133" s="519"/>
      <c r="AL133" s="506">
        <f t="shared" si="77"/>
        <v>0</v>
      </c>
      <c r="AM133" s="509">
        <f t="shared" si="78"/>
        <v>0</v>
      </c>
      <c r="AN133" s="518"/>
      <c r="AO133" s="520"/>
      <c r="AP133" s="516">
        <v>13653</v>
      </c>
      <c r="AQ133" s="520">
        <v>13000</v>
      </c>
      <c r="AR133" s="516">
        <v>7801</v>
      </c>
      <c r="AS133" s="520">
        <v>8065</v>
      </c>
      <c r="AT133" s="516">
        <v>13764</v>
      </c>
      <c r="AU133" s="520">
        <v>14268</v>
      </c>
      <c r="AV133" s="506">
        <f t="shared" si="79"/>
        <v>35218</v>
      </c>
      <c r="AW133" s="511">
        <f t="shared" si="89"/>
        <v>1467.4166666666667</v>
      </c>
      <c r="AX133" s="508">
        <f t="shared" si="81"/>
        <v>35333</v>
      </c>
      <c r="AY133" s="512">
        <f t="shared" si="90"/>
        <v>1472.2083333333333</v>
      </c>
      <c r="AZ133" s="513">
        <f t="shared" si="83"/>
        <v>21298.45</v>
      </c>
      <c r="BA133" s="508">
        <f t="shared" si="84"/>
        <v>21311.375</v>
      </c>
    </row>
    <row r="134" spans="1:53">
      <c r="A134" s="584" t="s">
        <v>142</v>
      </c>
      <c r="B134" s="581" t="s">
        <v>396</v>
      </c>
      <c r="C134" s="588" t="s">
        <v>415</v>
      </c>
      <c r="D134" s="578">
        <v>140669</v>
      </c>
      <c r="E134" s="586">
        <v>4</v>
      </c>
      <c r="F134" s="514" t="s">
        <v>41</v>
      </c>
      <c r="G134" s="515" t="s">
        <v>41</v>
      </c>
      <c r="H134" s="516"/>
      <c r="I134" s="519"/>
      <c r="J134" s="516">
        <v>67162</v>
      </c>
      <c r="K134" s="519">
        <f>43628+26020</f>
        <v>69648</v>
      </c>
      <c r="L134" s="516">
        <v>14643</v>
      </c>
      <c r="M134" s="519">
        <f>10460+6069</f>
        <v>16529</v>
      </c>
      <c r="N134" s="516">
        <v>71634</v>
      </c>
      <c r="O134" s="519">
        <f>50107+25990</f>
        <v>76097</v>
      </c>
      <c r="P134" s="506">
        <f t="shared" si="69"/>
        <v>153439</v>
      </c>
      <c r="Q134" s="507">
        <f t="shared" si="87"/>
        <v>5114.6333333333332</v>
      </c>
      <c r="R134" s="508">
        <f t="shared" si="71"/>
        <v>162274</v>
      </c>
      <c r="S134" s="509">
        <f t="shared" si="88"/>
        <v>5409.1333333333332</v>
      </c>
      <c r="T134" s="516">
        <v>210</v>
      </c>
      <c r="U134" s="580">
        <v>210</v>
      </c>
      <c r="V134" s="506">
        <f t="shared" si="85"/>
        <v>153439</v>
      </c>
      <c r="W134" s="510">
        <f t="shared" si="86"/>
        <v>162274</v>
      </c>
      <c r="X134" s="517"/>
      <c r="Y134" s="519"/>
      <c r="Z134" s="516"/>
      <c r="AA134" s="519"/>
      <c r="AB134" s="516"/>
      <c r="AC134" s="519"/>
      <c r="AD134" s="516"/>
      <c r="AE134" s="519"/>
      <c r="AF134" s="506">
        <f t="shared" si="73"/>
        <v>0</v>
      </c>
      <c r="AG134" s="507">
        <f t="shared" si="74"/>
        <v>0</v>
      </c>
      <c r="AH134" s="508">
        <f t="shared" si="75"/>
        <v>0</v>
      </c>
      <c r="AI134" s="508">
        <f t="shared" si="76"/>
        <v>0</v>
      </c>
      <c r="AJ134" s="516"/>
      <c r="AK134" s="519"/>
      <c r="AL134" s="506">
        <f t="shared" si="77"/>
        <v>0</v>
      </c>
      <c r="AM134" s="509">
        <f t="shared" si="78"/>
        <v>0</v>
      </c>
      <c r="AN134" s="518"/>
      <c r="AO134" s="520"/>
      <c r="AP134" s="516">
        <v>3801</v>
      </c>
      <c r="AQ134" s="520">
        <v>3966</v>
      </c>
      <c r="AR134" s="516">
        <v>3491</v>
      </c>
      <c r="AS134" s="520">
        <v>3378</v>
      </c>
      <c r="AT134" s="516">
        <v>3839</v>
      </c>
      <c r="AU134" s="520">
        <v>4130</v>
      </c>
      <c r="AV134" s="506">
        <f t="shared" si="79"/>
        <v>11131</v>
      </c>
      <c r="AW134" s="511">
        <f t="shared" si="89"/>
        <v>463.79166666666669</v>
      </c>
      <c r="AX134" s="508">
        <f t="shared" si="81"/>
        <v>11474</v>
      </c>
      <c r="AY134" s="512">
        <f t="shared" si="90"/>
        <v>478.08333333333331</v>
      </c>
      <c r="AZ134" s="513">
        <f t="shared" si="83"/>
        <v>5578.4250000000002</v>
      </c>
      <c r="BA134" s="508">
        <f t="shared" si="84"/>
        <v>5887.2166666666662</v>
      </c>
    </row>
    <row r="135" spans="1:53">
      <c r="A135" s="584" t="s">
        <v>142</v>
      </c>
      <c r="B135" s="581" t="s">
        <v>393</v>
      </c>
      <c r="C135" s="593" t="s">
        <v>416</v>
      </c>
      <c r="D135" s="578">
        <v>139311</v>
      </c>
      <c r="E135" s="587">
        <v>5</v>
      </c>
      <c r="F135" s="514" t="s">
        <v>41</v>
      </c>
      <c r="G135" s="515" t="s">
        <v>41</v>
      </c>
      <c r="H135" s="516"/>
      <c r="I135" s="519"/>
      <c r="J135" s="516">
        <v>70014</v>
      </c>
      <c r="K135" s="519">
        <f>41141+29499</f>
        <v>70640</v>
      </c>
      <c r="L135" s="516">
        <v>28772</v>
      </c>
      <c r="M135" s="519">
        <f>12508+10677</f>
        <v>23185</v>
      </c>
      <c r="N135" s="516">
        <v>70882</v>
      </c>
      <c r="O135" s="519">
        <f>43133+30203</f>
        <v>73336</v>
      </c>
      <c r="P135" s="506">
        <f t="shared" si="69"/>
        <v>169668</v>
      </c>
      <c r="Q135" s="507">
        <f t="shared" si="87"/>
        <v>5655.6</v>
      </c>
      <c r="R135" s="508">
        <f t="shared" si="71"/>
        <v>167161</v>
      </c>
      <c r="S135" s="509">
        <f t="shared" si="88"/>
        <v>5572.0333333333338</v>
      </c>
      <c r="T135" s="516">
        <v>4597</v>
      </c>
      <c r="U135" s="580">
        <v>4352</v>
      </c>
      <c r="V135" s="506">
        <f t="shared" si="85"/>
        <v>169668</v>
      </c>
      <c r="W135" s="510">
        <f t="shared" si="86"/>
        <v>167161</v>
      </c>
      <c r="X135" s="517"/>
      <c r="Y135" s="519"/>
      <c r="Z135" s="516"/>
      <c r="AA135" s="519"/>
      <c r="AB135" s="516"/>
      <c r="AC135" s="519"/>
      <c r="AD135" s="516"/>
      <c r="AE135" s="519"/>
      <c r="AF135" s="506">
        <f t="shared" si="73"/>
        <v>0</v>
      </c>
      <c r="AG135" s="507">
        <f t="shared" si="74"/>
        <v>0</v>
      </c>
      <c r="AH135" s="508">
        <f t="shared" si="75"/>
        <v>0</v>
      </c>
      <c r="AI135" s="508">
        <f t="shared" si="76"/>
        <v>0</v>
      </c>
      <c r="AJ135" s="516"/>
      <c r="AK135" s="519"/>
      <c r="AL135" s="506">
        <f t="shared" si="77"/>
        <v>0</v>
      </c>
      <c r="AM135" s="509">
        <f t="shared" si="78"/>
        <v>0</v>
      </c>
      <c r="AN135" s="518"/>
      <c r="AO135" s="520"/>
      <c r="AP135" s="516">
        <v>1793</v>
      </c>
      <c r="AQ135" s="520">
        <v>2096</v>
      </c>
      <c r="AR135" s="516">
        <v>1135</v>
      </c>
      <c r="AS135" s="520">
        <v>1316</v>
      </c>
      <c r="AT135" s="516">
        <v>2139</v>
      </c>
      <c r="AU135" s="520">
        <v>2294</v>
      </c>
      <c r="AV135" s="506">
        <f t="shared" si="79"/>
        <v>5067</v>
      </c>
      <c r="AW135" s="511">
        <f t="shared" si="89"/>
        <v>211.125</v>
      </c>
      <c r="AX135" s="508">
        <f t="shared" si="81"/>
        <v>5706</v>
      </c>
      <c r="AY135" s="512">
        <f t="shared" si="90"/>
        <v>237.75</v>
      </c>
      <c r="AZ135" s="513">
        <f t="shared" si="83"/>
        <v>5866.7250000000004</v>
      </c>
      <c r="BA135" s="508">
        <f t="shared" si="84"/>
        <v>5809.7833333333338</v>
      </c>
    </row>
    <row r="136" spans="1:53">
      <c r="A136" s="584" t="s">
        <v>142</v>
      </c>
      <c r="B136" s="579" t="s">
        <v>394</v>
      </c>
      <c r="C136" s="593"/>
      <c r="D136" s="578">
        <v>139719</v>
      </c>
      <c r="E136" s="585">
        <v>5</v>
      </c>
      <c r="F136" s="514" t="s">
        <v>41</v>
      </c>
      <c r="G136" s="515" t="s">
        <v>41</v>
      </c>
      <c r="H136" s="516"/>
      <c r="I136" s="519"/>
      <c r="J136" s="516">
        <v>43498</v>
      </c>
      <c r="K136" s="519">
        <f>32837+12820</f>
        <v>45657</v>
      </c>
      <c r="L136" s="516">
        <v>10572</v>
      </c>
      <c r="M136" s="519">
        <f>4551+2633</f>
        <v>7184</v>
      </c>
      <c r="N136" s="516">
        <v>48340</v>
      </c>
      <c r="O136" s="519">
        <f>31763+11885</f>
        <v>43648</v>
      </c>
      <c r="P136" s="506">
        <f t="shared" si="69"/>
        <v>102410</v>
      </c>
      <c r="Q136" s="507">
        <f t="shared" si="87"/>
        <v>3413.6666666666665</v>
      </c>
      <c r="R136" s="508">
        <f t="shared" si="71"/>
        <v>96489</v>
      </c>
      <c r="S136" s="509">
        <f t="shared" si="88"/>
        <v>3216.3</v>
      </c>
      <c r="T136" s="516">
        <v>265</v>
      </c>
      <c r="U136" s="580">
        <v>197</v>
      </c>
      <c r="V136" s="506">
        <f t="shared" si="85"/>
        <v>102410</v>
      </c>
      <c r="W136" s="510">
        <f t="shared" si="86"/>
        <v>96489</v>
      </c>
      <c r="X136" s="517"/>
      <c r="Y136" s="519"/>
      <c r="Z136" s="516"/>
      <c r="AA136" s="519"/>
      <c r="AB136" s="516"/>
      <c r="AC136" s="519"/>
      <c r="AD136" s="516"/>
      <c r="AE136" s="519"/>
      <c r="AF136" s="506">
        <f t="shared" si="73"/>
        <v>0</v>
      </c>
      <c r="AG136" s="507">
        <f t="shared" si="74"/>
        <v>0</v>
      </c>
      <c r="AH136" s="508">
        <f t="shared" si="75"/>
        <v>0</v>
      </c>
      <c r="AI136" s="508">
        <f t="shared" si="76"/>
        <v>0</v>
      </c>
      <c r="AJ136" s="516"/>
      <c r="AK136" s="519"/>
      <c r="AL136" s="506">
        <f t="shared" si="77"/>
        <v>0</v>
      </c>
      <c r="AM136" s="509">
        <f t="shared" si="78"/>
        <v>0</v>
      </c>
      <c r="AN136" s="518"/>
      <c r="AO136" s="520"/>
      <c r="AP136" s="516">
        <v>1661</v>
      </c>
      <c r="AQ136" s="520">
        <v>2037</v>
      </c>
      <c r="AR136" s="516">
        <v>920</v>
      </c>
      <c r="AS136" s="520">
        <v>905</v>
      </c>
      <c r="AT136" s="516">
        <v>1721</v>
      </c>
      <c r="AU136" s="520">
        <v>2100</v>
      </c>
      <c r="AV136" s="506">
        <f t="shared" si="79"/>
        <v>4302</v>
      </c>
      <c r="AW136" s="511">
        <f t="shared" si="89"/>
        <v>179.25</v>
      </c>
      <c r="AX136" s="508">
        <f t="shared" si="81"/>
        <v>5042</v>
      </c>
      <c r="AY136" s="512">
        <f t="shared" si="90"/>
        <v>210.08333333333334</v>
      </c>
      <c r="AZ136" s="513">
        <f t="shared" si="83"/>
        <v>3592.9166666666665</v>
      </c>
      <c r="BA136" s="508">
        <f t="shared" si="84"/>
        <v>3426.3833333333337</v>
      </c>
    </row>
    <row r="137" spans="1:53">
      <c r="A137" s="584" t="s">
        <v>142</v>
      </c>
      <c r="B137" s="579" t="s">
        <v>395</v>
      </c>
      <c r="C137" s="593"/>
      <c r="D137" s="578">
        <v>139764</v>
      </c>
      <c r="E137" s="585">
        <v>5</v>
      </c>
      <c r="F137" s="514" t="s">
        <v>41</v>
      </c>
      <c r="G137" s="515" t="s">
        <v>41</v>
      </c>
      <c r="H137" s="516"/>
      <c r="I137" s="519"/>
      <c r="J137" s="516">
        <v>32215</v>
      </c>
      <c r="K137" s="519">
        <f>17034+14354</f>
        <v>31388</v>
      </c>
      <c r="L137" s="516">
        <v>11775</v>
      </c>
      <c r="M137" s="519">
        <f>4625+5845</f>
        <v>10470</v>
      </c>
      <c r="N137" s="516">
        <v>33474</v>
      </c>
      <c r="O137" s="519">
        <f>17959+14787</f>
        <v>32746</v>
      </c>
      <c r="P137" s="506">
        <f t="shared" si="69"/>
        <v>77464</v>
      </c>
      <c r="Q137" s="507">
        <f t="shared" si="87"/>
        <v>2582.1333333333332</v>
      </c>
      <c r="R137" s="508">
        <f t="shared" si="71"/>
        <v>74604</v>
      </c>
      <c r="S137" s="509">
        <f t="shared" si="88"/>
        <v>2486.8000000000002</v>
      </c>
      <c r="T137" s="516">
        <v>643</v>
      </c>
      <c r="U137" s="580">
        <v>399</v>
      </c>
      <c r="V137" s="506">
        <f t="shared" si="85"/>
        <v>77464</v>
      </c>
      <c r="W137" s="510">
        <f t="shared" si="86"/>
        <v>74604</v>
      </c>
      <c r="X137" s="517"/>
      <c r="Y137" s="519"/>
      <c r="Z137" s="516"/>
      <c r="AA137" s="519"/>
      <c r="AB137" s="516"/>
      <c r="AC137" s="519"/>
      <c r="AD137" s="516"/>
      <c r="AE137" s="519"/>
      <c r="AF137" s="506">
        <f t="shared" si="73"/>
        <v>0</v>
      </c>
      <c r="AG137" s="507">
        <f t="shared" si="74"/>
        <v>0</v>
      </c>
      <c r="AH137" s="508">
        <f t="shared" si="75"/>
        <v>0</v>
      </c>
      <c r="AI137" s="508">
        <f t="shared" si="76"/>
        <v>0</v>
      </c>
      <c r="AJ137" s="516"/>
      <c r="AK137" s="519"/>
      <c r="AL137" s="506">
        <f t="shared" si="77"/>
        <v>0</v>
      </c>
      <c r="AM137" s="509">
        <f t="shared" si="78"/>
        <v>0</v>
      </c>
      <c r="AN137" s="518"/>
      <c r="AO137" s="520"/>
      <c r="AP137" s="516">
        <v>1623</v>
      </c>
      <c r="AQ137" s="520">
        <v>1962</v>
      </c>
      <c r="AR137" s="516">
        <v>2334</v>
      </c>
      <c r="AS137" s="520">
        <v>1950</v>
      </c>
      <c r="AT137" s="516">
        <v>1860</v>
      </c>
      <c r="AU137" s="520">
        <v>1814</v>
      </c>
      <c r="AV137" s="506">
        <f t="shared" si="79"/>
        <v>5817</v>
      </c>
      <c r="AW137" s="511">
        <f t="shared" si="89"/>
        <v>242.375</v>
      </c>
      <c r="AX137" s="508">
        <f t="shared" si="81"/>
        <v>5726</v>
      </c>
      <c r="AY137" s="512">
        <f t="shared" si="90"/>
        <v>238.58333333333334</v>
      </c>
      <c r="AZ137" s="513">
        <f t="shared" si="83"/>
        <v>2824.5083333333332</v>
      </c>
      <c r="BA137" s="508">
        <f t="shared" si="84"/>
        <v>2725.3833333333337</v>
      </c>
    </row>
    <row r="138" spans="1:53">
      <c r="A138" s="584" t="s">
        <v>142</v>
      </c>
      <c r="B138" s="579" t="s">
        <v>397</v>
      </c>
      <c r="C138" s="593"/>
      <c r="D138" s="578">
        <v>140960</v>
      </c>
      <c r="E138" s="585">
        <v>5</v>
      </c>
      <c r="F138" s="514" t="s">
        <v>41</v>
      </c>
      <c r="G138" s="515" t="s">
        <v>41</v>
      </c>
      <c r="H138" s="516"/>
      <c r="I138" s="519"/>
      <c r="J138" s="516">
        <v>48301</v>
      </c>
      <c r="K138" s="519">
        <f>39038+13259</f>
        <v>52297</v>
      </c>
      <c r="L138" s="516">
        <v>13000</v>
      </c>
      <c r="M138" s="519">
        <f>6450+1547</f>
        <v>7997</v>
      </c>
      <c r="N138" s="516">
        <v>57314</v>
      </c>
      <c r="O138" s="519">
        <f>44361+13400</f>
        <v>57761</v>
      </c>
      <c r="P138" s="506">
        <f t="shared" si="69"/>
        <v>118615</v>
      </c>
      <c r="Q138" s="507">
        <f t="shared" si="87"/>
        <v>3953.8333333333335</v>
      </c>
      <c r="R138" s="508">
        <f t="shared" si="71"/>
        <v>118055</v>
      </c>
      <c r="S138" s="509">
        <f t="shared" si="88"/>
        <v>3935.1666666666665</v>
      </c>
      <c r="T138" s="516">
        <v>1034</v>
      </c>
      <c r="U138" s="580">
        <v>1392</v>
      </c>
      <c r="V138" s="506">
        <f t="shared" si="85"/>
        <v>118615</v>
      </c>
      <c r="W138" s="510">
        <f t="shared" si="86"/>
        <v>118055</v>
      </c>
      <c r="X138" s="517"/>
      <c r="Y138" s="519"/>
      <c r="Z138" s="516"/>
      <c r="AA138" s="519"/>
      <c r="AB138" s="516"/>
      <c r="AC138" s="519"/>
      <c r="AD138" s="516"/>
      <c r="AE138" s="519"/>
      <c r="AF138" s="506">
        <f t="shared" si="73"/>
        <v>0</v>
      </c>
      <c r="AG138" s="507">
        <f t="shared" si="74"/>
        <v>0</v>
      </c>
      <c r="AH138" s="508">
        <f t="shared" si="75"/>
        <v>0</v>
      </c>
      <c r="AI138" s="508">
        <f t="shared" si="76"/>
        <v>0</v>
      </c>
      <c r="AJ138" s="516"/>
      <c r="AK138" s="519"/>
      <c r="AL138" s="506">
        <f t="shared" si="77"/>
        <v>0</v>
      </c>
      <c r="AM138" s="509">
        <f t="shared" si="78"/>
        <v>0</v>
      </c>
      <c r="AN138" s="518"/>
      <c r="AO138" s="520"/>
      <c r="AP138" s="516">
        <v>1239</v>
      </c>
      <c r="AQ138" s="520">
        <v>1294</v>
      </c>
      <c r="AR138" s="516">
        <v>345</v>
      </c>
      <c r="AS138" s="520">
        <v>462</v>
      </c>
      <c r="AT138" s="516">
        <v>1503</v>
      </c>
      <c r="AU138" s="520">
        <v>1582</v>
      </c>
      <c r="AV138" s="506">
        <f t="shared" si="79"/>
        <v>3087</v>
      </c>
      <c r="AW138" s="511">
        <f t="shared" si="89"/>
        <v>128.625</v>
      </c>
      <c r="AX138" s="508">
        <f t="shared" si="81"/>
        <v>3338</v>
      </c>
      <c r="AY138" s="512">
        <f t="shared" si="90"/>
        <v>139.08333333333334</v>
      </c>
      <c r="AZ138" s="513">
        <f t="shared" si="83"/>
        <v>4082.4583333333335</v>
      </c>
      <c r="BA138" s="508">
        <f t="shared" si="84"/>
        <v>4074.25</v>
      </c>
    </row>
    <row r="139" spans="1:53">
      <c r="A139" s="584" t="s">
        <v>142</v>
      </c>
      <c r="B139" s="581" t="s">
        <v>398</v>
      </c>
      <c r="C139" s="588"/>
      <c r="D139" s="578">
        <v>447689</v>
      </c>
      <c r="E139" s="587">
        <v>6</v>
      </c>
      <c r="F139" s="514" t="s">
        <v>41</v>
      </c>
      <c r="G139" s="515" t="s">
        <v>41</v>
      </c>
      <c r="H139" s="516"/>
      <c r="I139" s="519"/>
      <c r="J139" s="516">
        <v>67161</v>
      </c>
      <c r="K139" s="519">
        <v>94939</v>
      </c>
      <c r="L139" s="516">
        <v>18140</v>
      </c>
      <c r="M139" s="519">
        <v>19884</v>
      </c>
      <c r="N139" s="516">
        <v>92274</v>
      </c>
      <c r="O139" s="519">
        <v>111197</v>
      </c>
      <c r="P139" s="506">
        <f t="shared" si="69"/>
        <v>177575</v>
      </c>
      <c r="Q139" s="507">
        <f t="shared" si="87"/>
        <v>5919.166666666667</v>
      </c>
      <c r="R139" s="508">
        <f t="shared" si="71"/>
        <v>226020</v>
      </c>
      <c r="S139" s="509">
        <f t="shared" si="88"/>
        <v>7534</v>
      </c>
      <c r="T139" s="516">
        <v>2408</v>
      </c>
      <c r="U139" s="580">
        <v>3645</v>
      </c>
      <c r="V139" s="506">
        <f t="shared" si="85"/>
        <v>177575</v>
      </c>
      <c r="W139" s="510">
        <f t="shared" si="86"/>
        <v>226020</v>
      </c>
      <c r="X139" s="517"/>
      <c r="Y139" s="519"/>
      <c r="Z139" s="516"/>
      <c r="AA139" s="519"/>
      <c r="AB139" s="516"/>
      <c r="AC139" s="519"/>
      <c r="AD139" s="516"/>
      <c r="AE139" s="519"/>
      <c r="AF139" s="506">
        <f t="shared" si="73"/>
        <v>0</v>
      </c>
      <c r="AG139" s="507">
        <f t="shared" si="74"/>
        <v>0</v>
      </c>
      <c r="AH139" s="508">
        <f t="shared" si="75"/>
        <v>0</v>
      </c>
      <c r="AI139" s="508">
        <f t="shared" si="76"/>
        <v>0</v>
      </c>
      <c r="AJ139" s="516"/>
      <c r="AK139" s="519"/>
      <c r="AL139" s="506">
        <f t="shared" si="77"/>
        <v>0</v>
      </c>
      <c r="AM139" s="509">
        <f t="shared" si="78"/>
        <v>0</v>
      </c>
      <c r="AN139" s="518"/>
      <c r="AO139" s="520"/>
      <c r="AP139" s="516"/>
      <c r="AQ139" s="520"/>
      <c r="AR139" s="516"/>
      <c r="AS139" s="520"/>
      <c r="AT139" s="516"/>
      <c r="AU139" s="520"/>
      <c r="AV139" s="506">
        <f t="shared" si="79"/>
        <v>0</v>
      </c>
      <c r="AW139" s="511">
        <f t="shared" si="89"/>
        <v>0</v>
      </c>
      <c r="AX139" s="508">
        <f t="shared" si="81"/>
        <v>0</v>
      </c>
      <c r="AY139" s="512">
        <f t="shared" si="90"/>
        <v>0</v>
      </c>
      <c r="AZ139" s="513">
        <f t="shared" si="83"/>
        <v>5919.166666666667</v>
      </c>
      <c r="BA139" s="508">
        <f t="shared" si="84"/>
        <v>7534</v>
      </c>
    </row>
    <row r="140" spans="1:53">
      <c r="A140" s="584" t="s">
        <v>142</v>
      </c>
      <c r="B140" s="579" t="s">
        <v>399</v>
      </c>
      <c r="C140" s="593"/>
      <c r="D140" s="578">
        <v>140322</v>
      </c>
      <c r="E140" s="585">
        <v>6</v>
      </c>
      <c r="F140" s="514" t="s">
        <v>41</v>
      </c>
      <c r="G140" s="515" t="s">
        <v>41</v>
      </c>
      <c r="H140" s="516"/>
      <c r="I140" s="519"/>
      <c r="J140" s="516">
        <v>61658</v>
      </c>
      <c r="K140" s="519">
        <v>58294</v>
      </c>
      <c r="L140" s="516">
        <v>25609</v>
      </c>
      <c r="M140" s="519">
        <v>19093</v>
      </c>
      <c r="N140" s="516">
        <v>60160</v>
      </c>
      <c r="O140" s="519">
        <v>60576</v>
      </c>
      <c r="P140" s="506">
        <f t="shared" si="69"/>
        <v>147427</v>
      </c>
      <c r="Q140" s="507">
        <f t="shared" si="87"/>
        <v>4914.2333333333336</v>
      </c>
      <c r="R140" s="508">
        <f t="shared" si="71"/>
        <v>137963</v>
      </c>
      <c r="S140" s="509">
        <f t="shared" si="88"/>
        <v>4598.7666666666664</v>
      </c>
      <c r="T140" s="516">
        <v>1203</v>
      </c>
      <c r="U140" s="580">
        <v>1554</v>
      </c>
      <c r="V140" s="506">
        <f t="shared" si="85"/>
        <v>147427</v>
      </c>
      <c r="W140" s="510">
        <f t="shared" si="86"/>
        <v>137963</v>
      </c>
      <c r="X140" s="517"/>
      <c r="Y140" s="519"/>
      <c r="Z140" s="516"/>
      <c r="AA140" s="519"/>
      <c r="AB140" s="516"/>
      <c r="AC140" s="519"/>
      <c r="AD140" s="516"/>
      <c r="AE140" s="519"/>
      <c r="AF140" s="506">
        <f t="shared" si="73"/>
        <v>0</v>
      </c>
      <c r="AG140" s="507">
        <f t="shared" si="74"/>
        <v>0</v>
      </c>
      <c r="AH140" s="508">
        <f t="shared" si="75"/>
        <v>0</v>
      </c>
      <c r="AI140" s="508">
        <f t="shared" si="76"/>
        <v>0</v>
      </c>
      <c r="AJ140" s="516"/>
      <c r="AK140" s="519"/>
      <c r="AL140" s="506">
        <f t="shared" si="77"/>
        <v>0</v>
      </c>
      <c r="AM140" s="509">
        <f t="shared" si="78"/>
        <v>0</v>
      </c>
      <c r="AN140" s="518"/>
      <c r="AO140" s="520"/>
      <c r="AP140" s="516"/>
      <c r="AQ140" s="520"/>
      <c r="AR140" s="516"/>
      <c r="AS140" s="520"/>
      <c r="AT140" s="516"/>
      <c r="AU140" s="520"/>
      <c r="AV140" s="506">
        <f t="shared" si="79"/>
        <v>0</v>
      </c>
      <c r="AW140" s="511">
        <f t="shared" si="89"/>
        <v>0</v>
      </c>
      <c r="AX140" s="508">
        <f t="shared" si="81"/>
        <v>0</v>
      </c>
      <c r="AY140" s="512">
        <f t="shared" si="90"/>
        <v>0</v>
      </c>
      <c r="AZ140" s="513">
        <f t="shared" si="83"/>
        <v>4914.2333333333336</v>
      </c>
      <c r="BA140" s="508">
        <f t="shared" si="84"/>
        <v>4598.7666666666664</v>
      </c>
    </row>
    <row r="141" spans="1:53">
      <c r="A141" s="584" t="s">
        <v>142</v>
      </c>
      <c r="B141" s="579" t="s">
        <v>400</v>
      </c>
      <c r="C141" s="593" t="s">
        <v>419</v>
      </c>
      <c r="D141" s="578">
        <v>139463</v>
      </c>
      <c r="E141" s="590">
        <v>7</v>
      </c>
      <c r="F141" s="514" t="s">
        <v>41</v>
      </c>
      <c r="G141" s="515" t="s">
        <v>41</v>
      </c>
      <c r="H141" s="516"/>
      <c r="I141" s="519"/>
      <c r="J141" s="516">
        <v>60114</v>
      </c>
      <c r="K141" s="519">
        <f>44917+7326</f>
        <v>52243</v>
      </c>
      <c r="L141" s="516">
        <v>13407</v>
      </c>
      <c r="M141" s="519">
        <v>11845</v>
      </c>
      <c r="N141" s="516">
        <v>58779</v>
      </c>
      <c r="O141" s="519">
        <v>54418</v>
      </c>
      <c r="P141" s="506">
        <f t="shared" si="69"/>
        <v>132300</v>
      </c>
      <c r="Q141" s="507">
        <f t="shared" si="87"/>
        <v>4410</v>
      </c>
      <c r="R141" s="508">
        <f t="shared" si="71"/>
        <v>118506</v>
      </c>
      <c r="S141" s="509">
        <f t="shared" si="88"/>
        <v>3950.2</v>
      </c>
      <c r="T141" s="516">
        <v>991</v>
      </c>
      <c r="U141" s="580">
        <v>1004</v>
      </c>
      <c r="V141" s="506">
        <f t="shared" si="85"/>
        <v>132300</v>
      </c>
      <c r="W141" s="510">
        <f t="shared" si="86"/>
        <v>118506</v>
      </c>
      <c r="X141" s="517"/>
      <c r="Y141" s="519"/>
      <c r="Z141" s="516"/>
      <c r="AA141" s="519"/>
      <c r="AB141" s="516"/>
      <c r="AC141" s="519"/>
      <c r="AD141" s="516"/>
      <c r="AE141" s="519"/>
      <c r="AF141" s="506">
        <f t="shared" si="73"/>
        <v>0</v>
      </c>
      <c r="AG141" s="507">
        <f t="shared" si="74"/>
        <v>0</v>
      </c>
      <c r="AH141" s="508">
        <f t="shared" si="75"/>
        <v>0</v>
      </c>
      <c r="AI141" s="508">
        <f t="shared" si="76"/>
        <v>0</v>
      </c>
      <c r="AJ141" s="516"/>
      <c r="AK141" s="519"/>
      <c r="AL141" s="506">
        <f t="shared" si="77"/>
        <v>0</v>
      </c>
      <c r="AM141" s="509">
        <f t="shared" si="78"/>
        <v>0</v>
      </c>
      <c r="AN141" s="518"/>
      <c r="AO141" s="520"/>
      <c r="AP141" s="516"/>
      <c r="AQ141" s="520"/>
      <c r="AR141" s="516"/>
      <c r="AS141" s="520"/>
      <c r="AT141" s="516"/>
      <c r="AU141" s="520"/>
      <c r="AV141" s="506">
        <f t="shared" si="79"/>
        <v>0</v>
      </c>
      <c r="AW141" s="511">
        <f t="shared" si="89"/>
        <v>0</v>
      </c>
      <c r="AX141" s="508">
        <f t="shared" si="81"/>
        <v>0</v>
      </c>
      <c r="AY141" s="512">
        <f t="shared" si="90"/>
        <v>0</v>
      </c>
      <c r="AZ141" s="513">
        <f t="shared" si="83"/>
        <v>4410</v>
      </c>
      <c r="BA141" s="508">
        <f t="shared" si="84"/>
        <v>3950.2</v>
      </c>
    </row>
    <row r="142" spans="1:53">
      <c r="A142" s="584" t="s">
        <v>142</v>
      </c>
      <c r="B142" s="582" t="s">
        <v>401</v>
      </c>
      <c r="C142" s="593"/>
      <c r="D142" s="578">
        <v>139773</v>
      </c>
      <c r="E142" s="589">
        <v>7</v>
      </c>
      <c r="F142" s="514" t="s">
        <v>41</v>
      </c>
      <c r="G142" s="515" t="s">
        <v>41</v>
      </c>
      <c r="H142" s="516"/>
      <c r="I142" s="519"/>
      <c r="J142" s="516">
        <v>87167</v>
      </c>
      <c r="K142" s="519">
        <f>79721+4492</f>
        <v>84213</v>
      </c>
      <c r="L142" s="516">
        <v>21559</v>
      </c>
      <c r="M142" s="519">
        <v>20148</v>
      </c>
      <c r="N142" s="516">
        <v>92855</v>
      </c>
      <c r="O142" s="519">
        <v>93808</v>
      </c>
      <c r="P142" s="506">
        <f t="shared" si="69"/>
        <v>201581</v>
      </c>
      <c r="Q142" s="507">
        <f t="shared" si="87"/>
        <v>6719.3666666666668</v>
      </c>
      <c r="R142" s="508">
        <f t="shared" si="71"/>
        <v>198169</v>
      </c>
      <c r="S142" s="509">
        <f t="shared" si="88"/>
        <v>6605.6333333333332</v>
      </c>
      <c r="T142" s="516">
        <v>11206</v>
      </c>
      <c r="U142" s="580">
        <v>2434</v>
      </c>
      <c r="V142" s="506">
        <f t="shared" si="85"/>
        <v>201581</v>
      </c>
      <c r="W142" s="510">
        <f t="shared" si="86"/>
        <v>198169</v>
      </c>
      <c r="X142" s="517"/>
      <c r="Y142" s="519"/>
      <c r="Z142" s="516"/>
      <c r="AA142" s="519"/>
      <c r="AB142" s="516"/>
      <c r="AC142" s="519"/>
      <c r="AD142" s="516"/>
      <c r="AE142" s="519"/>
      <c r="AF142" s="506">
        <f t="shared" si="73"/>
        <v>0</v>
      </c>
      <c r="AG142" s="507">
        <f t="shared" si="74"/>
        <v>0</v>
      </c>
      <c r="AH142" s="508">
        <f t="shared" si="75"/>
        <v>0</v>
      </c>
      <c r="AI142" s="508">
        <f t="shared" si="76"/>
        <v>0</v>
      </c>
      <c r="AJ142" s="516"/>
      <c r="AK142" s="519"/>
      <c r="AL142" s="506">
        <f t="shared" si="77"/>
        <v>0</v>
      </c>
      <c r="AM142" s="509">
        <f t="shared" si="78"/>
        <v>0</v>
      </c>
      <c r="AN142" s="518"/>
      <c r="AO142" s="520"/>
      <c r="AP142" s="516"/>
      <c r="AQ142" s="520"/>
      <c r="AR142" s="516"/>
      <c r="AS142" s="520"/>
      <c r="AT142" s="516"/>
      <c r="AU142" s="520"/>
      <c r="AV142" s="506">
        <f t="shared" si="79"/>
        <v>0</v>
      </c>
      <c r="AW142" s="511">
        <f t="shared" si="89"/>
        <v>0</v>
      </c>
      <c r="AX142" s="508">
        <f t="shared" si="81"/>
        <v>0</v>
      </c>
      <c r="AY142" s="512">
        <f t="shared" si="90"/>
        <v>0</v>
      </c>
      <c r="AZ142" s="513">
        <f t="shared" si="83"/>
        <v>6719.3666666666668</v>
      </c>
      <c r="BA142" s="508">
        <f t="shared" si="84"/>
        <v>6605.6333333333332</v>
      </c>
    </row>
    <row r="143" spans="1:53">
      <c r="A143" s="584" t="s">
        <v>142</v>
      </c>
      <c r="B143" s="581" t="s">
        <v>402</v>
      </c>
      <c r="C143" s="588"/>
      <c r="D143" s="578">
        <v>139968</v>
      </c>
      <c r="E143" s="591">
        <v>7</v>
      </c>
      <c r="F143" s="514" t="s">
        <v>41</v>
      </c>
      <c r="G143" s="515" t="s">
        <v>41</v>
      </c>
      <c r="H143" s="516"/>
      <c r="I143" s="519"/>
      <c r="J143" s="516">
        <v>56296</v>
      </c>
      <c r="K143" s="519">
        <v>48524</v>
      </c>
      <c r="L143" s="516">
        <v>9907</v>
      </c>
      <c r="M143" s="519">
        <v>6974</v>
      </c>
      <c r="N143" s="516">
        <v>54394</v>
      </c>
      <c r="O143" s="519">
        <v>48916</v>
      </c>
      <c r="P143" s="506">
        <f t="shared" si="69"/>
        <v>120597</v>
      </c>
      <c r="Q143" s="507">
        <f t="shared" si="87"/>
        <v>4019.9</v>
      </c>
      <c r="R143" s="508">
        <f t="shared" si="71"/>
        <v>104414</v>
      </c>
      <c r="S143" s="509">
        <f t="shared" si="88"/>
        <v>3480.4666666666667</v>
      </c>
      <c r="T143" s="516">
        <v>766</v>
      </c>
      <c r="U143" s="580">
        <v>991</v>
      </c>
      <c r="V143" s="506">
        <f t="shared" si="85"/>
        <v>120597</v>
      </c>
      <c r="W143" s="510">
        <f t="shared" si="86"/>
        <v>104414</v>
      </c>
      <c r="X143" s="517"/>
      <c r="Y143" s="519"/>
      <c r="Z143" s="516"/>
      <c r="AA143" s="519"/>
      <c r="AB143" s="516"/>
      <c r="AC143" s="519"/>
      <c r="AD143" s="516"/>
      <c r="AE143" s="519"/>
      <c r="AF143" s="506">
        <f t="shared" si="73"/>
        <v>0</v>
      </c>
      <c r="AG143" s="507">
        <f t="shared" si="74"/>
        <v>0</v>
      </c>
      <c r="AH143" s="508">
        <f t="shared" si="75"/>
        <v>0</v>
      </c>
      <c r="AI143" s="508">
        <f t="shared" si="76"/>
        <v>0</v>
      </c>
      <c r="AJ143" s="516"/>
      <c r="AK143" s="519"/>
      <c r="AL143" s="506">
        <f t="shared" si="77"/>
        <v>0</v>
      </c>
      <c r="AM143" s="509">
        <f t="shared" si="78"/>
        <v>0</v>
      </c>
      <c r="AN143" s="518"/>
      <c r="AO143" s="520"/>
      <c r="AP143" s="516"/>
      <c r="AQ143" s="520"/>
      <c r="AR143" s="516"/>
      <c r="AS143" s="520"/>
      <c r="AT143" s="516"/>
      <c r="AU143" s="520"/>
      <c r="AV143" s="506">
        <f t="shared" si="79"/>
        <v>0</v>
      </c>
      <c r="AW143" s="511">
        <f t="shared" si="89"/>
        <v>0</v>
      </c>
      <c r="AX143" s="508">
        <f t="shared" si="81"/>
        <v>0</v>
      </c>
      <c r="AY143" s="512">
        <f t="shared" si="90"/>
        <v>0</v>
      </c>
      <c r="AZ143" s="513">
        <f t="shared" si="83"/>
        <v>4019.9</v>
      </c>
      <c r="BA143" s="508">
        <f t="shared" si="84"/>
        <v>3480.4666666666667</v>
      </c>
    </row>
    <row r="144" spans="1:53">
      <c r="A144" s="584" t="s">
        <v>142</v>
      </c>
      <c r="B144" s="579" t="s">
        <v>403</v>
      </c>
      <c r="C144" s="593"/>
      <c r="D144" s="578">
        <v>244437</v>
      </c>
      <c r="E144" s="590">
        <v>8</v>
      </c>
      <c r="F144" s="514" t="s">
        <v>41</v>
      </c>
      <c r="G144" s="515" t="s">
        <v>41</v>
      </c>
      <c r="H144" s="516"/>
      <c r="I144" s="519"/>
      <c r="J144" s="516">
        <v>250419</v>
      </c>
      <c r="K144" s="519">
        <v>244704</v>
      </c>
      <c r="L144" s="516">
        <v>105024</v>
      </c>
      <c r="M144" s="519">
        <v>84352</v>
      </c>
      <c r="N144" s="516">
        <v>254794</v>
      </c>
      <c r="O144" s="519">
        <v>222399</v>
      </c>
      <c r="P144" s="506">
        <f t="shared" si="69"/>
        <v>610237</v>
      </c>
      <c r="Q144" s="507">
        <f t="shared" si="87"/>
        <v>20341.233333333334</v>
      </c>
      <c r="R144" s="508">
        <f t="shared" si="71"/>
        <v>551455</v>
      </c>
      <c r="S144" s="509">
        <f t="shared" si="88"/>
        <v>18381.833333333332</v>
      </c>
      <c r="T144" s="516">
        <v>772</v>
      </c>
      <c r="U144" s="580">
        <v>11740</v>
      </c>
      <c r="V144" s="506">
        <f t="shared" si="85"/>
        <v>610237</v>
      </c>
      <c r="W144" s="510">
        <f t="shared" si="86"/>
        <v>551455</v>
      </c>
      <c r="X144" s="517"/>
      <c r="Y144" s="519"/>
      <c r="Z144" s="516"/>
      <c r="AA144" s="519"/>
      <c r="AB144" s="516"/>
      <c r="AC144" s="519"/>
      <c r="AD144" s="516"/>
      <c r="AE144" s="519"/>
      <c r="AF144" s="506">
        <f t="shared" si="73"/>
        <v>0</v>
      </c>
      <c r="AG144" s="507">
        <f t="shared" si="74"/>
        <v>0</v>
      </c>
      <c r="AH144" s="508">
        <f t="shared" si="75"/>
        <v>0</v>
      </c>
      <c r="AI144" s="508">
        <f t="shared" si="76"/>
        <v>0</v>
      </c>
      <c r="AJ144" s="516"/>
      <c r="AK144" s="519"/>
      <c r="AL144" s="506">
        <f t="shared" si="77"/>
        <v>0</v>
      </c>
      <c r="AM144" s="509">
        <f t="shared" si="78"/>
        <v>0</v>
      </c>
      <c r="AN144" s="518"/>
      <c r="AO144" s="520"/>
      <c r="AP144" s="516"/>
      <c r="AQ144" s="520"/>
      <c r="AR144" s="516"/>
      <c r="AS144" s="520"/>
      <c r="AT144" s="516"/>
      <c r="AU144" s="520"/>
      <c r="AV144" s="506">
        <f t="shared" si="79"/>
        <v>0</v>
      </c>
      <c r="AW144" s="511">
        <f t="shared" si="89"/>
        <v>0</v>
      </c>
      <c r="AX144" s="508">
        <f t="shared" si="81"/>
        <v>0</v>
      </c>
      <c r="AY144" s="512">
        <f t="shared" si="90"/>
        <v>0</v>
      </c>
      <c r="AZ144" s="513">
        <f t="shared" si="83"/>
        <v>20341.233333333334</v>
      </c>
      <c r="BA144" s="508">
        <f t="shared" si="84"/>
        <v>18381.833333333332</v>
      </c>
    </row>
    <row r="145" spans="1:53">
      <c r="A145" s="584" t="s">
        <v>142</v>
      </c>
      <c r="B145" s="581" t="s">
        <v>404</v>
      </c>
      <c r="C145" s="593" t="s">
        <v>417</v>
      </c>
      <c r="D145" s="578">
        <v>138558</v>
      </c>
      <c r="E145" s="590">
        <v>9</v>
      </c>
      <c r="F145" s="514" t="s">
        <v>41</v>
      </c>
      <c r="G145" s="515" t="s">
        <v>41</v>
      </c>
      <c r="H145" s="516"/>
      <c r="I145" s="519"/>
      <c r="J145" s="516">
        <v>35443</v>
      </c>
      <c r="K145" s="519">
        <f>32259+1894</f>
        <v>34153</v>
      </c>
      <c r="L145" s="516">
        <v>8028</v>
      </c>
      <c r="M145" s="519">
        <v>6358</v>
      </c>
      <c r="N145" s="516">
        <v>37672</v>
      </c>
      <c r="O145" s="519">
        <v>37304</v>
      </c>
      <c r="P145" s="506">
        <f t="shared" si="69"/>
        <v>81143</v>
      </c>
      <c r="Q145" s="507">
        <f t="shared" si="87"/>
        <v>2704.7666666666669</v>
      </c>
      <c r="R145" s="508">
        <f t="shared" si="71"/>
        <v>77815</v>
      </c>
      <c r="S145" s="509">
        <f t="shared" si="88"/>
        <v>2593.8333333333335</v>
      </c>
      <c r="T145" s="516">
        <v>1241</v>
      </c>
      <c r="U145" s="580">
        <v>1661</v>
      </c>
      <c r="V145" s="506">
        <f t="shared" si="85"/>
        <v>81143</v>
      </c>
      <c r="W145" s="510">
        <f t="shared" si="86"/>
        <v>77815</v>
      </c>
      <c r="X145" s="517"/>
      <c r="Y145" s="519"/>
      <c r="Z145" s="516"/>
      <c r="AA145" s="519"/>
      <c r="AB145" s="516"/>
      <c r="AC145" s="519"/>
      <c r="AD145" s="516"/>
      <c r="AE145" s="519"/>
      <c r="AF145" s="506">
        <f t="shared" si="73"/>
        <v>0</v>
      </c>
      <c r="AG145" s="507">
        <f t="shared" si="74"/>
        <v>0</v>
      </c>
      <c r="AH145" s="508">
        <f t="shared" si="75"/>
        <v>0</v>
      </c>
      <c r="AI145" s="508">
        <f t="shared" si="76"/>
        <v>0</v>
      </c>
      <c r="AJ145" s="516"/>
      <c r="AK145" s="519"/>
      <c r="AL145" s="506">
        <f t="shared" si="77"/>
        <v>0</v>
      </c>
      <c r="AM145" s="509">
        <f t="shared" si="78"/>
        <v>0</v>
      </c>
      <c r="AN145" s="518"/>
      <c r="AO145" s="520"/>
      <c r="AP145" s="516"/>
      <c r="AQ145" s="520"/>
      <c r="AR145" s="516"/>
      <c r="AS145" s="520"/>
      <c r="AT145" s="516"/>
      <c r="AU145" s="520"/>
      <c r="AV145" s="506">
        <f t="shared" si="79"/>
        <v>0</v>
      </c>
      <c r="AW145" s="511">
        <f t="shared" si="89"/>
        <v>0</v>
      </c>
      <c r="AX145" s="508">
        <f t="shared" si="81"/>
        <v>0</v>
      </c>
      <c r="AY145" s="512">
        <f t="shared" si="90"/>
        <v>0</v>
      </c>
      <c r="AZ145" s="513">
        <f t="shared" si="83"/>
        <v>2704.7666666666669</v>
      </c>
      <c r="BA145" s="508">
        <f t="shared" si="84"/>
        <v>2593.8333333333335</v>
      </c>
    </row>
    <row r="146" spans="1:53">
      <c r="A146" s="584" t="s">
        <v>142</v>
      </c>
      <c r="B146" s="581" t="s">
        <v>405</v>
      </c>
      <c r="C146" s="588"/>
      <c r="D146" s="578">
        <v>138901</v>
      </c>
      <c r="E146" s="591">
        <v>9</v>
      </c>
      <c r="F146" s="514" t="s">
        <v>41</v>
      </c>
      <c r="G146" s="515" t="s">
        <v>41</v>
      </c>
      <c r="H146" s="516"/>
      <c r="I146" s="519"/>
      <c r="J146" s="516">
        <v>32533</v>
      </c>
      <c r="K146" s="519">
        <f>29462</f>
        <v>29462</v>
      </c>
      <c r="L146" s="516">
        <v>13582</v>
      </c>
      <c r="M146" s="519">
        <v>11490</v>
      </c>
      <c r="N146" s="516">
        <v>29816</v>
      </c>
      <c r="O146" s="519">
        <v>30154</v>
      </c>
      <c r="P146" s="506">
        <f t="shared" si="69"/>
        <v>75931</v>
      </c>
      <c r="Q146" s="507">
        <f t="shared" si="87"/>
        <v>2531.0333333333333</v>
      </c>
      <c r="R146" s="508">
        <f t="shared" si="71"/>
        <v>71106</v>
      </c>
      <c r="S146" s="509">
        <f t="shared" si="88"/>
        <v>2370.1999999999998</v>
      </c>
      <c r="T146" s="516">
        <v>300</v>
      </c>
      <c r="U146" s="580">
        <v>449</v>
      </c>
      <c r="V146" s="506">
        <f t="shared" si="85"/>
        <v>75931</v>
      </c>
      <c r="W146" s="510">
        <f t="shared" si="86"/>
        <v>71106</v>
      </c>
      <c r="X146" s="517"/>
      <c r="Y146" s="519"/>
      <c r="Z146" s="516"/>
      <c r="AA146" s="519"/>
      <c r="AB146" s="516"/>
      <c r="AC146" s="519"/>
      <c r="AD146" s="516"/>
      <c r="AE146" s="519"/>
      <c r="AF146" s="506">
        <f t="shared" si="73"/>
        <v>0</v>
      </c>
      <c r="AG146" s="507">
        <f t="shared" si="74"/>
        <v>0</v>
      </c>
      <c r="AH146" s="508">
        <f t="shared" si="75"/>
        <v>0</v>
      </c>
      <c r="AI146" s="508">
        <f t="shared" si="76"/>
        <v>0</v>
      </c>
      <c r="AJ146" s="516"/>
      <c r="AK146" s="519"/>
      <c r="AL146" s="506">
        <f t="shared" si="77"/>
        <v>0</v>
      </c>
      <c r="AM146" s="509">
        <f t="shared" si="78"/>
        <v>0</v>
      </c>
      <c r="AN146" s="518"/>
      <c r="AO146" s="520"/>
      <c r="AP146" s="516"/>
      <c r="AQ146" s="520"/>
      <c r="AR146" s="516"/>
      <c r="AS146" s="520"/>
      <c r="AT146" s="516"/>
      <c r="AU146" s="520"/>
      <c r="AV146" s="506">
        <f t="shared" si="79"/>
        <v>0</v>
      </c>
      <c r="AW146" s="511">
        <f t="shared" si="89"/>
        <v>0</v>
      </c>
      <c r="AX146" s="508">
        <f t="shared" si="81"/>
        <v>0</v>
      </c>
      <c r="AY146" s="512">
        <f t="shared" si="90"/>
        <v>0</v>
      </c>
      <c r="AZ146" s="513">
        <f t="shared" si="83"/>
        <v>2531.0333333333333</v>
      </c>
      <c r="BA146" s="508">
        <f t="shared" si="84"/>
        <v>2370.1999999999998</v>
      </c>
    </row>
    <row r="147" spans="1:53">
      <c r="A147" s="584" t="s">
        <v>142</v>
      </c>
      <c r="B147" s="579" t="s">
        <v>406</v>
      </c>
      <c r="C147" s="593"/>
      <c r="D147" s="578">
        <v>139010</v>
      </c>
      <c r="E147" s="590">
        <v>9</v>
      </c>
      <c r="F147" s="514" t="s">
        <v>41</v>
      </c>
      <c r="G147" s="515" t="s">
        <v>41</v>
      </c>
      <c r="H147" s="516"/>
      <c r="I147" s="519"/>
      <c r="J147" s="516">
        <v>39960</v>
      </c>
      <c r="K147" s="519">
        <v>38421</v>
      </c>
      <c r="L147" s="516">
        <v>23673</v>
      </c>
      <c r="M147" s="519">
        <v>17742</v>
      </c>
      <c r="N147" s="516">
        <v>39342</v>
      </c>
      <c r="O147" s="519">
        <v>30697</v>
      </c>
      <c r="P147" s="506">
        <f t="shared" si="69"/>
        <v>102975</v>
      </c>
      <c r="Q147" s="507">
        <f t="shared" si="87"/>
        <v>3432.5</v>
      </c>
      <c r="R147" s="508">
        <f t="shared" si="71"/>
        <v>86860</v>
      </c>
      <c r="S147" s="509">
        <f t="shared" si="88"/>
        <v>2895.3333333333335</v>
      </c>
      <c r="T147" s="516">
        <v>873</v>
      </c>
      <c r="U147" s="580">
        <v>1019</v>
      </c>
      <c r="V147" s="506">
        <f t="shared" si="85"/>
        <v>102975</v>
      </c>
      <c r="W147" s="510">
        <f t="shared" si="86"/>
        <v>86860</v>
      </c>
      <c r="X147" s="517"/>
      <c r="Y147" s="519"/>
      <c r="Z147" s="516"/>
      <c r="AA147" s="519"/>
      <c r="AB147" s="516"/>
      <c r="AC147" s="519"/>
      <c r="AD147" s="516"/>
      <c r="AE147" s="519"/>
      <c r="AF147" s="506">
        <f t="shared" si="73"/>
        <v>0</v>
      </c>
      <c r="AG147" s="507">
        <f t="shared" si="74"/>
        <v>0</v>
      </c>
      <c r="AH147" s="508">
        <f t="shared" si="75"/>
        <v>0</v>
      </c>
      <c r="AI147" s="508">
        <f t="shared" si="76"/>
        <v>0</v>
      </c>
      <c r="AJ147" s="516"/>
      <c r="AK147" s="519"/>
      <c r="AL147" s="506">
        <f t="shared" si="77"/>
        <v>0</v>
      </c>
      <c r="AM147" s="509">
        <f t="shared" si="78"/>
        <v>0</v>
      </c>
      <c r="AN147" s="518"/>
      <c r="AO147" s="520"/>
      <c r="AP147" s="516"/>
      <c r="AQ147" s="520"/>
      <c r="AR147" s="516"/>
      <c r="AS147" s="520"/>
      <c r="AT147" s="516"/>
      <c r="AU147" s="520"/>
      <c r="AV147" s="506">
        <f t="shared" si="79"/>
        <v>0</v>
      </c>
      <c r="AW147" s="511">
        <f t="shared" si="89"/>
        <v>0</v>
      </c>
      <c r="AX147" s="508">
        <f t="shared" si="81"/>
        <v>0</v>
      </c>
      <c r="AY147" s="512">
        <f t="shared" si="90"/>
        <v>0</v>
      </c>
      <c r="AZ147" s="513">
        <f t="shared" si="83"/>
        <v>3432.5</v>
      </c>
      <c r="BA147" s="508">
        <f t="shared" si="84"/>
        <v>2895.3333333333335</v>
      </c>
    </row>
    <row r="148" spans="1:53">
      <c r="A148" s="584" t="s">
        <v>142</v>
      </c>
      <c r="B148" s="583" t="s">
        <v>407</v>
      </c>
      <c r="C148" s="593" t="s">
        <v>417</v>
      </c>
      <c r="D148" s="578">
        <v>139250</v>
      </c>
      <c r="E148" s="592">
        <v>9</v>
      </c>
      <c r="F148" s="514" t="s">
        <v>41</v>
      </c>
      <c r="G148" s="515" t="s">
        <v>41</v>
      </c>
      <c r="H148" s="516"/>
      <c r="I148" s="519"/>
      <c r="J148" s="516">
        <v>34704</v>
      </c>
      <c r="K148" s="519">
        <f>28087+5186</f>
        <v>33273</v>
      </c>
      <c r="L148" s="516">
        <v>10136</v>
      </c>
      <c r="M148" s="519">
        <v>7116</v>
      </c>
      <c r="N148" s="516">
        <v>37459</v>
      </c>
      <c r="O148" s="519">
        <v>34158</v>
      </c>
      <c r="P148" s="506">
        <f t="shared" si="69"/>
        <v>82299</v>
      </c>
      <c r="Q148" s="507">
        <f t="shared" si="87"/>
        <v>2743.3</v>
      </c>
      <c r="R148" s="508">
        <f t="shared" si="71"/>
        <v>74547</v>
      </c>
      <c r="S148" s="509">
        <f t="shared" si="88"/>
        <v>2484.9</v>
      </c>
      <c r="T148" s="516">
        <v>907.5</v>
      </c>
      <c r="U148" s="580">
        <v>1449</v>
      </c>
      <c r="V148" s="506">
        <f t="shared" si="85"/>
        <v>82299</v>
      </c>
      <c r="W148" s="510">
        <f t="shared" si="86"/>
        <v>74547</v>
      </c>
      <c r="X148" s="517"/>
      <c r="Y148" s="519"/>
      <c r="Z148" s="516"/>
      <c r="AA148" s="519"/>
      <c r="AB148" s="516"/>
      <c r="AC148" s="519"/>
      <c r="AD148" s="516"/>
      <c r="AE148" s="519"/>
      <c r="AF148" s="506">
        <f t="shared" si="73"/>
        <v>0</v>
      </c>
      <c r="AG148" s="507">
        <f t="shared" si="74"/>
        <v>0</v>
      </c>
      <c r="AH148" s="508">
        <f t="shared" si="75"/>
        <v>0</v>
      </c>
      <c r="AI148" s="508">
        <f t="shared" si="76"/>
        <v>0</v>
      </c>
      <c r="AJ148" s="516"/>
      <c r="AK148" s="519"/>
      <c r="AL148" s="506">
        <f t="shared" si="77"/>
        <v>0</v>
      </c>
      <c r="AM148" s="509">
        <f t="shared" si="78"/>
        <v>0</v>
      </c>
      <c r="AN148" s="518"/>
      <c r="AO148" s="520"/>
      <c r="AP148" s="516"/>
      <c r="AQ148" s="520"/>
      <c r="AR148" s="516"/>
      <c r="AS148" s="520"/>
      <c r="AT148" s="516"/>
      <c r="AU148" s="520"/>
      <c r="AV148" s="506">
        <f t="shared" si="79"/>
        <v>0</v>
      </c>
      <c r="AW148" s="511">
        <f t="shared" si="89"/>
        <v>0</v>
      </c>
      <c r="AX148" s="508">
        <f t="shared" si="81"/>
        <v>0</v>
      </c>
      <c r="AY148" s="512">
        <f t="shared" si="90"/>
        <v>0</v>
      </c>
      <c r="AZ148" s="513">
        <f t="shared" si="83"/>
        <v>2743.3</v>
      </c>
      <c r="BA148" s="508">
        <f t="shared" si="84"/>
        <v>2484.9</v>
      </c>
    </row>
    <row r="149" spans="1:53">
      <c r="A149" s="584" t="s">
        <v>142</v>
      </c>
      <c r="B149" s="583" t="s">
        <v>408</v>
      </c>
      <c r="C149" s="593"/>
      <c r="D149" s="578">
        <v>138691</v>
      </c>
      <c r="E149" s="590">
        <v>9</v>
      </c>
      <c r="F149" s="514" t="s">
        <v>41</v>
      </c>
      <c r="G149" s="515" t="s">
        <v>41</v>
      </c>
      <c r="H149" s="516"/>
      <c r="I149" s="519"/>
      <c r="J149" s="516">
        <v>52377</v>
      </c>
      <c r="K149" s="519">
        <f>58391.5</f>
        <v>58391.5</v>
      </c>
      <c r="L149" s="516">
        <v>28811.5</v>
      </c>
      <c r="M149" s="519">
        <v>27357</v>
      </c>
      <c r="N149" s="516">
        <v>60674.5</v>
      </c>
      <c r="O149" s="519">
        <v>63513</v>
      </c>
      <c r="P149" s="506">
        <f t="shared" si="69"/>
        <v>141863</v>
      </c>
      <c r="Q149" s="507">
        <f t="shared" si="87"/>
        <v>4728.7666666666664</v>
      </c>
      <c r="R149" s="508">
        <f t="shared" si="71"/>
        <v>149261.5</v>
      </c>
      <c r="S149" s="509">
        <f t="shared" si="88"/>
        <v>4975.3833333333332</v>
      </c>
      <c r="T149" s="516">
        <v>1773</v>
      </c>
      <c r="U149" s="755">
        <v>992.5</v>
      </c>
      <c r="V149" s="506">
        <f t="shared" si="85"/>
        <v>141863</v>
      </c>
      <c r="W149" s="510">
        <f t="shared" si="86"/>
        <v>149261.5</v>
      </c>
      <c r="X149" s="517"/>
      <c r="Y149" s="519"/>
      <c r="Z149" s="516"/>
      <c r="AA149" s="519"/>
      <c r="AB149" s="516"/>
      <c r="AC149" s="519"/>
      <c r="AD149" s="516"/>
      <c r="AE149" s="519"/>
      <c r="AF149" s="506">
        <f t="shared" si="73"/>
        <v>0</v>
      </c>
      <c r="AG149" s="507">
        <f t="shared" si="74"/>
        <v>0</v>
      </c>
      <c r="AH149" s="508">
        <f t="shared" si="75"/>
        <v>0</v>
      </c>
      <c r="AI149" s="508">
        <f t="shared" si="76"/>
        <v>0</v>
      </c>
      <c r="AJ149" s="516"/>
      <c r="AK149" s="519"/>
      <c r="AL149" s="506">
        <f t="shared" si="77"/>
        <v>0</v>
      </c>
      <c r="AM149" s="509">
        <f t="shared" si="78"/>
        <v>0</v>
      </c>
      <c r="AN149" s="518"/>
      <c r="AO149" s="520"/>
      <c r="AP149" s="516"/>
      <c r="AQ149" s="520"/>
      <c r="AR149" s="516"/>
      <c r="AS149" s="520"/>
      <c r="AT149" s="516"/>
      <c r="AU149" s="520"/>
      <c r="AV149" s="506">
        <f t="shared" si="79"/>
        <v>0</v>
      </c>
      <c r="AW149" s="511">
        <f t="shared" si="89"/>
        <v>0</v>
      </c>
      <c r="AX149" s="508">
        <f t="shared" si="81"/>
        <v>0</v>
      </c>
      <c r="AY149" s="512">
        <f t="shared" si="90"/>
        <v>0</v>
      </c>
      <c r="AZ149" s="513">
        <f t="shared" si="83"/>
        <v>4728.7666666666664</v>
      </c>
      <c r="BA149" s="508">
        <f t="shared" si="84"/>
        <v>4975.3833333333332</v>
      </c>
    </row>
    <row r="150" spans="1:53">
      <c r="A150" s="584" t="s">
        <v>142</v>
      </c>
      <c r="B150" s="581" t="s">
        <v>409</v>
      </c>
      <c r="C150" s="588"/>
      <c r="D150" s="578">
        <v>139621</v>
      </c>
      <c r="E150" s="591">
        <v>9</v>
      </c>
      <c r="F150" s="514" t="s">
        <v>41</v>
      </c>
      <c r="G150" s="515" t="s">
        <v>41</v>
      </c>
      <c r="H150" s="516"/>
      <c r="I150" s="519"/>
      <c r="J150" s="516">
        <v>32742</v>
      </c>
      <c r="K150" s="519">
        <f>35314</f>
        <v>35314</v>
      </c>
      <c r="L150" s="516">
        <v>8505</v>
      </c>
      <c r="M150" s="519">
        <v>6147</v>
      </c>
      <c r="N150" s="516">
        <v>39921</v>
      </c>
      <c r="O150" s="519">
        <v>33696</v>
      </c>
      <c r="P150" s="506">
        <f t="shared" si="69"/>
        <v>81168</v>
      </c>
      <c r="Q150" s="507">
        <f t="shared" si="87"/>
        <v>2705.6</v>
      </c>
      <c r="R150" s="508">
        <f t="shared" si="71"/>
        <v>75157</v>
      </c>
      <c r="S150" s="509">
        <f t="shared" si="88"/>
        <v>2505.2333333333331</v>
      </c>
      <c r="T150" s="516">
        <v>427</v>
      </c>
      <c r="U150" s="755">
        <v>323</v>
      </c>
      <c r="V150" s="506">
        <f t="shared" si="85"/>
        <v>81168</v>
      </c>
      <c r="W150" s="510">
        <f t="shared" si="86"/>
        <v>75157</v>
      </c>
      <c r="X150" s="517"/>
      <c r="Y150" s="519"/>
      <c r="Z150" s="516"/>
      <c r="AA150" s="519"/>
      <c r="AB150" s="516"/>
      <c r="AC150" s="519"/>
      <c r="AD150" s="516"/>
      <c r="AE150" s="519"/>
      <c r="AF150" s="506">
        <f t="shared" si="73"/>
        <v>0</v>
      </c>
      <c r="AG150" s="507">
        <f t="shared" si="74"/>
        <v>0</v>
      </c>
      <c r="AH150" s="508">
        <f t="shared" si="75"/>
        <v>0</v>
      </c>
      <c r="AI150" s="508">
        <f t="shared" si="76"/>
        <v>0</v>
      </c>
      <c r="AJ150" s="516"/>
      <c r="AK150" s="519"/>
      <c r="AL150" s="506">
        <f t="shared" si="77"/>
        <v>0</v>
      </c>
      <c r="AM150" s="509">
        <f t="shared" si="78"/>
        <v>0</v>
      </c>
      <c r="AN150" s="518"/>
      <c r="AO150" s="520"/>
      <c r="AP150" s="516"/>
      <c r="AQ150" s="520"/>
      <c r="AR150" s="516"/>
      <c r="AS150" s="520"/>
      <c r="AT150" s="516"/>
      <c r="AU150" s="520"/>
      <c r="AV150" s="506">
        <f t="shared" si="79"/>
        <v>0</v>
      </c>
      <c r="AW150" s="511">
        <f t="shared" si="89"/>
        <v>0</v>
      </c>
      <c r="AX150" s="508">
        <f t="shared" si="81"/>
        <v>0</v>
      </c>
      <c r="AY150" s="512">
        <f t="shared" si="90"/>
        <v>0</v>
      </c>
      <c r="AZ150" s="513">
        <f t="shared" si="83"/>
        <v>2705.6</v>
      </c>
      <c r="BA150" s="508">
        <f t="shared" si="84"/>
        <v>2505.2333333333331</v>
      </c>
    </row>
    <row r="151" spans="1:53">
      <c r="A151" s="584" t="s">
        <v>142</v>
      </c>
      <c r="B151" s="579" t="s">
        <v>410</v>
      </c>
      <c r="C151" s="593"/>
      <c r="D151" s="578">
        <v>139700</v>
      </c>
      <c r="E151" s="592">
        <v>9</v>
      </c>
      <c r="F151" s="514" t="s">
        <v>41</v>
      </c>
      <c r="G151" s="515" t="s">
        <v>41</v>
      </c>
      <c r="H151" s="516"/>
      <c r="I151" s="519"/>
      <c r="J151" s="516">
        <v>54217</v>
      </c>
      <c r="K151" s="519">
        <v>55157</v>
      </c>
      <c r="L151" s="516">
        <v>14882</v>
      </c>
      <c r="M151" s="519">
        <v>13296</v>
      </c>
      <c r="N151" s="516">
        <v>57318</v>
      </c>
      <c r="O151" s="519">
        <v>56389</v>
      </c>
      <c r="P151" s="506">
        <f t="shared" si="69"/>
        <v>126417</v>
      </c>
      <c r="Q151" s="507">
        <f t="shared" si="87"/>
        <v>4213.8999999999996</v>
      </c>
      <c r="R151" s="508">
        <f t="shared" si="71"/>
        <v>124842</v>
      </c>
      <c r="S151" s="509">
        <f t="shared" si="88"/>
        <v>4161.3999999999996</v>
      </c>
      <c r="T151" s="516">
        <v>1083</v>
      </c>
      <c r="U151" s="755">
        <v>1585</v>
      </c>
      <c r="V151" s="506">
        <f t="shared" si="85"/>
        <v>126417</v>
      </c>
      <c r="W151" s="510">
        <f t="shared" si="86"/>
        <v>124842</v>
      </c>
      <c r="X151" s="517"/>
      <c r="Y151" s="519"/>
      <c r="Z151" s="516"/>
      <c r="AA151" s="519"/>
      <c r="AB151" s="516"/>
      <c r="AC151" s="519"/>
      <c r="AD151" s="516"/>
      <c r="AE151" s="519"/>
      <c r="AF151" s="506">
        <f t="shared" si="73"/>
        <v>0</v>
      </c>
      <c r="AG151" s="507">
        <f t="shared" si="74"/>
        <v>0</v>
      </c>
      <c r="AH151" s="508">
        <f t="shared" si="75"/>
        <v>0</v>
      </c>
      <c r="AI151" s="508">
        <f t="shared" si="76"/>
        <v>0</v>
      </c>
      <c r="AJ151" s="516"/>
      <c r="AK151" s="519"/>
      <c r="AL151" s="506">
        <f t="shared" si="77"/>
        <v>0</v>
      </c>
      <c r="AM151" s="509">
        <f t="shared" si="78"/>
        <v>0</v>
      </c>
      <c r="AN151" s="518"/>
      <c r="AO151" s="520"/>
      <c r="AP151" s="516"/>
      <c r="AQ151" s="520"/>
      <c r="AR151" s="516"/>
      <c r="AS151" s="520"/>
      <c r="AT151" s="516"/>
      <c r="AU151" s="520"/>
      <c r="AV151" s="506">
        <f t="shared" si="79"/>
        <v>0</v>
      </c>
      <c r="AW151" s="511">
        <f t="shared" si="89"/>
        <v>0</v>
      </c>
      <c r="AX151" s="508">
        <f t="shared" si="81"/>
        <v>0</v>
      </c>
      <c r="AY151" s="512">
        <f t="shared" si="90"/>
        <v>0</v>
      </c>
      <c r="AZ151" s="513">
        <f t="shared" si="83"/>
        <v>4213.8999999999996</v>
      </c>
      <c r="BA151" s="508">
        <f t="shared" si="84"/>
        <v>4161.3999999999996</v>
      </c>
    </row>
    <row r="152" spans="1:53">
      <c r="A152" s="584" t="s">
        <v>142</v>
      </c>
      <c r="B152" s="579" t="s">
        <v>411</v>
      </c>
      <c r="C152" s="593" t="s">
        <v>417</v>
      </c>
      <c r="D152" s="578">
        <v>140483</v>
      </c>
      <c r="E152" s="590">
        <v>9</v>
      </c>
      <c r="F152" s="514" t="s">
        <v>41</v>
      </c>
      <c r="G152" s="515" t="s">
        <v>41</v>
      </c>
      <c r="H152" s="516"/>
      <c r="I152" s="519"/>
      <c r="J152" s="516">
        <v>39534</v>
      </c>
      <c r="K152" s="519">
        <v>34734</v>
      </c>
      <c r="L152" s="516">
        <v>12649</v>
      </c>
      <c r="M152" s="519">
        <v>9176</v>
      </c>
      <c r="N152" s="516">
        <v>40079</v>
      </c>
      <c r="O152" s="519">
        <f>34388+1682</f>
        <v>36070</v>
      </c>
      <c r="P152" s="506">
        <f t="shared" si="69"/>
        <v>92262</v>
      </c>
      <c r="Q152" s="507">
        <f t="shared" si="87"/>
        <v>3075.4</v>
      </c>
      <c r="R152" s="508">
        <f t="shared" si="71"/>
        <v>79980</v>
      </c>
      <c r="S152" s="509">
        <f t="shared" si="88"/>
        <v>2666</v>
      </c>
      <c r="T152" s="516">
        <v>3334</v>
      </c>
      <c r="U152" s="755">
        <v>3574</v>
      </c>
      <c r="V152" s="506">
        <f t="shared" si="85"/>
        <v>92262</v>
      </c>
      <c r="W152" s="510">
        <f t="shared" si="86"/>
        <v>79980</v>
      </c>
      <c r="X152" s="517"/>
      <c r="Y152" s="519"/>
      <c r="Z152" s="516"/>
      <c r="AA152" s="519"/>
      <c r="AB152" s="516"/>
      <c r="AC152" s="519"/>
      <c r="AD152" s="516"/>
      <c r="AE152" s="519"/>
      <c r="AF152" s="506">
        <f t="shared" si="73"/>
        <v>0</v>
      </c>
      <c r="AG152" s="507">
        <f t="shared" si="74"/>
        <v>0</v>
      </c>
      <c r="AH152" s="508">
        <f t="shared" si="75"/>
        <v>0</v>
      </c>
      <c r="AI152" s="508">
        <f t="shared" si="76"/>
        <v>0</v>
      </c>
      <c r="AJ152" s="516"/>
      <c r="AK152" s="519"/>
      <c r="AL152" s="506">
        <f t="shared" si="77"/>
        <v>0</v>
      </c>
      <c r="AM152" s="509">
        <f t="shared" si="78"/>
        <v>0</v>
      </c>
      <c r="AN152" s="518"/>
      <c r="AO152" s="520"/>
      <c r="AP152" s="516"/>
      <c r="AQ152" s="520"/>
      <c r="AR152" s="516"/>
      <c r="AS152" s="520"/>
      <c r="AT152" s="516"/>
      <c r="AU152" s="520"/>
      <c r="AV152" s="506">
        <f t="shared" si="79"/>
        <v>0</v>
      </c>
      <c r="AW152" s="511">
        <f t="shared" si="89"/>
        <v>0</v>
      </c>
      <c r="AX152" s="508">
        <f t="shared" si="81"/>
        <v>0</v>
      </c>
      <c r="AY152" s="512">
        <f t="shared" si="90"/>
        <v>0</v>
      </c>
      <c r="AZ152" s="513">
        <f t="shared" si="83"/>
        <v>3075.4</v>
      </c>
      <c r="BA152" s="508">
        <f t="shared" si="84"/>
        <v>2666</v>
      </c>
    </row>
    <row r="153" spans="1:53">
      <c r="A153" s="584" t="s">
        <v>142</v>
      </c>
      <c r="B153" s="579" t="s">
        <v>412</v>
      </c>
      <c r="C153" s="593"/>
      <c r="D153" s="578">
        <v>140997</v>
      </c>
      <c r="E153" s="590">
        <v>10</v>
      </c>
      <c r="F153" s="514" t="s">
        <v>41</v>
      </c>
      <c r="G153" s="515" t="s">
        <v>41</v>
      </c>
      <c r="H153" s="516"/>
      <c r="I153" s="519"/>
      <c r="J153" s="516">
        <v>23745</v>
      </c>
      <c r="K153" s="519">
        <v>25533</v>
      </c>
      <c r="L153" s="516">
        <v>7156</v>
      </c>
      <c r="M153" s="519">
        <v>5554</v>
      </c>
      <c r="N153" s="516">
        <v>27869</v>
      </c>
      <c r="O153" s="519">
        <v>27704</v>
      </c>
      <c r="P153" s="506">
        <f t="shared" si="69"/>
        <v>58770</v>
      </c>
      <c r="Q153" s="507">
        <f t="shared" si="87"/>
        <v>1959</v>
      </c>
      <c r="R153" s="508">
        <f t="shared" si="71"/>
        <v>58791</v>
      </c>
      <c r="S153" s="509">
        <f t="shared" si="88"/>
        <v>1959.7</v>
      </c>
      <c r="T153" s="516">
        <v>472</v>
      </c>
      <c r="U153" s="755">
        <v>676</v>
      </c>
      <c r="V153" s="506">
        <f t="shared" si="85"/>
        <v>58770</v>
      </c>
      <c r="W153" s="510">
        <f t="shared" si="86"/>
        <v>58791</v>
      </c>
      <c r="X153" s="517"/>
      <c r="Y153" s="519"/>
      <c r="Z153" s="516"/>
      <c r="AA153" s="519"/>
      <c r="AB153" s="516"/>
      <c r="AC153" s="519"/>
      <c r="AD153" s="516"/>
      <c r="AE153" s="519"/>
      <c r="AF153" s="506">
        <f t="shared" si="73"/>
        <v>0</v>
      </c>
      <c r="AG153" s="507">
        <f t="shared" si="74"/>
        <v>0</v>
      </c>
      <c r="AH153" s="508">
        <f t="shared" si="75"/>
        <v>0</v>
      </c>
      <c r="AI153" s="508">
        <f t="shared" si="76"/>
        <v>0</v>
      </c>
      <c r="AJ153" s="516"/>
      <c r="AK153" s="519"/>
      <c r="AL153" s="506">
        <f t="shared" si="77"/>
        <v>0</v>
      </c>
      <c r="AM153" s="509">
        <f t="shared" si="78"/>
        <v>0</v>
      </c>
      <c r="AN153" s="518"/>
      <c r="AO153" s="520"/>
      <c r="AP153" s="516"/>
      <c r="AQ153" s="520"/>
      <c r="AR153" s="516"/>
      <c r="AS153" s="520"/>
      <c r="AT153" s="516"/>
      <c r="AU153" s="520"/>
      <c r="AV153" s="506">
        <f t="shared" si="79"/>
        <v>0</v>
      </c>
      <c r="AW153" s="511">
        <f t="shared" si="89"/>
        <v>0</v>
      </c>
      <c r="AX153" s="508">
        <f t="shared" si="81"/>
        <v>0</v>
      </c>
      <c r="AY153" s="512">
        <f t="shared" si="90"/>
        <v>0</v>
      </c>
      <c r="AZ153" s="513">
        <f t="shared" si="83"/>
        <v>1959</v>
      </c>
      <c r="BA153" s="508">
        <f t="shared" si="84"/>
        <v>1959.7</v>
      </c>
    </row>
    <row r="154" spans="1:53">
      <c r="A154" s="584" t="s">
        <v>142</v>
      </c>
      <c r="B154" s="579" t="s">
        <v>413</v>
      </c>
      <c r="C154" s="593"/>
      <c r="D154" s="578">
        <v>141307</v>
      </c>
      <c r="E154" s="590">
        <v>10</v>
      </c>
      <c r="F154" s="514" t="s">
        <v>41</v>
      </c>
      <c r="G154" s="515" t="s">
        <v>41</v>
      </c>
      <c r="H154" s="516"/>
      <c r="I154" s="519"/>
      <c r="J154" s="516">
        <v>10389</v>
      </c>
      <c r="K154" s="519">
        <v>9420</v>
      </c>
      <c r="L154" s="516">
        <v>3317</v>
      </c>
      <c r="M154" s="519">
        <v>2565</v>
      </c>
      <c r="N154" s="516">
        <v>9159</v>
      </c>
      <c r="O154" s="519">
        <v>8077</v>
      </c>
      <c r="P154" s="506">
        <f t="shared" si="69"/>
        <v>22865</v>
      </c>
      <c r="Q154" s="507">
        <f t="shared" si="87"/>
        <v>762.16666666666663</v>
      </c>
      <c r="R154" s="508">
        <f t="shared" si="71"/>
        <v>20062</v>
      </c>
      <c r="S154" s="509">
        <f t="shared" si="88"/>
        <v>668.73333333333335</v>
      </c>
      <c r="T154" s="516">
        <v>1091</v>
      </c>
      <c r="U154" s="755">
        <v>1477</v>
      </c>
      <c r="V154" s="506">
        <f t="shared" si="85"/>
        <v>22865</v>
      </c>
      <c r="W154" s="510">
        <f t="shared" si="86"/>
        <v>20062</v>
      </c>
      <c r="X154" s="517"/>
      <c r="Y154" s="519"/>
      <c r="Z154" s="516"/>
      <c r="AA154" s="519"/>
      <c r="AB154" s="516"/>
      <c r="AC154" s="519"/>
      <c r="AD154" s="516"/>
      <c r="AE154" s="519"/>
      <c r="AF154" s="506">
        <f t="shared" si="73"/>
        <v>0</v>
      </c>
      <c r="AG154" s="507">
        <f t="shared" si="74"/>
        <v>0</v>
      </c>
      <c r="AH154" s="508">
        <f t="shared" si="75"/>
        <v>0</v>
      </c>
      <c r="AI154" s="508">
        <f t="shared" si="76"/>
        <v>0</v>
      </c>
      <c r="AJ154" s="516"/>
      <c r="AK154" s="519"/>
      <c r="AL154" s="506">
        <f t="shared" si="77"/>
        <v>0</v>
      </c>
      <c r="AM154" s="509">
        <f t="shared" si="78"/>
        <v>0</v>
      </c>
      <c r="AN154" s="518"/>
      <c r="AO154" s="520"/>
      <c r="AP154" s="516"/>
      <c r="AQ154" s="520"/>
      <c r="AR154" s="516"/>
      <c r="AS154" s="520"/>
      <c r="AT154" s="516"/>
      <c r="AU154" s="520"/>
      <c r="AV154" s="506">
        <f t="shared" si="79"/>
        <v>0</v>
      </c>
      <c r="AW154" s="511">
        <f t="shared" si="89"/>
        <v>0</v>
      </c>
      <c r="AX154" s="508">
        <f t="shared" si="81"/>
        <v>0</v>
      </c>
      <c r="AY154" s="512">
        <f t="shared" si="90"/>
        <v>0</v>
      </c>
      <c r="AZ154" s="513">
        <f t="shared" si="83"/>
        <v>762.16666666666663</v>
      </c>
      <c r="BA154" s="508">
        <f t="shared" si="84"/>
        <v>668.73333333333335</v>
      </c>
    </row>
    <row r="155" spans="1:53">
      <c r="A155" s="502" t="s">
        <v>142</v>
      </c>
      <c r="B155" s="487" t="s">
        <v>204</v>
      </c>
      <c r="C155" s="531"/>
      <c r="D155" s="489">
        <v>138682</v>
      </c>
      <c r="E155" s="490">
        <v>12</v>
      </c>
      <c r="F155" s="514" t="s">
        <v>41</v>
      </c>
      <c r="G155" s="515" t="s">
        <v>41</v>
      </c>
      <c r="H155" s="516">
        <v>37569.199999999997</v>
      </c>
      <c r="I155" s="519"/>
      <c r="J155" s="516">
        <v>35802.5</v>
      </c>
      <c r="K155" s="519">
        <v>46658</v>
      </c>
      <c r="L155" s="516">
        <v>32995</v>
      </c>
      <c r="M155" s="519">
        <v>31614</v>
      </c>
      <c r="N155" s="516">
        <v>51561</v>
      </c>
      <c r="O155" s="519">
        <v>42038</v>
      </c>
      <c r="P155" s="506">
        <f t="shared" si="69"/>
        <v>157927.70000000001</v>
      </c>
      <c r="Q155" s="507">
        <f t="shared" si="87"/>
        <v>5264.2566666666671</v>
      </c>
      <c r="R155" s="508">
        <f t="shared" si="71"/>
        <v>120310</v>
      </c>
      <c r="S155" s="509">
        <f t="shared" si="88"/>
        <v>4010.3333333333335</v>
      </c>
      <c r="T155" s="516">
        <v>323</v>
      </c>
      <c r="U155" s="519">
        <v>691</v>
      </c>
      <c r="V155" s="506">
        <f t="shared" si="85"/>
        <v>157927.70000000001</v>
      </c>
      <c r="W155" s="510">
        <f t="shared" si="86"/>
        <v>120310</v>
      </c>
      <c r="X155" s="517"/>
      <c r="Y155" s="519"/>
      <c r="Z155" s="516"/>
      <c r="AA155" s="519"/>
      <c r="AB155" s="516"/>
      <c r="AC155" s="519"/>
      <c r="AD155" s="516"/>
      <c r="AE155" s="519"/>
      <c r="AF155" s="506">
        <f t="shared" si="73"/>
        <v>0</v>
      </c>
      <c r="AG155" s="507">
        <f t="shared" si="74"/>
        <v>0</v>
      </c>
      <c r="AH155" s="508">
        <f t="shared" si="75"/>
        <v>0</v>
      </c>
      <c r="AI155" s="508">
        <f t="shared" si="76"/>
        <v>0</v>
      </c>
      <c r="AJ155" s="516"/>
      <c r="AK155" s="519"/>
      <c r="AL155" s="506">
        <f t="shared" si="77"/>
        <v>0</v>
      </c>
      <c r="AM155" s="509">
        <f t="shared" si="78"/>
        <v>0</v>
      </c>
      <c r="AN155" s="518"/>
      <c r="AO155" s="520"/>
      <c r="AP155" s="516"/>
      <c r="AQ155" s="520"/>
      <c r="AR155" s="516"/>
      <c r="AS155" s="520"/>
      <c r="AT155" s="516"/>
      <c r="AU155" s="520"/>
      <c r="AV155" s="506">
        <f t="shared" si="79"/>
        <v>0</v>
      </c>
      <c r="AW155" s="511">
        <f t="shared" si="89"/>
        <v>0</v>
      </c>
      <c r="AX155" s="508">
        <f t="shared" si="81"/>
        <v>0</v>
      </c>
      <c r="AY155" s="512">
        <f t="shared" si="90"/>
        <v>0</v>
      </c>
      <c r="AZ155" s="513">
        <f t="shared" si="83"/>
        <v>5264.2566666666671</v>
      </c>
      <c r="BA155" s="508">
        <f t="shared" si="84"/>
        <v>4010.3333333333335</v>
      </c>
    </row>
    <row r="156" spans="1:53">
      <c r="A156" s="498" t="s">
        <v>142</v>
      </c>
      <c r="B156" s="499" t="s">
        <v>205</v>
      </c>
      <c r="C156" s="531"/>
      <c r="D156" s="500">
        <v>366447</v>
      </c>
      <c r="E156" s="542">
        <v>12</v>
      </c>
      <c r="F156" s="514" t="s">
        <v>41</v>
      </c>
      <c r="G156" s="515" t="s">
        <v>41</v>
      </c>
      <c r="H156" s="516">
        <v>10602.2</v>
      </c>
      <c r="I156" s="519"/>
      <c r="J156" s="516">
        <v>10098.200000000001</v>
      </c>
      <c r="K156" s="519">
        <v>13256</v>
      </c>
      <c r="L156" s="516">
        <v>3622.2</v>
      </c>
      <c r="M156" s="519">
        <v>8121</v>
      </c>
      <c r="N156" s="516">
        <v>12784</v>
      </c>
      <c r="O156" s="519">
        <v>12799</v>
      </c>
      <c r="P156" s="506">
        <f t="shared" si="69"/>
        <v>37106.600000000006</v>
      </c>
      <c r="Q156" s="507">
        <f t="shared" si="87"/>
        <v>1236.8866666666668</v>
      </c>
      <c r="R156" s="508">
        <f t="shared" si="71"/>
        <v>34176</v>
      </c>
      <c r="S156" s="509">
        <f t="shared" si="88"/>
        <v>1139.2</v>
      </c>
      <c r="T156" s="516">
        <v>1507.1</v>
      </c>
      <c r="U156" s="519">
        <v>1618</v>
      </c>
      <c r="V156" s="506">
        <f t="shared" si="85"/>
        <v>37106.600000000006</v>
      </c>
      <c r="W156" s="510">
        <f t="shared" si="86"/>
        <v>34176</v>
      </c>
      <c r="X156" s="517"/>
      <c r="Y156" s="519"/>
      <c r="Z156" s="516"/>
      <c r="AA156" s="519"/>
      <c r="AB156" s="516"/>
      <c r="AC156" s="519"/>
      <c r="AD156" s="516"/>
      <c r="AE156" s="519"/>
      <c r="AF156" s="506">
        <f t="shared" si="73"/>
        <v>0</v>
      </c>
      <c r="AG156" s="507">
        <f t="shared" si="74"/>
        <v>0</v>
      </c>
      <c r="AH156" s="508">
        <f t="shared" si="75"/>
        <v>0</v>
      </c>
      <c r="AI156" s="508">
        <f t="shared" si="76"/>
        <v>0</v>
      </c>
      <c r="AJ156" s="516"/>
      <c r="AK156" s="519"/>
      <c r="AL156" s="506">
        <f t="shared" si="77"/>
        <v>0</v>
      </c>
      <c r="AM156" s="509">
        <f t="shared" si="78"/>
        <v>0</v>
      </c>
      <c r="AN156" s="518"/>
      <c r="AO156" s="520"/>
      <c r="AP156" s="516"/>
      <c r="AQ156" s="520"/>
      <c r="AR156" s="516"/>
      <c r="AS156" s="520"/>
      <c r="AT156" s="516"/>
      <c r="AU156" s="520"/>
      <c r="AV156" s="506">
        <f t="shared" si="79"/>
        <v>0</v>
      </c>
      <c r="AW156" s="511">
        <f t="shared" si="89"/>
        <v>0</v>
      </c>
      <c r="AX156" s="508">
        <f t="shared" si="81"/>
        <v>0</v>
      </c>
      <c r="AY156" s="512">
        <f t="shared" si="90"/>
        <v>0</v>
      </c>
      <c r="AZ156" s="513">
        <f t="shared" si="83"/>
        <v>1236.8866666666668</v>
      </c>
      <c r="BA156" s="508">
        <f t="shared" si="84"/>
        <v>1139.2</v>
      </c>
    </row>
    <row r="157" spans="1:53">
      <c r="A157" s="502" t="s">
        <v>142</v>
      </c>
      <c r="B157" s="487" t="s">
        <v>206</v>
      </c>
      <c r="C157" s="531"/>
      <c r="D157" s="489">
        <v>246813</v>
      </c>
      <c r="E157" s="490">
        <v>12</v>
      </c>
      <c r="F157" s="514" t="s">
        <v>41</v>
      </c>
      <c r="G157" s="515" t="s">
        <v>41</v>
      </c>
      <c r="H157" s="516">
        <v>36279.1</v>
      </c>
      <c r="I157" s="519"/>
      <c r="J157" s="516">
        <v>33147</v>
      </c>
      <c r="K157" s="519">
        <v>39077</v>
      </c>
      <c r="L157" s="516">
        <v>12104.6</v>
      </c>
      <c r="M157" s="519">
        <v>19011</v>
      </c>
      <c r="N157" s="516">
        <v>43959</v>
      </c>
      <c r="O157" s="519">
        <v>40269</v>
      </c>
      <c r="P157" s="506">
        <f t="shared" si="69"/>
        <v>125489.70000000001</v>
      </c>
      <c r="Q157" s="507">
        <f t="shared" si="87"/>
        <v>4182.9900000000007</v>
      </c>
      <c r="R157" s="508">
        <f t="shared" si="71"/>
        <v>98357</v>
      </c>
      <c r="S157" s="509">
        <f t="shared" si="88"/>
        <v>3278.5666666666666</v>
      </c>
      <c r="T157" s="516">
        <v>962</v>
      </c>
      <c r="U157" s="519">
        <v>1795</v>
      </c>
      <c r="V157" s="506">
        <f t="shared" si="85"/>
        <v>125489.70000000001</v>
      </c>
      <c r="W157" s="510">
        <f t="shared" si="86"/>
        <v>98357</v>
      </c>
      <c r="X157" s="517"/>
      <c r="Y157" s="519"/>
      <c r="Z157" s="516"/>
      <c r="AA157" s="519"/>
      <c r="AB157" s="516"/>
      <c r="AC157" s="519"/>
      <c r="AD157" s="516"/>
      <c r="AE157" s="519"/>
      <c r="AF157" s="506">
        <f t="shared" si="73"/>
        <v>0</v>
      </c>
      <c r="AG157" s="507">
        <f t="shared" si="74"/>
        <v>0</v>
      </c>
      <c r="AH157" s="508">
        <f t="shared" si="75"/>
        <v>0</v>
      </c>
      <c r="AI157" s="508">
        <f t="shared" si="76"/>
        <v>0</v>
      </c>
      <c r="AJ157" s="516"/>
      <c r="AK157" s="519"/>
      <c r="AL157" s="506">
        <f t="shared" si="77"/>
        <v>0</v>
      </c>
      <c r="AM157" s="509">
        <f t="shared" si="78"/>
        <v>0</v>
      </c>
      <c r="AN157" s="518"/>
      <c r="AO157" s="520"/>
      <c r="AP157" s="516"/>
      <c r="AQ157" s="520"/>
      <c r="AR157" s="516"/>
      <c r="AS157" s="520"/>
      <c r="AT157" s="516"/>
      <c r="AU157" s="520"/>
      <c r="AV157" s="506">
        <f t="shared" si="79"/>
        <v>0</v>
      </c>
      <c r="AW157" s="511">
        <f t="shared" si="89"/>
        <v>0</v>
      </c>
      <c r="AX157" s="508">
        <f t="shared" si="81"/>
        <v>0</v>
      </c>
      <c r="AY157" s="512">
        <f t="shared" si="90"/>
        <v>0</v>
      </c>
      <c r="AZ157" s="513">
        <f t="shared" si="83"/>
        <v>4182.9900000000007</v>
      </c>
      <c r="BA157" s="508">
        <f t="shared" si="84"/>
        <v>3278.5666666666666</v>
      </c>
    </row>
    <row r="158" spans="1:53">
      <c r="A158" s="502" t="s">
        <v>142</v>
      </c>
      <c r="B158" s="487" t="s">
        <v>207</v>
      </c>
      <c r="C158" s="531"/>
      <c r="D158" s="489">
        <v>138840</v>
      </c>
      <c r="E158" s="490">
        <v>12</v>
      </c>
      <c r="F158" s="514" t="s">
        <v>41</v>
      </c>
      <c r="G158" s="515" t="s">
        <v>41</v>
      </c>
      <c r="H158" s="516">
        <v>36866.5</v>
      </c>
      <c r="I158" s="519"/>
      <c r="J158" s="516">
        <v>36451.199999999997</v>
      </c>
      <c r="K158" s="519">
        <v>41643</v>
      </c>
      <c r="L158" s="516">
        <v>25381.9</v>
      </c>
      <c r="M158" s="519">
        <v>30304</v>
      </c>
      <c r="N158" s="516">
        <v>40562</v>
      </c>
      <c r="O158" s="519">
        <v>46356</v>
      </c>
      <c r="P158" s="506">
        <f t="shared" si="69"/>
        <v>139261.6</v>
      </c>
      <c r="Q158" s="507">
        <f t="shared" si="87"/>
        <v>4642.0533333333333</v>
      </c>
      <c r="R158" s="508">
        <f t="shared" si="71"/>
        <v>118303</v>
      </c>
      <c r="S158" s="509">
        <f t="shared" si="88"/>
        <v>3943.4333333333334</v>
      </c>
      <c r="T158" s="516">
        <v>1877.3</v>
      </c>
      <c r="U158" s="519">
        <v>2772</v>
      </c>
      <c r="V158" s="506">
        <f t="shared" si="85"/>
        <v>139261.6</v>
      </c>
      <c r="W158" s="510">
        <f t="shared" si="86"/>
        <v>118303</v>
      </c>
      <c r="X158" s="517"/>
      <c r="Y158" s="519"/>
      <c r="Z158" s="516"/>
      <c r="AA158" s="519"/>
      <c r="AB158" s="516"/>
      <c r="AC158" s="519"/>
      <c r="AD158" s="516"/>
      <c r="AE158" s="519"/>
      <c r="AF158" s="506">
        <f t="shared" si="73"/>
        <v>0</v>
      </c>
      <c r="AG158" s="507">
        <f t="shared" si="74"/>
        <v>0</v>
      </c>
      <c r="AH158" s="508">
        <f t="shared" si="75"/>
        <v>0</v>
      </c>
      <c r="AI158" s="508">
        <f t="shared" si="76"/>
        <v>0</v>
      </c>
      <c r="AJ158" s="516"/>
      <c r="AK158" s="519"/>
      <c r="AL158" s="506">
        <f t="shared" si="77"/>
        <v>0</v>
      </c>
      <c r="AM158" s="509">
        <f t="shared" si="78"/>
        <v>0</v>
      </c>
      <c r="AN158" s="518"/>
      <c r="AO158" s="520"/>
      <c r="AP158" s="516"/>
      <c r="AQ158" s="520"/>
      <c r="AR158" s="516"/>
      <c r="AS158" s="520"/>
      <c r="AT158" s="516"/>
      <c r="AU158" s="520"/>
      <c r="AV158" s="506">
        <f t="shared" si="79"/>
        <v>0</v>
      </c>
      <c r="AW158" s="511">
        <f t="shared" si="89"/>
        <v>0</v>
      </c>
      <c r="AX158" s="508">
        <f t="shared" si="81"/>
        <v>0</v>
      </c>
      <c r="AY158" s="512">
        <f t="shared" si="90"/>
        <v>0</v>
      </c>
      <c r="AZ158" s="513">
        <f t="shared" si="83"/>
        <v>4642.0533333333333</v>
      </c>
      <c r="BA158" s="508">
        <f t="shared" si="84"/>
        <v>3943.4333333333334</v>
      </c>
    </row>
    <row r="159" spans="1:53">
      <c r="A159" s="502" t="s">
        <v>142</v>
      </c>
      <c r="B159" s="487" t="s">
        <v>208</v>
      </c>
      <c r="C159" s="531"/>
      <c r="D159" s="489">
        <v>138956</v>
      </c>
      <c r="E159" s="490">
        <v>12</v>
      </c>
      <c r="F159" s="514" t="s">
        <v>41</v>
      </c>
      <c r="G159" s="515" t="s">
        <v>41</v>
      </c>
      <c r="H159" s="516">
        <v>33722.400000000001</v>
      </c>
      <c r="I159" s="519"/>
      <c r="J159" s="516">
        <v>31324.2</v>
      </c>
      <c r="K159" s="519">
        <v>39919</v>
      </c>
      <c r="L159" s="516">
        <v>12452.6</v>
      </c>
      <c r="M159" s="519">
        <v>23353</v>
      </c>
      <c r="N159" s="516">
        <v>41669</v>
      </c>
      <c r="O159" s="519">
        <v>40395</v>
      </c>
      <c r="P159" s="506">
        <f t="shared" si="69"/>
        <v>119168.20000000001</v>
      </c>
      <c r="Q159" s="507">
        <f t="shared" si="87"/>
        <v>3972.2733333333335</v>
      </c>
      <c r="R159" s="508">
        <f t="shared" si="71"/>
        <v>103667</v>
      </c>
      <c r="S159" s="509">
        <f t="shared" si="88"/>
        <v>3455.5666666666666</v>
      </c>
      <c r="T159" s="516">
        <v>1048.0999999999999</v>
      </c>
      <c r="U159" s="519">
        <v>717</v>
      </c>
      <c r="V159" s="506">
        <f t="shared" si="85"/>
        <v>119168.20000000001</v>
      </c>
      <c r="W159" s="510">
        <f t="shared" si="86"/>
        <v>103667</v>
      </c>
      <c r="X159" s="517"/>
      <c r="Y159" s="519"/>
      <c r="Z159" s="516"/>
      <c r="AA159" s="519"/>
      <c r="AB159" s="516"/>
      <c r="AC159" s="519"/>
      <c r="AD159" s="516"/>
      <c r="AE159" s="519"/>
      <c r="AF159" s="506">
        <f t="shared" si="73"/>
        <v>0</v>
      </c>
      <c r="AG159" s="507">
        <f t="shared" si="74"/>
        <v>0</v>
      </c>
      <c r="AH159" s="508">
        <f t="shared" si="75"/>
        <v>0</v>
      </c>
      <c r="AI159" s="508">
        <f t="shared" si="76"/>
        <v>0</v>
      </c>
      <c r="AJ159" s="516"/>
      <c r="AK159" s="519"/>
      <c r="AL159" s="506">
        <f t="shared" si="77"/>
        <v>0</v>
      </c>
      <c r="AM159" s="509">
        <f t="shared" si="78"/>
        <v>0</v>
      </c>
      <c r="AN159" s="518"/>
      <c r="AO159" s="520"/>
      <c r="AP159" s="516"/>
      <c r="AQ159" s="520"/>
      <c r="AR159" s="516"/>
      <c r="AS159" s="520"/>
      <c r="AT159" s="516"/>
      <c r="AU159" s="520"/>
      <c r="AV159" s="506">
        <f t="shared" si="79"/>
        <v>0</v>
      </c>
      <c r="AW159" s="511">
        <f t="shared" si="89"/>
        <v>0</v>
      </c>
      <c r="AX159" s="508">
        <f t="shared" si="81"/>
        <v>0</v>
      </c>
      <c r="AY159" s="512">
        <f t="shared" si="90"/>
        <v>0</v>
      </c>
      <c r="AZ159" s="513">
        <f t="shared" si="83"/>
        <v>3972.2733333333335</v>
      </c>
      <c r="BA159" s="508">
        <f t="shared" si="84"/>
        <v>3455.5666666666666</v>
      </c>
    </row>
    <row r="160" spans="1:53">
      <c r="A160" s="502" t="s">
        <v>142</v>
      </c>
      <c r="B160" s="487" t="s">
        <v>209</v>
      </c>
      <c r="C160" s="531"/>
      <c r="D160" s="489">
        <v>140304</v>
      </c>
      <c r="E160" s="490">
        <v>12</v>
      </c>
      <c r="F160" s="514" t="s">
        <v>41</v>
      </c>
      <c r="G160" s="515" t="s">
        <v>41</v>
      </c>
      <c r="H160" s="516">
        <v>54020</v>
      </c>
      <c r="I160" s="519"/>
      <c r="J160" s="516">
        <v>48719.1</v>
      </c>
      <c r="K160" s="519">
        <v>48842</v>
      </c>
      <c r="L160" s="516">
        <v>23905.200000000001</v>
      </c>
      <c r="M160" s="519">
        <v>25538</v>
      </c>
      <c r="N160" s="516">
        <v>58448</v>
      </c>
      <c r="O160" s="519">
        <v>45348</v>
      </c>
      <c r="P160" s="506">
        <f t="shared" si="69"/>
        <v>185092.3</v>
      </c>
      <c r="Q160" s="507">
        <f t="shared" si="87"/>
        <v>6169.7433333333329</v>
      </c>
      <c r="R160" s="508">
        <f t="shared" si="71"/>
        <v>119728</v>
      </c>
      <c r="S160" s="509">
        <f t="shared" si="88"/>
        <v>3990.9333333333334</v>
      </c>
      <c r="T160" s="516">
        <v>2248</v>
      </c>
      <c r="U160" s="519">
        <v>2609</v>
      </c>
      <c r="V160" s="506">
        <f t="shared" si="85"/>
        <v>185092.3</v>
      </c>
      <c r="W160" s="510">
        <f t="shared" si="86"/>
        <v>119728</v>
      </c>
      <c r="X160" s="517"/>
      <c r="Y160" s="519"/>
      <c r="Z160" s="516"/>
      <c r="AA160" s="519"/>
      <c r="AB160" s="516"/>
      <c r="AC160" s="519"/>
      <c r="AD160" s="516"/>
      <c r="AE160" s="519"/>
      <c r="AF160" s="506">
        <f t="shared" si="73"/>
        <v>0</v>
      </c>
      <c r="AG160" s="507">
        <f t="shared" si="74"/>
        <v>0</v>
      </c>
      <c r="AH160" s="508">
        <f t="shared" si="75"/>
        <v>0</v>
      </c>
      <c r="AI160" s="508">
        <f t="shared" si="76"/>
        <v>0</v>
      </c>
      <c r="AJ160" s="516"/>
      <c r="AK160" s="519"/>
      <c r="AL160" s="506">
        <f t="shared" si="77"/>
        <v>0</v>
      </c>
      <c r="AM160" s="509">
        <f t="shared" si="78"/>
        <v>0</v>
      </c>
      <c r="AN160" s="518"/>
      <c r="AO160" s="520"/>
      <c r="AP160" s="516"/>
      <c r="AQ160" s="520"/>
      <c r="AR160" s="516"/>
      <c r="AS160" s="520"/>
      <c r="AT160" s="516"/>
      <c r="AU160" s="520"/>
      <c r="AV160" s="506">
        <f t="shared" si="79"/>
        <v>0</v>
      </c>
      <c r="AW160" s="511">
        <f t="shared" si="89"/>
        <v>0</v>
      </c>
      <c r="AX160" s="508">
        <f t="shared" si="81"/>
        <v>0</v>
      </c>
      <c r="AY160" s="512">
        <f t="shared" si="90"/>
        <v>0</v>
      </c>
      <c r="AZ160" s="513">
        <f t="shared" si="83"/>
        <v>6169.7433333333329</v>
      </c>
      <c r="BA160" s="508">
        <f t="shared" si="84"/>
        <v>3990.9333333333334</v>
      </c>
    </row>
    <row r="161" spans="1:53">
      <c r="A161" s="502" t="s">
        <v>142</v>
      </c>
      <c r="B161" s="503" t="s">
        <v>210</v>
      </c>
      <c r="C161" s="531"/>
      <c r="D161" s="489">
        <v>140331</v>
      </c>
      <c r="E161" s="490">
        <v>12</v>
      </c>
      <c r="F161" s="514" t="s">
        <v>41</v>
      </c>
      <c r="G161" s="515" t="s">
        <v>41</v>
      </c>
      <c r="H161" s="516">
        <v>91757.3</v>
      </c>
      <c r="I161" s="519"/>
      <c r="J161" s="516">
        <v>85064.9</v>
      </c>
      <c r="K161" s="519">
        <v>96352</v>
      </c>
      <c r="L161" s="516">
        <v>32122.3</v>
      </c>
      <c r="M161" s="519">
        <v>51143</v>
      </c>
      <c r="N161" s="516">
        <v>99754</v>
      </c>
      <c r="O161" s="519">
        <v>99832</v>
      </c>
      <c r="P161" s="506">
        <f t="shared" si="69"/>
        <v>308698.5</v>
      </c>
      <c r="Q161" s="507">
        <f t="shared" si="87"/>
        <v>10289.950000000001</v>
      </c>
      <c r="R161" s="508">
        <f t="shared" si="71"/>
        <v>247327</v>
      </c>
      <c r="S161" s="509">
        <f t="shared" si="88"/>
        <v>8244.2333333333336</v>
      </c>
      <c r="T161" s="516">
        <v>2195.4</v>
      </c>
      <c r="U161" s="519">
        <v>2537</v>
      </c>
      <c r="V161" s="506">
        <f t="shared" si="85"/>
        <v>308698.5</v>
      </c>
      <c r="W161" s="510">
        <f t="shared" si="86"/>
        <v>247327</v>
      </c>
      <c r="X161" s="517"/>
      <c r="Y161" s="519"/>
      <c r="Z161" s="516"/>
      <c r="AA161" s="519"/>
      <c r="AB161" s="516"/>
      <c r="AC161" s="519"/>
      <c r="AD161" s="516"/>
      <c r="AE161" s="519"/>
      <c r="AF161" s="506">
        <f t="shared" si="73"/>
        <v>0</v>
      </c>
      <c r="AG161" s="507">
        <f t="shared" si="74"/>
        <v>0</v>
      </c>
      <c r="AH161" s="508">
        <f t="shared" si="75"/>
        <v>0</v>
      </c>
      <c r="AI161" s="508">
        <f t="shared" si="76"/>
        <v>0</v>
      </c>
      <c r="AJ161" s="516"/>
      <c r="AK161" s="519"/>
      <c r="AL161" s="506">
        <f t="shared" si="77"/>
        <v>0</v>
      </c>
      <c r="AM161" s="509">
        <f t="shared" si="78"/>
        <v>0</v>
      </c>
      <c r="AN161" s="518"/>
      <c r="AO161" s="520"/>
      <c r="AP161" s="516"/>
      <c r="AQ161" s="520"/>
      <c r="AR161" s="516"/>
      <c r="AS161" s="520"/>
      <c r="AT161" s="516"/>
      <c r="AU161" s="520"/>
      <c r="AV161" s="506">
        <f t="shared" si="79"/>
        <v>0</v>
      </c>
      <c r="AW161" s="511">
        <f t="shared" si="89"/>
        <v>0</v>
      </c>
      <c r="AX161" s="508">
        <f t="shared" si="81"/>
        <v>0</v>
      </c>
      <c r="AY161" s="512">
        <f t="shared" si="90"/>
        <v>0</v>
      </c>
      <c r="AZ161" s="513">
        <f t="shared" si="83"/>
        <v>10289.950000000001</v>
      </c>
      <c r="BA161" s="508">
        <f t="shared" si="84"/>
        <v>8244.2333333333336</v>
      </c>
    </row>
    <row r="162" spans="1:53">
      <c r="A162" s="502" t="s">
        <v>142</v>
      </c>
      <c r="B162" s="487" t="s">
        <v>211</v>
      </c>
      <c r="C162" s="531"/>
      <c r="D162" s="489">
        <v>139357</v>
      </c>
      <c r="E162" s="490">
        <v>12</v>
      </c>
      <c r="F162" s="514" t="s">
        <v>41</v>
      </c>
      <c r="G162" s="515" t="s">
        <v>41</v>
      </c>
      <c r="H162" s="516">
        <v>27443.4</v>
      </c>
      <c r="I162" s="519"/>
      <c r="J162" s="516">
        <v>26314.6</v>
      </c>
      <c r="K162" s="519">
        <v>33136</v>
      </c>
      <c r="L162" s="516">
        <v>7903.1</v>
      </c>
      <c r="M162" s="519">
        <v>22208</v>
      </c>
      <c r="N162" s="516">
        <v>33611</v>
      </c>
      <c r="O162" s="519">
        <v>38583</v>
      </c>
      <c r="P162" s="506">
        <f t="shared" si="69"/>
        <v>95272.1</v>
      </c>
      <c r="Q162" s="507">
        <f t="shared" si="87"/>
        <v>3175.7366666666667</v>
      </c>
      <c r="R162" s="508">
        <f t="shared" si="71"/>
        <v>93927</v>
      </c>
      <c r="S162" s="509">
        <f t="shared" si="88"/>
        <v>3130.9</v>
      </c>
      <c r="T162" s="516">
        <v>1924.5</v>
      </c>
      <c r="U162" s="519">
        <v>1283</v>
      </c>
      <c r="V162" s="506">
        <f t="shared" si="85"/>
        <v>95272.1</v>
      </c>
      <c r="W162" s="510">
        <f t="shared" si="86"/>
        <v>93927</v>
      </c>
      <c r="X162" s="517"/>
      <c r="Y162" s="519"/>
      <c r="Z162" s="516"/>
      <c r="AA162" s="519"/>
      <c r="AB162" s="516"/>
      <c r="AC162" s="519"/>
      <c r="AD162" s="516"/>
      <c r="AE162" s="519"/>
      <c r="AF162" s="506">
        <f t="shared" si="73"/>
        <v>0</v>
      </c>
      <c r="AG162" s="507">
        <f t="shared" si="74"/>
        <v>0</v>
      </c>
      <c r="AH162" s="508">
        <f t="shared" si="75"/>
        <v>0</v>
      </c>
      <c r="AI162" s="508">
        <f t="shared" si="76"/>
        <v>0</v>
      </c>
      <c r="AJ162" s="516"/>
      <c r="AK162" s="519"/>
      <c r="AL162" s="506">
        <f t="shared" si="77"/>
        <v>0</v>
      </c>
      <c r="AM162" s="509">
        <f t="shared" si="78"/>
        <v>0</v>
      </c>
      <c r="AN162" s="518"/>
      <c r="AO162" s="520"/>
      <c r="AP162" s="516"/>
      <c r="AQ162" s="520"/>
      <c r="AR162" s="516"/>
      <c r="AS162" s="520"/>
      <c r="AT162" s="516"/>
      <c r="AU162" s="520"/>
      <c r="AV162" s="506">
        <f t="shared" si="79"/>
        <v>0</v>
      </c>
      <c r="AW162" s="511">
        <f t="shared" si="89"/>
        <v>0</v>
      </c>
      <c r="AX162" s="508">
        <f t="shared" si="81"/>
        <v>0</v>
      </c>
      <c r="AY162" s="512">
        <f t="shared" si="90"/>
        <v>0</v>
      </c>
      <c r="AZ162" s="513">
        <f t="shared" si="83"/>
        <v>3175.7366666666667</v>
      </c>
      <c r="BA162" s="508">
        <f t="shared" si="84"/>
        <v>3130.9</v>
      </c>
    </row>
    <row r="163" spans="1:53">
      <c r="A163" s="502" t="s">
        <v>142</v>
      </c>
      <c r="B163" s="503" t="s">
        <v>212</v>
      </c>
      <c r="C163" s="531"/>
      <c r="D163" s="489">
        <v>139384</v>
      </c>
      <c r="E163" s="490">
        <v>12</v>
      </c>
      <c r="F163" s="514" t="s">
        <v>41</v>
      </c>
      <c r="G163" s="515" t="s">
        <v>41</v>
      </c>
      <c r="H163" s="516">
        <v>48301.1</v>
      </c>
      <c r="I163" s="519"/>
      <c r="J163" s="516">
        <v>45131.6</v>
      </c>
      <c r="K163" s="519">
        <v>55703</v>
      </c>
      <c r="L163" s="516">
        <v>21635.1</v>
      </c>
      <c r="M163" s="519">
        <v>28077</v>
      </c>
      <c r="N163" s="516">
        <v>59364</v>
      </c>
      <c r="O163" s="519">
        <v>57185</v>
      </c>
      <c r="P163" s="506">
        <f t="shared" ref="P163:P209" si="91">SUM(H163,J163,L163,N163)</f>
        <v>174431.8</v>
      </c>
      <c r="Q163" s="507">
        <f t="shared" ref="Q163:Q194" si="92">+P163/30</f>
        <v>5814.3933333333325</v>
      </c>
      <c r="R163" s="508">
        <f t="shared" ref="R163:R209" si="93">SUM(I163,K163,M163,O163)</f>
        <v>140965</v>
      </c>
      <c r="S163" s="509">
        <f t="shared" ref="S163:S194" si="94">+R163/30</f>
        <v>4698.833333333333</v>
      </c>
      <c r="T163" s="516">
        <v>4173.8</v>
      </c>
      <c r="U163" s="519">
        <v>5457</v>
      </c>
      <c r="V163" s="506">
        <f t="shared" ref="V163:V209" si="95">IF(ISBLANK(T163),0,P163)</f>
        <v>174431.8</v>
      </c>
      <c r="W163" s="510">
        <f t="shared" ref="W163:W209" si="96">IF(ISBLANK(U163),0,R163)</f>
        <v>140965</v>
      </c>
      <c r="X163" s="517"/>
      <c r="Y163" s="519"/>
      <c r="Z163" s="516"/>
      <c r="AA163" s="519"/>
      <c r="AB163" s="516"/>
      <c r="AC163" s="519"/>
      <c r="AD163" s="516"/>
      <c r="AE163" s="519"/>
      <c r="AF163" s="506">
        <f t="shared" ref="AF163:AF209" si="97">SUM(X163,Z163,AB163,AD163)</f>
        <v>0</v>
      </c>
      <c r="AG163" s="507">
        <f t="shared" ref="AG163:AG209" si="98">+AF163/900</f>
        <v>0</v>
      </c>
      <c r="AH163" s="508">
        <f t="shared" ref="AH163:AH209" si="99">SUM(Y163,AA163,AC163,AE163)</f>
        <v>0</v>
      </c>
      <c r="AI163" s="508">
        <f t="shared" ref="AI163:AI209" si="100">+AH163/900</f>
        <v>0</v>
      </c>
      <c r="AJ163" s="516"/>
      <c r="AK163" s="519"/>
      <c r="AL163" s="506">
        <f t="shared" ref="AL163:AL209" si="101">IF(ISBLANK(AJ163),0,AF163)</f>
        <v>0</v>
      </c>
      <c r="AM163" s="509">
        <f t="shared" ref="AM163:AM209" si="102">IF(ISBLANK(AK163),0,AH163)</f>
        <v>0</v>
      </c>
      <c r="AN163" s="518"/>
      <c r="AO163" s="520"/>
      <c r="AP163" s="516"/>
      <c r="AQ163" s="520"/>
      <c r="AR163" s="516"/>
      <c r="AS163" s="520"/>
      <c r="AT163" s="516"/>
      <c r="AU163" s="520"/>
      <c r="AV163" s="506">
        <f t="shared" ref="AV163:AV209" si="103">SUM(AN163,AP163,AR163,AT163)</f>
        <v>0</v>
      </c>
      <c r="AW163" s="511">
        <f t="shared" ref="AW163:AW194" si="104">+AV163/24</f>
        <v>0</v>
      </c>
      <c r="AX163" s="508">
        <f t="shared" ref="AX163:AX209" si="105">SUM(AO163,AQ163,AS163,AU163)</f>
        <v>0</v>
      </c>
      <c r="AY163" s="512">
        <f t="shared" ref="AY163:AY194" si="106">+AX163/24</f>
        <v>0</v>
      </c>
      <c r="AZ163" s="513">
        <f t="shared" ref="AZ163:AZ209" si="107">SUM(Q163,AG163,AW163)</f>
        <v>5814.3933333333325</v>
      </c>
      <c r="BA163" s="508">
        <f t="shared" ref="BA163:BA209" si="108">SUM(S163,AI163,AY163)</f>
        <v>4698.833333333333</v>
      </c>
    </row>
    <row r="164" spans="1:53">
      <c r="A164" s="502" t="s">
        <v>142</v>
      </c>
      <c r="B164" s="503" t="s">
        <v>213</v>
      </c>
      <c r="C164" s="535"/>
      <c r="D164" s="489">
        <v>244446</v>
      </c>
      <c r="E164" s="490">
        <v>12</v>
      </c>
      <c r="F164" s="514" t="s">
        <v>41</v>
      </c>
      <c r="G164" s="515" t="s">
        <v>41</v>
      </c>
      <c r="H164" s="516">
        <v>36192.5</v>
      </c>
      <c r="I164" s="519"/>
      <c r="J164" s="516">
        <v>34126.400000000001</v>
      </c>
      <c r="K164" s="519">
        <v>32747</v>
      </c>
      <c r="L164" s="516">
        <v>13138</v>
      </c>
      <c r="M164" s="519">
        <v>21520</v>
      </c>
      <c r="N164" s="516">
        <v>35883</v>
      </c>
      <c r="O164" s="519">
        <v>37317</v>
      </c>
      <c r="P164" s="506">
        <f t="shared" si="91"/>
        <v>119339.9</v>
      </c>
      <c r="Q164" s="507">
        <f t="shared" si="92"/>
        <v>3977.9966666666664</v>
      </c>
      <c r="R164" s="508">
        <f t="shared" si="93"/>
        <v>91584</v>
      </c>
      <c r="S164" s="509">
        <f t="shared" si="94"/>
        <v>3052.8</v>
      </c>
      <c r="T164" s="516">
        <v>1191.4000000000001</v>
      </c>
      <c r="U164" s="519">
        <v>2980</v>
      </c>
      <c r="V164" s="506">
        <f t="shared" si="95"/>
        <v>119339.9</v>
      </c>
      <c r="W164" s="510">
        <f t="shared" si="96"/>
        <v>91584</v>
      </c>
      <c r="X164" s="517"/>
      <c r="Y164" s="519"/>
      <c r="Z164" s="516"/>
      <c r="AA164" s="519"/>
      <c r="AB164" s="516"/>
      <c r="AC164" s="519"/>
      <c r="AD164" s="516"/>
      <c r="AE164" s="519"/>
      <c r="AF164" s="506">
        <f t="shared" si="97"/>
        <v>0</v>
      </c>
      <c r="AG164" s="507">
        <f t="shared" si="98"/>
        <v>0</v>
      </c>
      <c r="AH164" s="508">
        <f t="shared" si="99"/>
        <v>0</v>
      </c>
      <c r="AI164" s="508">
        <f t="shared" si="100"/>
        <v>0</v>
      </c>
      <c r="AJ164" s="516"/>
      <c r="AK164" s="519"/>
      <c r="AL164" s="506">
        <f t="shared" si="101"/>
        <v>0</v>
      </c>
      <c r="AM164" s="509">
        <f t="shared" si="102"/>
        <v>0</v>
      </c>
      <c r="AN164" s="518"/>
      <c r="AO164" s="520"/>
      <c r="AP164" s="516"/>
      <c r="AQ164" s="520"/>
      <c r="AR164" s="516"/>
      <c r="AS164" s="520"/>
      <c r="AT164" s="516"/>
      <c r="AU164" s="520"/>
      <c r="AV164" s="506">
        <f t="shared" si="103"/>
        <v>0</v>
      </c>
      <c r="AW164" s="511">
        <f t="shared" si="104"/>
        <v>0</v>
      </c>
      <c r="AX164" s="508">
        <f t="shared" si="105"/>
        <v>0</v>
      </c>
      <c r="AY164" s="512">
        <f t="shared" si="106"/>
        <v>0</v>
      </c>
      <c r="AZ164" s="513">
        <f t="shared" si="107"/>
        <v>3977.9966666666664</v>
      </c>
      <c r="BA164" s="508">
        <f t="shared" si="108"/>
        <v>3052.8</v>
      </c>
    </row>
    <row r="165" spans="1:53">
      <c r="A165" s="498" t="s">
        <v>142</v>
      </c>
      <c r="B165" s="487" t="s">
        <v>214</v>
      </c>
      <c r="C165" s="531"/>
      <c r="D165" s="489">
        <v>140012</v>
      </c>
      <c r="E165" s="490">
        <v>12</v>
      </c>
      <c r="F165" s="514" t="s">
        <v>41</v>
      </c>
      <c r="G165" s="515" t="s">
        <v>41</v>
      </c>
      <c r="H165" s="516">
        <v>49573.8</v>
      </c>
      <c r="I165" s="519"/>
      <c r="J165" s="516">
        <v>47859.1</v>
      </c>
      <c r="K165" s="519">
        <v>63543</v>
      </c>
      <c r="L165" s="516">
        <v>17142.900000000001</v>
      </c>
      <c r="M165" s="519">
        <v>30033</v>
      </c>
      <c r="N165" s="516">
        <v>58997</v>
      </c>
      <c r="O165" s="519">
        <v>59948</v>
      </c>
      <c r="P165" s="506">
        <f t="shared" si="91"/>
        <v>173572.8</v>
      </c>
      <c r="Q165" s="507">
        <f t="shared" si="92"/>
        <v>5785.7599999999993</v>
      </c>
      <c r="R165" s="508">
        <f t="shared" si="93"/>
        <v>153524</v>
      </c>
      <c r="S165" s="509">
        <f t="shared" si="94"/>
        <v>5117.4666666666662</v>
      </c>
      <c r="T165" s="516">
        <v>1122.7</v>
      </c>
      <c r="U165" s="519">
        <v>1489</v>
      </c>
      <c r="V165" s="506">
        <f t="shared" si="95"/>
        <v>173572.8</v>
      </c>
      <c r="W165" s="510">
        <f t="shared" si="96"/>
        <v>153524</v>
      </c>
      <c r="X165" s="517"/>
      <c r="Y165" s="519"/>
      <c r="Z165" s="516"/>
      <c r="AA165" s="519"/>
      <c r="AB165" s="516"/>
      <c r="AC165" s="519"/>
      <c r="AD165" s="516"/>
      <c r="AE165" s="519"/>
      <c r="AF165" s="506">
        <f t="shared" si="97"/>
        <v>0</v>
      </c>
      <c r="AG165" s="507">
        <f t="shared" si="98"/>
        <v>0</v>
      </c>
      <c r="AH165" s="508">
        <f t="shared" si="99"/>
        <v>0</v>
      </c>
      <c r="AI165" s="508">
        <f t="shared" si="100"/>
        <v>0</v>
      </c>
      <c r="AJ165" s="516"/>
      <c r="AK165" s="519"/>
      <c r="AL165" s="506">
        <f t="shared" si="101"/>
        <v>0</v>
      </c>
      <c r="AM165" s="509">
        <f t="shared" si="102"/>
        <v>0</v>
      </c>
      <c r="AN165" s="518"/>
      <c r="AO165" s="520"/>
      <c r="AP165" s="516"/>
      <c r="AQ165" s="520"/>
      <c r="AR165" s="516"/>
      <c r="AS165" s="520"/>
      <c r="AT165" s="516"/>
      <c r="AU165" s="520"/>
      <c r="AV165" s="506">
        <f t="shared" si="103"/>
        <v>0</v>
      </c>
      <c r="AW165" s="511">
        <f t="shared" si="104"/>
        <v>0</v>
      </c>
      <c r="AX165" s="508">
        <f t="shared" si="105"/>
        <v>0</v>
      </c>
      <c r="AY165" s="512">
        <f t="shared" si="106"/>
        <v>0</v>
      </c>
      <c r="AZ165" s="513">
        <f t="shared" si="107"/>
        <v>5785.7599999999993</v>
      </c>
      <c r="BA165" s="508">
        <f t="shared" si="108"/>
        <v>5117.4666666666662</v>
      </c>
    </row>
    <row r="166" spans="1:53">
      <c r="A166" s="498" t="s">
        <v>142</v>
      </c>
      <c r="B166" s="487" t="s">
        <v>215</v>
      </c>
      <c r="C166" s="531"/>
      <c r="D166" s="489">
        <v>140243</v>
      </c>
      <c r="E166" s="490">
        <v>12</v>
      </c>
      <c r="F166" s="514" t="s">
        <v>41</v>
      </c>
      <c r="G166" s="515" t="s">
        <v>41</v>
      </c>
      <c r="H166" s="516">
        <v>28683.4</v>
      </c>
      <c r="I166" s="519"/>
      <c r="J166" s="516">
        <v>25922</v>
      </c>
      <c r="K166" s="519">
        <v>31058</v>
      </c>
      <c r="L166" s="516">
        <v>8443.1</v>
      </c>
      <c r="M166" s="519">
        <v>16364</v>
      </c>
      <c r="N166" s="516">
        <v>29904</v>
      </c>
      <c r="O166" s="519">
        <v>29072</v>
      </c>
      <c r="P166" s="506">
        <f t="shared" si="91"/>
        <v>92952.5</v>
      </c>
      <c r="Q166" s="507">
        <f t="shared" si="92"/>
        <v>3098.4166666666665</v>
      </c>
      <c r="R166" s="508">
        <f t="shared" si="93"/>
        <v>76494</v>
      </c>
      <c r="S166" s="509">
        <f t="shared" si="94"/>
        <v>2549.8000000000002</v>
      </c>
      <c r="T166" s="516">
        <v>1555</v>
      </c>
      <c r="U166" s="519">
        <v>1988</v>
      </c>
      <c r="V166" s="506">
        <f t="shared" si="95"/>
        <v>92952.5</v>
      </c>
      <c r="W166" s="510">
        <f t="shared" si="96"/>
        <v>76494</v>
      </c>
      <c r="X166" s="517"/>
      <c r="Y166" s="519"/>
      <c r="Z166" s="516"/>
      <c r="AA166" s="519"/>
      <c r="AB166" s="516"/>
      <c r="AC166" s="519"/>
      <c r="AD166" s="516"/>
      <c r="AE166" s="519"/>
      <c r="AF166" s="506">
        <f t="shared" si="97"/>
        <v>0</v>
      </c>
      <c r="AG166" s="507">
        <f t="shared" si="98"/>
        <v>0</v>
      </c>
      <c r="AH166" s="508">
        <f t="shared" si="99"/>
        <v>0</v>
      </c>
      <c r="AI166" s="508">
        <f t="shared" si="100"/>
        <v>0</v>
      </c>
      <c r="AJ166" s="516"/>
      <c r="AK166" s="519"/>
      <c r="AL166" s="506">
        <f t="shared" si="101"/>
        <v>0</v>
      </c>
      <c r="AM166" s="509">
        <f t="shared" si="102"/>
        <v>0</v>
      </c>
      <c r="AN166" s="518"/>
      <c r="AO166" s="520"/>
      <c r="AP166" s="516"/>
      <c r="AQ166" s="520"/>
      <c r="AR166" s="516"/>
      <c r="AS166" s="520"/>
      <c r="AT166" s="516"/>
      <c r="AU166" s="520"/>
      <c r="AV166" s="506">
        <f t="shared" si="103"/>
        <v>0</v>
      </c>
      <c r="AW166" s="511">
        <f t="shared" si="104"/>
        <v>0</v>
      </c>
      <c r="AX166" s="508">
        <f t="shared" si="105"/>
        <v>0</v>
      </c>
      <c r="AY166" s="512">
        <f t="shared" si="106"/>
        <v>0</v>
      </c>
      <c r="AZ166" s="513">
        <f t="shared" si="107"/>
        <v>3098.4166666666665</v>
      </c>
      <c r="BA166" s="508">
        <f t="shared" si="108"/>
        <v>2549.8000000000002</v>
      </c>
    </row>
    <row r="167" spans="1:53">
      <c r="A167" s="498" t="s">
        <v>142</v>
      </c>
      <c r="B167" s="487" t="s">
        <v>216</v>
      </c>
      <c r="C167" s="531"/>
      <c r="D167" s="489">
        <v>140085</v>
      </c>
      <c r="E167" s="490">
        <v>12</v>
      </c>
      <c r="F167" s="514" t="s">
        <v>41</v>
      </c>
      <c r="G167" s="515" t="s">
        <v>41</v>
      </c>
      <c r="H167" s="516">
        <v>33682.400000000001</v>
      </c>
      <c r="I167" s="519"/>
      <c r="J167" s="516">
        <v>29323.5</v>
      </c>
      <c r="K167" s="519">
        <v>35195</v>
      </c>
      <c r="L167" s="516">
        <v>11001.2</v>
      </c>
      <c r="M167" s="519">
        <v>21946</v>
      </c>
      <c r="N167" s="516">
        <v>36611</v>
      </c>
      <c r="O167" s="519">
        <v>37212</v>
      </c>
      <c r="P167" s="506">
        <f t="shared" si="91"/>
        <v>110618.1</v>
      </c>
      <c r="Q167" s="507">
        <f t="shared" si="92"/>
        <v>3687.27</v>
      </c>
      <c r="R167" s="508">
        <f t="shared" si="93"/>
        <v>94353</v>
      </c>
      <c r="S167" s="509">
        <f t="shared" si="94"/>
        <v>3145.1</v>
      </c>
      <c r="T167" s="516">
        <v>4122.3999999999996</v>
      </c>
      <c r="U167" s="519">
        <v>3702</v>
      </c>
      <c r="V167" s="506">
        <f t="shared" si="95"/>
        <v>110618.1</v>
      </c>
      <c r="W167" s="510">
        <f t="shared" si="96"/>
        <v>94353</v>
      </c>
      <c r="X167" s="517"/>
      <c r="Y167" s="519"/>
      <c r="Z167" s="516"/>
      <c r="AA167" s="519"/>
      <c r="AB167" s="516"/>
      <c r="AC167" s="519"/>
      <c r="AD167" s="516"/>
      <c r="AE167" s="519"/>
      <c r="AF167" s="506">
        <f t="shared" si="97"/>
        <v>0</v>
      </c>
      <c r="AG167" s="507">
        <f t="shared" si="98"/>
        <v>0</v>
      </c>
      <c r="AH167" s="508">
        <f t="shared" si="99"/>
        <v>0</v>
      </c>
      <c r="AI167" s="508">
        <f t="shared" si="100"/>
        <v>0</v>
      </c>
      <c r="AJ167" s="516"/>
      <c r="AK167" s="519"/>
      <c r="AL167" s="506">
        <f t="shared" si="101"/>
        <v>0</v>
      </c>
      <c r="AM167" s="509">
        <f t="shared" si="102"/>
        <v>0</v>
      </c>
      <c r="AN167" s="518"/>
      <c r="AO167" s="520"/>
      <c r="AP167" s="516"/>
      <c r="AQ167" s="520"/>
      <c r="AR167" s="516"/>
      <c r="AS167" s="520"/>
      <c r="AT167" s="516"/>
      <c r="AU167" s="520"/>
      <c r="AV167" s="506">
        <f t="shared" si="103"/>
        <v>0</v>
      </c>
      <c r="AW167" s="511">
        <f t="shared" si="104"/>
        <v>0</v>
      </c>
      <c r="AX167" s="508">
        <f t="shared" si="105"/>
        <v>0</v>
      </c>
      <c r="AY167" s="512">
        <f t="shared" si="106"/>
        <v>0</v>
      </c>
      <c r="AZ167" s="513">
        <f t="shared" si="107"/>
        <v>3687.27</v>
      </c>
      <c r="BA167" s="508">
        <f t="shared" si="108"/>
        <v>3145.1</v>
      </c>
    </row>
    <row r="168" spans="1:53">
      <c r="A168" s="498" t="s">
        <v>142</v>
      </c>
      <c r="B168" s="487" t="s">
        <v>217</v>
      </c>
      <c r="C168" s="531"/>
      <c r="D168" s="489">
        <v>140599</v>
      </c>
      <c r="E168" s="490">
        <v>12</v>
      </c>
      <c r="F168" s="514" t="s">
        <v>41</v>
      </c>
      <c r="G168" s="515" t="s">
        <v>41</v>
      </c>
      <c r="H168" s="516">
        <v>19075.599999999999</v>
      </c>
      <c r="I168" s="519"/>
      <c r="J168" s="516">
        <v>16884.8</v>
      </c>
      <c r="K168" s="519">
        <v>18687</v>
      </c>
      <c r="L168" s="516">
        <v>7234.4</v>
      </c>
      <c r="M168" s="519">
        <v>10288</v>
      </c>
      <c r="N168" s="516">
        <v>21431</v>
      </c>
      <c r="O168" s="519">
        <v>18459</v>
      </c>
      <c r="P168" s="506">
        <f t="shared" si="91"/>
        <v>64625.799999999996</v>
      </c>
      <c r="Q168" s="507">
        <f t="shared" si="92"/>
        <v>2154.1933333333332</v>
      </c>
      <c r="R168" s="508">
        <f t="shared" si="93"/>
        <v>47434</v>
      </c>
      <c r="S168" s="509">
        <f t="shared" si="94"/>
        <v>1581.1333333333334</v>
      </c>
      <c r="T168" s="516">
        <v>4135.8</v>
      </c>
      <c r="U168" s="519">
        <v>3695</v>
      </c>
      <c r="V168" s="506">
        <f t="shared" si="95"/>
        <v>64625.799999999996</v>
      </c>
      <c r="W168" s="510">
        <f t="shared" si="96"/>
        <v>47434</v>
      </c>
      <c r="X168" s="517"/>
      <c r="Y168" s="519"/>
      <c r="Z168" s="516"/>
      <c r="AA168" s="519"/>
      <c r="AB168" s="516"/>
      <c r="AC168" s="519"/>
      <c r="AD168" s="516"/>
      <c r="AE168" s="519"/>
      <c r="AF168" s="506">
        <f t="shared" si="97"/>
        <v>0</v>
      </c>
      <c r="AG168" s="507">
        <f t="shared" si="98"/>
        <v>0</v>
      </c>
      <c r="AH168" s="508">
        <f t="shared" si="99"/>
        <v>0</v>
      </c>
      <c r="AI168" s="508">
        <f t="shared" si="100"/>
        <v>0</v>
      </c>
      <c r="AJ168" s="516"/>
      <c r="AK168" s="519"/>
      <c r="AL168" s="506">
        <f t="shared" si="101"/>
        <v>0</v>
      </c>
      <c r="AM168" s="509">
        <f t="shared" si="102"/>
        <v>0</v>
      </c>
      <c r="AN168" s="518"/>
      <c r="AO168" s="520"/>
      <c r="AP168" s="516"/>
      <c r="AQ168" s="520"/>
      <c r="AR168" s="516"/>
      <c r="AS168" s="520"/>
      <c r="AT168" s="516"/>
      <c r="AU168" s="520"/>
      <c r="AV168" s="506">
        <f t="shared" si="103"/>
        <v>0</v>
      </c>
      <c r="AW168" s="511">
        <f t="shared" si="104"/>
        <v>0</v>
      </c>
      <c r="AX168" s="508">
        <f t="shared" si="105"/>
        <v>0</v>
      </c>
      <c r="AY168" s="512">
        <f t="shared" si="106"/>
        <v>0</v>
      </c>
      <c r="AZ168" s="513">
        <f t="shared" si="107"/>
        <v>2154.1933333333332</v>
      </c>
      <c r="BA168" s="508">
        <f t="shared" si="108"/>
        <v>1581.1333333333334</v>
      </c>
    </row>
    <row r="169" spans="1:53">
      <c r="A169" s="498" t="s">
        <v>142</v>
      </c>
      <c r="B169" s="487" t="s">
        <v>218</v>
      </c>
      <c r="C169" s="531"/>
      <c r="D169" s="489">
        <v>140678</v>
      </c>
      <c r="E169" s="490">
        <v>12</v>
      </c>
      <c r="F169" s="514" t="s">
        <v>41</v>
      </c>
      <c r="G169" s="515" t="s">
        <v>41</v>
      </c>
      <c r="H169" s="516">
        <v>20626.400000000001</v>
      </c>
      <c r="I169" s="519"/>
      <c r="J169" s="516">
        <v>18672.900000000001</v>
      </c>
      <c r="K169" s="519">
        <v>23490</v>
      </c>
      <c r="L169" s="516">
        <v>7467</v>
      </c>
      <c r="M169" s="519">
        <v>13314</v>
      </c>
      <c r="N169" s="516">
        <v>25494</v>
      </c>
      <c r="O169" s="519">
        <v>23899</v>
      </c>
      <c r="P169" s="506">
        <f t="shared" si="91"/>
        <v>72260.3</v>
      </c>
      <c r="Q169" s="507">
        <f t="shared" si="92"/>
        <v>2408.6766666666667</v>
      </c>
      <c r="R169" s="508">
        <f t="shared" si="93"/>
        <v>60703</v>
      </c>
      <c r="S169" s="509">
        <f t="shared" si="94"/>
        <v>2023.4333333333334</v>
      </c>
      <c r="T169" s="516">
        <v>480</v>
      </c>
      <c r="U169" s="519">
        <v>603.5</v>
      </c>
      <c r="V169" s="506">
        <f t="shared" si="95"/>
        <v>72260.3</v>
      </c>
      <c r="W169" s="510">
        <f t="shared" si="96"/>
        <v>60703</v>
      </c>
      <c r="X169" s="517"/>
      <c r="Y169" s="519"/>
      <c r="Z169" s="516"/>
      <c r="AA169" s="519"/>
      <c r="AB169" s="516"/>
      <c r="AC169" s="519"/>
      <c r="AD169" s="516"/>
      <c r="AE169" s="519"/>
      <c r="AF169" s="506">
        <f t="shared" si="97"/>
        <v>0</v>
      </c>
      <c r="AG169" s="507">
        <f t="shared" si="98"/>
        <v>0</v>
      </c>
      <c r="AH169" s="508">
        <f t="shared" si="99"/>
        <v>0</v>
      </c>
      <c r="AI169" s="508">
        <f t="shared" si="100"/>
        <v>0</v>
      </c>
      <c r="AJ169" s="516"/>
      <c r="AK169" s="519"/>
      <c r="AL169" s="506">
        <f t="shared" si="101"/>
        <v>0</v>
      </c>
      <c r="AM169" s="509">
        <f t="shared" si="102"/>
        <v>0</v>
      </c>
      <c r="AN169" s="518"/>
      <c r="AO169" s="520"/>
      <c r="AP169" s="516"/>
      <c r="AQ169" s="520"/>
      <c r="AR169" s="516"/>
      <c r="AS169" s="520"/>
      <c r="AT169" s="516"/>
      <c r="AU169" s="520"/>
      <c r="AV169" s="506">
        <f t="shared" si="103"/>
        <v>0</v>
      </c>
      <c r="AW169" s="511">
        <f t="shared" si="104"/>
        <v>0</v>
      </c>
      <c r="AX169" s="508">
        <f t="shared" si="105"/>
        <v>0</v>
      </c>
      <c r="AY169" s="512">
        <f t="shared" si="106"/>
        <v>0</v>
      </c>
      <c r="AZ169" s="513">
        <f t="shared" si="107"/>
        <v>2408.6766666666667</v>
      </c>
      <c r="BA169" s="508">
        <f t="shared" si="108"/>
        <v>2023.4333333333334</v>
      </c>
    </row>
    <row r="170" spans="1:53">
      <c r="A170" s="486" t="s">
        <v>142</v>
      </c>
      <c r="B170" s="503" t="s">
        <v>228</v>
      </c>
      <c r="C170" s="535"/>
      <c r="D170" s="489">
        <v>420431</v>
      </c>
      <c r="E170" s="490">
        <v>12</v>
      </c>
      <c r="F170" s="514" t="s">
        <v>41</v>
      </c>
      <c r="G170" s="515" t="s">
        <v>41</v>
      </c>
      <c r="H170" s="516">
        <v>18479.5</v>
      </c>
      <c r="I170" s="519"/>
      <c r="J170" s="516">
        <v>16510.800000000003</v>
      </c>
      <c r="K170" s="519">
        <v>16603</v>
      </c>
      <c r="L170" s="516">
        <v>8010</v>
      </c>
      <c r="M170" s="519">
        <v>10310</v>
      </c>
      <c r="N170" s="516">
        <v>16677</v>
      </c>
      <c r="O170" s="519">
        <v>15920</v>
      </c>
      <c r="P170" s="506">
        <f t="shared" si="91"/>
        <v>59677.3</v>
      </c>
      <c r="Q170" s="507">
        <f t="shared" si="92"/>
        <v>1989.2433333333333</v>
      </c>
      <c r="R170" s="508">
        <f t="shared" si="93"/>
        <v>42833</v>
      </c>
      <c r="S170" s="509">
        <f t="shared" si="94"/>
        <v>1427.7666666666667</v>
      </c>
      <c r="T170" s="516">
        <v>2730.8</v>
      </c>
      <c r="U170" s="519">
        <v>4036</v>
      </c>
      <c r="V170" s="506">
        <f t="shared" si="95"/>
        <v>59677.3</v>
      </c>
      <c r="W170" s="510">
        <f t="shared" si="96"/>
        <v>42833</v>
      </c>
      <c r="X170" s="517"/>
      <c r="Y170" s="519"/>
      <c r="Z170" s="516"/>
      <c r="AA170" s="519"/>
      <c r="AB170" s="516"/>
      <c r="AC170" s="519"/>
      <c r="AD170" s="516"/>
      <c r="AE170" s="519"/>
      <c r="AF170" s="506">
        <f t="shared" si="97"/>
        <v>0</v>
      </c>
      <c r="AG170" s="507">
        <f t="shared" si="98"/>
        <v>0</v>
      </c>
      <c r="AH170" s="508">
        <f t="shared" si="99"/>
        <v>0</v>
      </c>
      <c r="AI170" s="508">
        <f t="shared" si="100"/>
        <v>0</v>
      </c>
      <c r="AJ170" s="516"/>
      <c r="AK170" s="519"/>
      <c r="AL170" s="506">
        <f t="shared" si="101"/>
        <v>0</v>
      </c>
      <c r="AM170" s="509">
        <f t="shared" si="102"/>
        <v>0</v>
      </c>
      <c r="AN170" s="518"/>
      <c r="AO170" s="520"/>
      <c r="AP170" s="516"/>
      <c r="AQ170" s="520"/>
      <c r="AR170" s="516"/>
      <c r="AS170" s="520"/>
      <c r="AT170" s="516"/>
      <c r="AU170" s="520"/>
      <c r="AV170" s="506">
        <f t="shared" si="103"/>
        <v>0</v>
      </c>
      <c r="AW170" s="511">
        <f t="shared" si="104"/>
        <v>0</v>
      </c>
      <c r="AX170" s="508">
        <f t="shared" si="105"/>
        <v>0</v>
      </c>
      <c r="AY170" s="512">
        <f t="shared" si="106"/>
        <v>0</v>
      </c>
      <c r="AZ170" s="513">
        <f t="shared" si="107"/>
        <v>1989.2433333333333</v>
      </c>
      <c r="BA170" s="508">
        <f t="shared" si="108"/>
        <v>1427.7666666666667</v>
      </c>
    </row>
    <row r="171" spans="1:53">
      <c r="A171" s="748" t="s">
        <v>142</v>
      </c>
      <c r="B171" s="487" t="s">
        <v>219</v>
      </c>
      <c r="C171" s="531"/>
      <c r="D171" s="489">
        <v>366465</v>
      </c>
      <c r="E171" s="490">
        <v>12</v>
      </c>
      <c r="F171" s="514" t="s">
        <v>41</v>
      </c>
      <c r="G171" s="515" t="s">
        <v>41</v>
      </c>
      <c r="H171" s="516">
        <v>21376.400000000001</v>
      </c>
      <c r="I171" s="519"/>
      <c r="J171" s="516">
        <v>20006.3</v>
      </c>
      <c r="K171" s="519">
        <v>21910</v>
      </c>
      <c r="L171" s="516">
        <v>8146.4</v>
      </c>
      <c r="M171" s="519">
        <v>14115</v>
      </c>
      <c r="N171" s="516">
        <v>21912</v>
      </c>
      <c r="O171" s="519">
        <v>22469</v>
      </c>
      <c r="P171" s="506">
        <f t="shared" si="91"/>
        <v>71441.100000000006</v>
      </c>
      <c r="Q171" s="507">
        <f t="shared" si="92"/>
        <v>2381.3700000000003</v>
      </c>
      <c r="R171" s="508">
        <f t="shared" si="93"/>
        <v>58494</v>
      </c>
      <c r="S171" s="509">
        <f t="shared" si="94"/>
        <v>1949.8</v>
      </c>
      <c r="T171" s="516">
        <v>1225.3</v>
      </c>
      <c r="U171" s="519">
        <v>1241</v>
      </c>
      <c r="V171" s="506">
        <f t="shared" si="95"/>
        <v>71441.100000000006</v>
      </c>
      <c r="W171" s="510">
        <f t="shared" si="96"/>
        <v>58494</v>
      </c>
      <c r="X171" s="517"/>
      <c r="Y171" s="519"/>
      <c r="Z171" s="516"/>
      <c r="AA171" s="519"/>
      <c r="AB171" s="516"/>
      <c r="AC171" s="519"/>
      <c r="AD171" s="516"/>
      <c r="AE171" s="519"/>
      <c r="AF171" s="506">
        <f t="shared" si="97"/>
        <v>0</v>
      </c>
      <c r="AG171" s="507">
        <f t="shared" si="98"/>
        <v>0</v>
      </c>
      <c r="AH171" s="508">
        <f t="shared" si="99"/>
        <v>0</v>
      </c>
      <c r="AI171" s="508">
        <f t="shared" si="100"/>
        <v>0</v>
      </c>
      <c r="AJ171" s="516"/>
      <c r="AK171" s="519"/>
      <c r="AL171" s="506">
        <f t="shared" si="101"/>
        <v>0</v>
      </c>
      <c r="AM171" s="509">
        <f t="shared" si="102"/>
        <v>0</v>
      </c>
      <c r="AN171" s="518"/>
      <c r="AO171" s="520"/>
      <c r="AP171" s="516"/>
      <c r="AQ171" s="520"/>
      <c r="AR171" s="516"/>
      <c r="AS171" s="520"/>
      <c r="AT171" s="516"/>
      <c r="AU171" s="520"/>
      <c r="AV171" s="506">
        <f t="shared" si="103"/>
        <v>0</v>
      </c>
      <c r="AW171" s="511">
        <f t="shared" si="104"/>
        <v>0</v>
      </c>
      <c r="AX171" s="508">
        <f t="shared" si="105"/>
        <v>0</v>
      </c>
      <c r="AY171" s="512">
        <f t="shared" si="106"/>
        <v>0</v>
      </c>
      <c r="AZ171" s="513">
        <f t="shared" si="107"/>
        <v>2381.3700000000003</v>
      </c>
      <c r="BA171" s="508">
        <f t="shared" si="108"/>
        <v>1949.8</v>
      </c>
    </row>
    <row r="172" spans="1:53">
      <c r="A172" s="748" t="s">
        <v>142</v>
      </c>
      <c r="B172" s="487" t="s">
        <v>220</v>
      </c>
      <c r="C172" s="531"/>
      <c r="D172" s="489">
        <v>248776</v>
      </c>
      <c r="E172" s="490">
        <v>12</v>
      </c>
      <c r="F172" s="514" t="s">
        <v>41</v>
      </c>
      <c r="G172" s="515" t="s">
        <v>41</v>
      </c>
      <c r="H172" s="516">
        <v>10321.799999999999</v>
      </c>
      <c r="I172" s="519"/>
      <c r="J172" s="516">
        <v>9388.1</v>
      </c>
      <c r="K172" s="519">
        <v>11217</v>
      </c>
      <c r="L172" s="516">
        <v>3592.8</v>
      </c>
      <c r="M172" s="519">
        <v>7073</v>
      </c>
      <c r="N172" s="516">
        <v>12025</v>
      </c>
      <c r="O172" s="519">
        <v>12148</v>
      </c>
      <c r="P172" s="506">
        <f t="shared" si="91"/>
        <v>35327.699999999997</v>
      </c>
      <c r="Q172" s="507">
        <f t="shared" si="92"/>
        <v>1177.5899999999999</v>
      </c>
      <c r="R172" s="508">
        <f t="shared" si="93"/>
        <v>30438</v>
      </c>
      <c r="S172" s="509">
        <f t="shared" si="94"/>
        <v>1014.6</v>
      </c>
      <c r="T172" s="516">
        <v>1054.7</v>
      </c>
      <c r="U172" s="519">
        <v>1218</v>
      </c>
      <c r="V172" s="506">
        <f t="shared" si="95"/>
        <v>35327.699999999997</v>
      </c>
      <c r="W172" s="510">
        <f t="shared" si="96"/>
        <v>30438</v>
      </c>
      <c r="X172" s="517"/>
      <c r="Y172" s="519"/>
      <c r="Z172" s="516"/>
      <c r="AA172" s="519"/>
      <c r="AB172" s="516"/>
      <c r="AC172" s="519"/>
      <c r="AD172" s="516"/>
      <c r="AE172" s="519"/>
      <c r="AF172" s="506">
        <f t="shared" si="97"/>
        <v>0</v>
      </c>
      <c r="AG172" s="507">
        <f t="shared" si="98"/>
        <v>0</v>
      </c>
      <c r="AH172" s="508">
        <f t="shared" si="99"/>
        <v>0</v>
      </c>
      <c r="AI172" s="508">
        <f t="shared" si="100"/>
        <v>0</v>
      </c>
      <c r="AJ172" s="516"/>
      <c r="AK172" s="519"/>
      <c r="AL172" s="506">
        <f t="shared" si="101"/>
        <v>0</v>
      </c>
      <c r="AM172" s="509">
        <f t="shared" si="102"/>
        <v>0</v>
      </c>
      <c r="AN172" s="518"/>
      <c r="AO172" s="520"/>
      <c r="AP172" s="516"/>
      <c r="AQ172" s="520"/>
      <c r="AR172" s="516"/>
      <c r="AS172" s="520"/>
      <c r="AT172" s="516"/>
      <c r="AU172" s="520"/>
      <c r="AV172" s="506">
        <f t="shared" si="103"/>
        <v>0</v>
      </c>
      <c r="AW172" s="511">
        <f t="shared" si="104"/>
        <v>0</v>
      </c>
      <c r="AX172" s="508">
        <f t="shared" si="105"/>
        <v>0</v>
      </c>
      <c r="AY172" s="512">
        <f t="shared" si="106"/>
        <v>0</v>
      </c>
      <c r="AZ172" s="513">
        <f t="shared" si="107"/>
        <v>1177.5899999999999</v>
      </c>
      <c r="BA172" s="508">
        <f t="shared" si="108"/>
        <v>1014.6</v>
      </c>
    </row>
    <row r="173" spans="1:53">
      <c r="A173" s="748" t="s">
        <v>142</v>
      </c>
      <c r="B173" s="487" t="s">
        <v>221</v>
      </c>
      <c r="C173" s="531"/>
      <c r="D173" s="489">
        <v>140942</v>
      </c>
      <c r="E173" s="490">
        <v>12</v>
      </c>
      <c r="F173" s="514" t="s">
        <v>41</v>
      </c>
      <c r="G173" s="515" t="s">
        <v>41</v>
      </c>
      <c r="H173" s="516">
        <v>37717.9</v>
      </c>
      <c r="I173" s="519"/>
      <c r="J173" s="516">
        <v>34802.400000000001</v>
      </c>
      <c r="K173" s="519">
        <v>40843</v>
      </c>
      <c r="L173" s="516">
        <v>21076.400000000001</v>
      </c>
      <c r="M173" s="519">
        <v>25235</v>
      </c>
      <c r="N173" s="516">
        <v>42060</v>
      </c>
      <c r="O173" s="519">
        <v>44130</v>
      </c>
      <c r="P173" s="506">
        <f t="shared" si="91"/>
        <v>135656.70000000001</v>
      </c>
      <c r="Q173" s="507">
        <f t="shared" si="92"/>
        <v>4521.8900000000003</v>
      </c>
      <c r="R173" s="508">
        <f t="shared" si="93"/>
        <v>110208</v>
      </c>
      <c r="S173" s="509">
        <f t="shared" si="94"/>
        <v>3673.6</v>
      </c>
      <c r="T173" s="516">
        <v>2322.1</v>
      </c>
      <c r="U173" s="519">
        <v>1356</v>
      </c>
      <c r="V173" s="506">
        <f t="shared" si="95"/>
        <v>135656.70000000001</v>
      </c>
      <c r="W173" s="510">
        <f t="shared" si="96"/>
        <v>110208</v>
      </c>
      <c r="X173" s="517"/>
      <c r="Y173" s="519"/>
      <c r="Z173" s="516"/>
      <c r="AA173" s="519"/>
      <c r="AB173" s="516"/>
      <c r="AC173" s="519"/>
      <c r="AD173" s="516"/>
      <c r="AE173" s="519"/>
      <c r="AF173" s="506">
        <f t="shared" si="97"/>
        <v>0</v>
      </c>
      <c r="AG173" s="507">
        <f t="shared" si="98"/>
        <v>0</v>
      </c>
      <c r="AH173" s="508">
        <f t="shared" si="99"/>
        <v>0</v>
      </c>
      <c r="AI173" s="508">
        <f t="shared" si="100"/>
        <v>0</v>
      </c>
      <c r="AJ173" s="516"/>
      <c r="AK173" s="519"/>
      <c r="AL173" s="506">
        <f t="shared" si="101"/>
        <v>0</v>
      </c>
      <c r="AM173" s="509">
        <f t="shared" si="102"/>
        <v>0</v>
      </c>
      <c r="AN173" s="518"/>
      <c r="AO173" s="520"/>
      <c r="AP173" s="516"/>
      <c r="AQ173" s="520"/>
      <c r="AR173" s="516"/>
      <c r="AS173" s="520"/>
      <c r="AT173" s="516"/>
      <c r="AU173" s="520"/>
      <c r="AV173" s="506">
        <f t="shared" si="103"/>
        <v>0</v>
      </c>
      <c r="AW173" s="511">
        <f t="shared" si="104"/>
        <v>0</v>
      </c>
      <c r="AX173" s="508">
        <f t="shared" si="105"/>
        <v>0</v>
      </c>
      <c r="AY173" s="512">
        <f t="shared" si="106"/>
        <v>0</v>
      </c>
      <c r="AZ173" s="513">
        <f t="shared" si="107"/>
        <v>4521.8900000000003</v>
      </c>
      <c r="BA173" s="508">
        <f t="shared" si="108"/>
        <v>3673.6</v>
      </c>
    </row>
    <row r="174" spans="1:53">
      <c r="A174" s="748" t="s">
        <v>142</v>
      </c>
      <c r="B174" s="487" t="s">
        <v>222</v>
      </c>
      <c r="C174" s="531"/>
      <c r="D174" s="489">
        <v>141006</v>
      </c>
      <c r="E174" s="490">
        <v>12</v>
      </c>
      <c r="F174" s="514" t="s">
        <v>41</v>
      </c>
      <c r="G174" s="515" t="s">
        <v>41</v>
      </c>
      <c r="H174" s="516">
        <v>20734.400000000001</v>
      </c>
      <c r="I174" s="519"/>
      <c r="J174" s="516">
        <v>19875.7</v>
      </c>
      <c r="K174" s="519">
        <v>20930</v>
      </c>
      <c r="L174" s="516">
        <v>8747.1</v>
      </c>
      <c r="M174" s="519">
        <v>9300</v>
      </c>
      <c r="N174" s="516">
        <v>23652</v>
      </c>
      <c r="O174" s="519">
        <v>19249.7</v>
      </c>
      <c r="P174" s="506">
        <f t="shared" si="91"/>
        <v>73009.200000000012</v>
      </c>
      <c r="Q174" s="507">
        <f t="shared" si="92"/>
        <v>2433.6400000000003</v>
      </c>
      <c r="R174" s="508">
        <f t="shared" si="93"/>
        <v>49479.7</v>
      </c>
      <c r="S174" s="509">
        <f t="shared" si="94"/>
        <v>1649.3233333333333</v>
      </c>
      <c r="T174" s="516">
        <v>1468.4</v>
      </c>
      <c r="U174" s="519">
        <v>1573.3</v>
      </c>
      <c r="V174" s="506">
        <f t="shared" si="95"/>
        <v>73009.200000000012</v>
      </c>
      <c r="W174" s="510">
        <f t="shared" si="96"/>
        <v>49479.7</v>
      </c>
      <c r="X174" s="517"/>
      <c r="Y174" s="519"/>
      <c r="Z174" s="516"/>
      <c r="AA174" s="519"/>
      <c r="AB174" s="516"/>
      <c r="AC174" s="519"/>
      <c r="AD174" s="516"/>
      <c r="AE174" s="519"/>
      <c r="AF174" s="506">
        <f t="shared" si="97"/>
        <v>0</v>
      </c>
      <c r="AG174" s="507">
        <f t="shared" si="98"/>
        <v>0</v>
      </c>
      <c r="AH174" s="508">
        <f t="shared" si="99"/>
        <v>0</v>
      </c>
      <c r="AI174" s="508">
        <f t="shared" si="100"/>
        <v>0</v>
      </c>
      <c r="AJ174" s="516"/>
      <c r="AK174" s="519"/>
      <c r="AL174" s="506">
        <f t="shared" si="101"/>
        <v>0</v>
      </c>
      <c r="AM174" s="509">
        <f t="shared" si="102"/>
        <v>0</v>
      </c>
      <c r="AN174" s="518"/>
      <c r="AO174" s="520"/>
      <c r="AP174" s="516"/>
      <c r="AQ174" s="520"/>
      <c r="AR174" s="516"/>
      <c r="AS174" s="520"/>
      <c r="AT174" s="516"/>
      <c r="AU174" s="520"/>
      <c r="AV174" s="506">
        <f t="shared" si="103"/>
        <v>0</v>
      </c>
      <c r="AW174" s="511">
        <f t="shared" si="104"/>
        <v>0</v>
      </c>
      <c r="AX174" s="508">
        <f t="shared" si="105"/>
        <v>0</v>
      </c>
      <c r="AY174" s="512">
        <f t="shared" si="106"/>
        <v>0</v>
      </c>
      <c r="AZ174" s="513">
        <f t="shared" si="107"/>
        <v>2433.6400000000003</v>
      </c>
      <c r="BA174" s="508">
        <f t="shared" si="108"/>
        <v>1649.3233333333333</v>
      </c>
    </row>
    <row r="175" spans="1:53">
      <c r="A175" s="748" t="s">
        <v>142</v>
      </c>
      <c r="B175" s="503" t="s">
        <v>223</v>
      </c>
      <c r="C175" s="531"/>
      <c r="D175" s="489">
        <v>368911</v>
      </c>
      <c r="E175" s="490">
        <v>12</v>
      </c>
      <c r="F175" s="514" t="s">
        <v>41</v>
      </c>
      <c r="G175" s="515" t="s">
        <v>41</v>
      </c>
      <c r="H175" s="516">
        <v>12954</v>
      </c>
      <c r="I175" s="519"/>
      <c r="J175" s="516">
        <v>12408</v>
      </c>
      <c r="K175" s="519">
        <v>16006</v>
      </c>
      <c r="L175" s="516">
        <v>4332.2</v>
      </c>
      <c r="M175" s="519">
        <v>9030</v>
      </c>
      <c r="N175" s="516">
        <v>16303</v>
      </c>
      <c r="O175" s="519">
        <v>15706</v>
      </c>
      <c r="P175" s="506">
        <f t="shared" si="91"/>
        <v>45997.2</v>
      </c>
      <c r="Q175" s="507">
        <f t="shared" si="92"/>
        <v>1533.24</v>
      </c>
      <c r="R175" s="508">
        <f t="shared" si="93"/>
        <v>40742</v>
      </c>
      <c r="S175" s="509">
        <f t="shared" si="94"/>
        <v>1358.0666666666666</v>
      </c>
      <c r="T175" s="516">
        <v>2133.6999999999998</v>
      </c>
      <c r="U175" s="519">
        <v>2270</v>
      </c>
      <c r="V175" s="506">
        <f t="shared" si="95"/>
        <v>45997.2</v>
      </c>
      <c r="W175" s="510">
        <f t="shared" si="96"/>
        <v>40742</v>
      </c>
      <c r="X175" s="517"/>
      <c r="Y175" s="519"/>
      <c r="Z175" s="516"/>
      <c r="AA175" s="519"/>
      <c r="AB175" s="516"/>
      <c r="AC175" s="519"/>
      <c r="AD175" s="516"/>
      <c r="AE175" s="519"/>
      <c r="AF175" s="506">
        <f t="shared" si="97"/>
        <v>0</v>
      </c>
      <c r="AG175" s="507">
        <f t="shared" si="98"/>
        <v>0</v>
      </c>
      <c r="AH175" s="508">
        <f t="shared" si="99"/>
        <v>0</v>
      </c>
      <c r="AI175" s="508">
        <f t="shared" si="100"/>
        <v>0</v>
      </c>
      <c r="AJ175" s="516"/>
      <c r="AK175" s="519"/>
      <c r="AL175" s="506">
        <f t="shared" si="101"/>
        <v>0</v>
      </c>
      <c r="AM175" s="509">
        <f t="shared" si="102"/>
        <v>0</v>
      </c>
      <c r="AN175" s="518"/>
      <c r="AO175" s="520"/>
      <c r="AP175" s="516"/>
      <c r="AQ175" s="520"/>
      <c r="AR175" s="516"/>
      <c r="AS175" s="520"/>
      <c r="AT175" s="516"/>
      <c r="AU175" s="520"/>
      <c r="AV175" s="506">
        <f t="shared" si="103"/>
        <v>0</v>
      </c>
      <c r="AW175" s="511">
        <f t="shared" si="104"/>
        <v>0</v>
      </c>
      <c r="AX175" s="508">
        <f t="shared" si="105"/>
        <v>0</v>
      </c>
      <c r="AY175" s="512">
        <f t="shared" si="106"/>
        <v>0</v>
      </c>
      <c r="AZ175" s="513">
        <f t="shared" si="107"/>
        <v>1533.24</v>
      </c>
      <c r="BA175" s="508">
        <f t="shared" si="108"/>
        <v>1358.0666666666666</v>
      </c>
    </row>
    <row r="176" spans="1:53">
      <c r="A176" s="748" t="s">
        <v>142</v>
      </c>
      <c r="B176" s="499" t="s">
        <v>224</v>
      </c>
      <c r="C176" s="531"/>
      <c r="D176" s="489">
        <v>139986</v>
      </c>
      <c r="E176" s="542">
        <v>12</v>
      </c>
      <c r="F176" s="514" t="s">
        <v>41</v>
      </c>
      <c r="G176" s="515" t="s">
        <v>41</v>
      </c>
      <c r="H176" s="516">
        <v>41650.300000000003</v>
      </c>
      <c r="I176" s="519"/>
      <c r="J176" s="516">
        <v>38802.800000000003</v>
      </c>
      <c r="K176" s="519">
        <v>50196</v>
      </c>
      <c r="L176" s="516">
        <v>15218.8</v>
      </c>
      <c r="M176" s="519">
        <v>22700</v>
      </c>
      <c r="N176" s="516">
        <v>48389</v>
      </c>
      <c r="O176" s="519">
        <v>52330</v>
      </c>
      <c r="P176" s="506">
        <f t="shared" si="91"/>
        <v>144060.90000000002</v>
      </c>
      <c r="Q176" s="507">
        <f t="shared" si="92"/>
        <v>4802.0300000000007</v>
      </c>
      <c r="R176" s="508">
        <f t="shared" si="93"/>
        <v>125226</v>
      </c>
      <c r="S176" s="509">
        <f t="shared" si="94"/>
        <v>4174.2</v>
      </c>
      <c r="T176" s="516">
        <v>1473.7</v>
      </c>
      <c r="U176" s="519">
        <v>1938</v>
      </c>
      <c r="V176" s="506">
        <f t="shared" si="95"/>
        <v>144060.90000000002</v>
      </c>
      <c r="W176" s="510">
        <f t="shared" si="96"/>
        <v>125226</v>
      </c>
      <c r="X176" s="517"/>
      <c r="Y176" s="519"/>
      <c r="Z176" s="516"/>
      <c r="AA176" s="519"/>
      <c r="AB176" s="516"/>
      <c r="AC176" s="519"/>
      <c r="AD176" s="516"/>
      <c r="AE176" s="519"/>
      <c r="AF176" s="506">
        <f t="shared" si="97"/>
        <v>0</v>
      </c>
      <c r="AG176" s="507">
        <f t="shared" si="98"/>
        <v>0</v>
      </c>
      <c r="AH176" s="508">
        <f t="shared" si="99"/>
        <v>0</v>
      </c>
      <c r="AI176" s="508">
        <f t="shared" si="100"/>
        <v>0</v>
      </c>
      <c r="AJ176" s="516"/>
      <c r="AK176" s="519"/>
      <c r="AL176" s="506">
        <f t="shared" si="101"/>
        <v>0</v>
      </c>
      <c r="AM176" s="509">
        <f t="shared" si="102"/>
        <v>0</v>
      </c>
      <c r="AN176" s="518"/>
      <c r="AO176" s="520"/>
      <c r="AP176" s="516"/>
      <c r="AQ176" s="520"/>
      <c r="AR176" s="516"/>
      <c r="AS176" s="520"/>
      <c r="AT176" s="516"/>
      <c r="AU176" s="520"/>
      <c r="AV176" s="506">
        <f t="shared" si="103"/>
        <v>0</v>
      </c>
      <c r="AW176" s="511">
        <f t="shared" si="104"/>
        <v>0</v>
      </c>
      <c r="AX176" s="508">
        <f t="shared" si="105"/>
        <v>0</v>
      </c>
      <c r="AY176" s="512">
        <f t="shared" si="106"/>
        <v>0</v>
      </c>
      <c r="AZ176" s="513">
        <f t="shared" si="107"/>
        <v>4802.0300000000007</v>
      </c>
      <c r="BA176" s="508">
        <f t="shared" si="108"/>
        <v>4174.2</v>
      </c>
    </row>
    <row r="177" spans="1:53">
      <c r="A177" s="748" t="s">
        <v>142</v>
      </c>
      <c r="B177" s="503" t="s">
        <v>225</v>
      </c>
      <c r="C177" s="531"/>
      <c r="D177" s="489">
        <v>141158</v>
      </c>
      <c r="E177" s="490">
        <v>12</v>
      </c>
      <c r="F177" s="514" t="s">
        <v>41</v>
      </c>
      <c r="G177" s="515" t="s">
        <v>41</v>
      </c>
      <c r="H177" s="516">
        <v>11118.6</v>
      </c>
      <c r="I177" s="519"/>
      <c r="J177" s="516">
        <v>9766.5</v>
      </c>
      <c r="K177" s="519">
        <v>14546</v>
      </c>
      <c r="L177" s="516">
        <v>4271.2</v>
      </c>
      <c r="M177" s="519">
        <v>8470</v>
      </c>
      <c r="N177" s="516">
        <v>14739</v>
      </c>
      <c r="O177" s="519">
        <v>13749</v>
      </c>
      <c r="P177" s="506">
        <f t="shared" si="91"/>
        <v>39895.300000000003</v>
      </c>
      <c r="Q177" s="507">
        <f t="shared" si="92"/>
        <v>1329.8433333333335</v>
      </c>
      <c r="R177" s="508">
        <f t="shared" si="93"/>
        <v>36765</v>
      </c>
      <c r="S177" s="509">
        <f t="shared" si="94"/>
        <v>1225.5</v>
      </c>
      <c r="T177" s="516">
        <v>2535.6999999999998</v>
      </c>
      <c r="U177" s="519">
        <v>2339.3000000000002</v>
      </c>
      <c r="V177" s="506">
        <f t="shared" si="95"/>
        <v>39895.300000000003</v>
      </c>
      <c r="W177" s="510">
        <f t="shared" si="96"/>
        <v>36765</v>
      </c>
      <c r="X177" s="517"/>
      <c r="Y177" s="519"/>
      <c r="Z177" s="516"/>
      <c r="AA177" s="519"/>
      <c r="AB177" s="516"/>
      <c r="AC177" s="519"/>
      <c r="AD177" s="516"/>
      <c r="AE177" s="519"/>
      <c r="AF177" s="506">
        <f t="shared" si="97"/>
        <v>0</v>
      </c>
      <c r="AG177" s="507">
        <f t="shared" si="98"/>
        <v>0</v>
      </c>
      <c r="AH177" s="508">
        <f t="shared" si="99"/>
        <v>0</v>
      </c>
      <c r="AI177" s="508">
        <f t="shared" si="100"/>
        <v>0</v>
      </c>
      <c r="AJ177" s="516"/>
      <c r="AK177" s="519"/>
      <c r="AL177" s="506">
        <f t="shared" si="101"/>
        <v>0</v>
      </c>
      <c r="AM177" s="509">
        <f t="shared" si="102"/>
        <v>0</v>
      </c>
      <c r="AN177" s="518"/>
      <c r="AO177" s="520"/>
      <c r="AP177" s="516"/>
      <c r="AQ177" s="520"/>
      <c r="AR177" s="516"/>
      <c r="AS177" s="520"/>
      <c r="AT177" s="516"/>
      <c r="AU177" s="520"/>
      <c r="AV177" s="506">
        <f t="shared" si="103"/>
        <v>0</v>
      </c>
      <c r="AW177" s="511">
        <f t="shared" si="104"/>
        <v>0</v>
      </c>
      <c r="AX177" s="508">
        <f t="shared" si="105"/>
        <v>0</v>
      </c>
      <c r="AY177" s="512">
        <f t="shared" si="106"/>
        <v>0</v>
      </c>
      <c r="AZ177" s="513">
        <f t="shared" si="107"/>
        <v>1329.8433333333335</v>
      </c>
      <c r="BA177" s="508">
        <f t="shared" si="108"/>
        <v>1225.5</v>
      </c>
    </row>
    <row r="178" spans="1:53">
      <c r="A178" s="486" t="s">
        <v>142</v>
      </c>
      <c r="B178" s="503" t="s">
        <v>226</v>
      </c>
      <c r="C178" s="531"/>
      <c r="D178" s="489">
        <v>139278</v>
      </c>
      <c r="E178" s="490">
        <v>12</v>
      </c>
      <c r="F178" s="514" t="s">
        <v>41</v>
      </c>
      <c r="G178" s="515" t="s">
        <v>41</v>
      </c>
      <c r="H178" s="516">
        <v>51884.6</v>
      </c>
      <c r="I178" s="519"/>
      <c r="J178" s="516">
        <v>48082.400000000001</v>
      </c>
      <c r="K178" s="519">
        <v>59203</v>
      </c>
      <c r="L178" s="516">
        <v>19157</v>
      </c>
      <c r="M178" s="519">
        <v>27351</v>
      </c>
      <c r="N178" s="516">
        <v>62486</v>
      </c>
      <c r="O178" s="519">
        <v>58238</v>
      </c>
      <c r="P178" s="506">
        <f t="shared" si="91"/>
        <v>181610</v>
      </c>
      <c r="Q178" s="507">
        <f t="shared" si="92"/>
        <v>6053.666666666667</v>
      </c>
      <c r="R178" s="508">
        <f t="shared" si="93"/>
        <v>144792</v>
      </c>
      <c r="S178" s="509">
        <f t="shared" si="94"/>
        <v>4826.3999999999996</v>
      </c>
      <c r="T178" s="516">
        <v>6574.8</v>
      </c>
      <c r="U178" s="519">
        <v>6971</v>
      </c>
      <c r="V178" s="506">
        <f t="shared" si="95"/>
        <v>181610</v>
      </c>
      <c r="W178" s="510">
        <f t="shared" si="96"/>
        <v>144792</v>
      </c>
      <c r="X178" s="517"/>
      <c r="Y178" s="519"/>
      <c r="Z178" s="516"/>
      <c r="AA178" s="519"/>
      <c r="AB178" s="516"/>
      <c r="AC178" s="519"/>
      <c r="AD178" s="516"/>
      <c r="AE178" s="519"/>
      <c r="AF178" s="506">
        <f t="shared" si="97"/>
        <v>0</v>
      </c>
      <c r="AG178" s="507">
        <f t="shared" si="98"/>
        <v>0</v>
      </c>
      <c r="AH178" s="508">
        <f t="shared" si="99"/>
        <v>0</v>
      </c>
      <c r="AI178" s="508">
        <f t="shared" si="100"/>
        <v>0</v>
      </c>
      <c r="AJ178" s="516"/>
      <c r="AK178" s="519"/>
      <c r="AL178" s="506">
        <f t="shared" si="101"/>
        <v>0</v>
      </c>
      <c r="AM178" s="509">
        <f t="shared" si="102"/>
        <v>0</v>
      </c>
      <c r="AN178" s="518"/>
      <c r="AO178" s="520"/>
      <c r="AP178" s="516"/>
      <c r="AQ178" s="520"/>
      <c r="AR178" s="516"/>
      <c r="AS178" s="520"/>
      <c r="AT178" s="516"/>
      <c r="AU178" s="520"/>
      <c r="AV178" s="506">
        <f t="shared" si="103"/>
        <v>0</v>
      </c>
      <c r="AW178" s="511">
        <f t="shared" si="104"/>
        <v>0</v>
      </c>
      <c r="AX178" s="508">
        <f t="shared" si="105"/>
        <v>0</v>
      </c>
      <c r="AY178" s="512">
        <f t="shared" si="106"/>
        <v>0</v>
      </c>
      <c r="AZ178" s="513">
        <f t="shared" si="107"/>
        <v>6053.666666666667</v>
      </c>
      <c r="BA178" s="508">
        <f t="shared" si="108"/>
        <v>4826.3999999999996</v>
      </c>
    </row>
    <row r="179" spans="1:53">
      <c r="A179" s="748" t="s">
        <v>142</v>
      </c>
      <c r="B179" s="499" t="s">
        <v>227</v>
      </c>
      <c r="C179" s="531"/>
      <c r="D179" s="489">
        <v>141255</v>
      </c>
      <c r="E179" s="542">
        <v>12</v>
      </c>
      <c r="F179" s="514" t="s">
        <v>41</v>
      </c>
      <c r="G179" s="515" t="s">
        <v>41</v>
      </c>
      <c r="H179" s="516">
        <v>39835.300000000003</v>
      </c>
      <c r="I179" s="519"/>
      <c r="J179" s="516">
        <v>37235.199999999997</v>
      </c>
      <c r="K179" s="519">
        <v>39061</v>
      </c>
      <c r="L179" s="516">
        <v>16354.2</v>
      </c>
      <c r="M179" s="519">
        <v>21641</v>
      </c>
      <c r="N179" s="516">
        <v>44327</v>
      </c>
      <c r="O179" s="519">
        <v>38740</v>
      </c>
      <c r="P179" s="506">
        <f t="shared" si="91"/>
        <v>137751.70000000001</v>
      </c>
      <c r="Q179" s="507">
        <f t="shared" si="92"/>
        <v>4591.7233333333334</v>
      </c>
      <c r="R179" s="508">
        <f t="shared" si="93"/>
        <v>99442</v>
      </c>
      <c r="S179" s="509">
        <f t="shared" si="94"/>
        <v>3314.7333333333331</v>
      </c>
      <c r="T179" s="516">
        <v>2909.8</v>
      </c>
      <c r="U179" s="519">
        <v>3295</v>
      </c>
      <c r="V179" s="506">
        <f t="shared" si="95"/>
        <v>137751.70000000001</v>
      </c>
      <c r="W179" s="510">
        <f t="shared" si="96"/>
        <v>99442</v>
      </c>
      <c r="X179" s="517"/>
      <c r="Y179" s="519"/>
      <c r="Z179" s="516"/>
      <c r="AA179" s="519"/>
      <c r="AB179" s="516"/>
      <c r="AC179" s="519"/>
      <c r="AD179" s="516"/>
      <c r="AE179" s="519"/>
      <c r="AF179" s="506">
        <f t="shared" si="97"/>
        <v>0</v>
      </c>
      <c r="AG179" s="507">
        <f t="shared" si="98"/>
        <v>0</v>
      </c>
      <c r="AH179" s="508">
        <f t="shared" si="99"/>
        <v>0</v>
      </c>
      <c r="AI179" s="508">
        <f t="shared" si="100"/>
        <v>0</v>
      </c>
      <c r="AJ179" s="516"/>
      <c r="AK179" s="519"/>
      <c r="AL179" s="506">
        <f t="shared" si="101"/>
        <v>0</v>
      </c>
      <c r="AM179" s="509">
        <f t="shared" si="102"/>
        <v>0</v>
      </c>
      <c r="AN179" s="518"/>
      <c r="AO179" s="520"/>
      <c r="AP179" s="516"/>
      <c r="AQ179" s="520"/>
      <c r="AR179" s="516"/>
      <c r="AS179" s="520"/>
      <c r="AT179" s="516"/>
      <c r="AU179" s="520"/>
      <c r="AV179" s="506">
        <f t="shared" si="103"/>
        <v>0</v>
      </c>
      <c r="AW179" s="511">
        <f t="shared" si="104"/>
        <v>0</v>
      </c>
      <c r="AX179" s="508">
        <f t="shared" si="105"/>
        <v>0</v>
      </c>
      <c r="AY179" s="512">
        <f t="shared" si="106"/>
        <v>0</v>
      </c>
      <c r="AZ179" s="513">
        <f t="shared" si="107"/>
        <v>4591.7233333333334</v>
      </c>
      <c r="BA179" s="508">
        <f t="shared" si="108"/>
        <v>3314.7333333333331</v>
      </c>
    </row>
    <row r="180" spans="1:53">
      <c r="A180" s="521" t="s">
        <v>251</v>
      </c>
      <c r="B180" s="505" t="s">
        <v>252</v>
      </c>
      <c r="C180" s="545"/>
      <c r="D180" s="717">
        <v>157085</v>
      </c>
      <c r="E180" s="544">
        <v>1</v>
      </c>
      <c r="F180" s="514" t="s">
        <v>41</v>
      </c>
      <c r="G180" s="515"/>
      <c r="H180" s="516"/>
      <c r="I180" s="519"/>
      <c r="J180" s="516">
        <v>250747</v>
      </c>
      <c r="K180" s="519">
        <v>254226</v>
      </c>
      <c r="L180" s="516">
        <v>28605</v>
      </c>
      <c r="M180" s="519">
        <v>26786</v>
      </c>
      <c r="N180" s="516">
        <v>276434</v>
      </c>
      <c r="O180" s="519">
        <v>287886</v>
      </c>
      <c r="P180" s="506">
        <f t="shared" si="91"/>
        <v>555786</v>
      </c>
      <c r="Q180" s="507">
        <f t="shared" si="92"/>
        <v>18526.2</v>
      </c>
      <c r="R180" s="508">
        <f t="shared" si="93"/>
        <v>568898</v>
      </c>
      <c r="S180" s="509">
        <f t="shared" si="94"/>
        <v>18963.266666666666</v>
      </c>
      <c r="T180" s="516">
        <v>47</v>
      </c>
      <c r="U180" s="519">
        <v>67</v>
      </c>
      <c r="V180" s="506">
        <f t="shared" si="95"/>
        <v>555786</v>
      </c>
      <c r="W180" s="510">
        <f t="shared" si="96"/>
        <v>568898</v>
      </c>
      <c r="X180" s="517"/>
      <c r="Y180" s="519"/>
      <c r="Z180" s="516"/>
      <c r="AA180" s="519"/>
      <c r="AB180" s="516"/>
      <c r="AC180" s="519"/>
      <c r="AD180" s="516"/>
      <c r="AE180" s="519"/>
      <c r="AF180" s="506">
        <f t="shared" si="97"/>
        <v>0</v>
      </c>
      <c r="AG180" s="507">
        <f t="shared" si="98"/>
        <v>0</v>
      </c>
      <c r="AH180" s="508">
        <f t="shared" si="99"/>
        <v>0</v>
      </c>
      <c r="AI180" s="508">
        <f t="shared" si="100"/>
        <v>0</v>
      </c>
      <c r="AJ180" s="516"/>
      <c r="AK180" s="519"/>
      <c r="AL180" s="506">
        <f t="shared" si="101"/>
        <v>0</v>
      </c>
      <c r="AM180" s="509">
        <f t="shared" si="102"/>
        <v>0</v>
      </c>
      <c r="AN180" s="518"/>
      <c r="AO180" s="520"/>
      <c r="AP180" s="516">
        <v>37914</v>
      </c>
      <c r="AQ180" s="520">
        <v>38218</v>
      </c>
      <c r="AR180" s="516">
        <v>5855</v>
      </c>
      <c r="AS180" s="520">
        <v>6445</v>
      </c>
      <c r="AT180" s="516">
        <v>40854</v>
      </c>
      <c r="AU180" s="520">
        <v>41006</v>
      </c>
      <c r="AV180" s="506">
        <f t="shared" si="103"/>
        <v>84623</v>
      </c>
      <c r="AW180" s="511">
        <f t="shared" si="104"/>
        <v>3525.9583333333335</v>
      </c>
      <c r="AX180" s="508">
        <f t="shared" si="105"/>
        <v>85669</v>
      </c>
      <c r="AY180" s="512">
        <f t="shared" si="106"/>
        <v>3569.5416666666665</v>
      </c>
      <c r="AZ180" s="513">
        <f t="shared" si="107"/>
        <v>22052.158333333333</v>
      </c>
      <c r="BA180" s="508">
        <f t="shared" si="108"/>
        <v>22532.808333333334</v>
      </c>
    </row>
    <row r="181" spans="1:53">
      <c r="A181" s="521" t="s">
        <v>251</v>
      </c>
      <c r="B181" s="505" t="s">
        <v>253</v>
      </c>
      <c r="C181" s="545"/>
      <c r="D181" s="717">
        <v>157289</v>
      </c>
      <c r="E181" s="544">
        <v>1</v>
      </c>
      <c r="F181" s="514" t="s">
        <v>41</v>
      </c>
      <c r="G181" s="515"/>
      <c r="H181" s="516"/>
      <c r="I181" s="519"/>
      <c r="J181" s="516">
        <v>173103</v>
      </c>
      <c r="K181" s="519">
        <v>172938</v>
      </c>
      <c r="L181" s="516">
        <v>35687</v>
      </c>
      <c r="M181" s="519">
        <v>33151</v>
      </c>
      <c r="N181" s="516">
        <v>188398</v>
      </c>
      <c r="O181" s="519">
        <v>192741</v>
      </c>
      <c r="P181" s="506">
        <f t="shared" si="91"/>
        <v>397188</v>
      </c>
      <c r="Q181" s="507">
        <f t="shared" si="92"/>
        <v>13239.6</v>
      </c>
      <c r="R181" s="508">
        <f t="shared" si="93"/>
        <v>398830</v>
      </c>
      <c r="S181" s="509">
        <f t="shared" si="94"/>
        <v>13294.333333333334</v>
      </c>
      <c r="T181" s="516">
        <v>1282</v>
      </c>
      <c r="U181" s="519">
        <v>1485</v>
      </c>
      <c r="V181" s="506">
        <f t="shared" si="95"/>
        <v>397188</v>
      </c>
      <c r="W181" s="510">
        <f t="shared" si="96"/>
        <v>398830</v>
      </c>
      <c r="X181" s="517"/>
      <c r="Y181" s="519"/>
      <c r="Z181" s="516"/>
      <c r="AA181" s="519"/>
      <c r="AB181" s="516"/>
      <c r="AC181" s="519"/>
      <c r="AD181" s="516"/>
      <c r="AE181" s="519"/>
      <c r="AF181" s="506">
        <f t="shared" si="97"/>
        <v>0</v>
      </c>
      <c r="AG181" s="507">
        <f t="shared" si="98"/>
        <v>0</v>
      </c>
      <c r="AH181" s="508">
        <f t="shared" si="99"/>
        <v>0</v>
      </c>
      <c r="AI181" s="508">
        <f t="shared" si="100"/>
        <v>0</v>
      </c>
      <c r="AJ181" s="516"/>
      <c r="AK181" s="519"/>
      <c r="AL181" s="506">
        <f t="shared" si="101"/>
        <v>0</v>
      </c>
      <c r="AM181" s="509">
        <f t="shared" si="102"/>
        <v>0</v>
      </c>
      <c r="AN181" s="518"/>
      <c r="AO181" s="520"/>
      <c r="AP181" s="516">
        <v>33803</v>
      </c>
      <c r="AQ181" s="520">
        <v>32598</v>
      </c>
      <c r="AR181" s="516">
        <v>11944</v>
      </c>
      <c r="AS181" s="520">
        <v>10649</v>
      </c>
      <c r="AT181" s="516">
        <v>33454</v>
      </c>
      <c r="AU181" s="520">
        <v>32939</v>
      </c>
      <c r="AV181" s="506">
        <f t="shared" si="103"/>
        <v>79201</v>
      </c>
      <c r="AW181" s="511">
        <f t="shared" si="104"/>
        <v>3300.0416666666665</v>
      </c>
      <c r="AX181" s="508">
        <f t="shared" si="105"/>
        <v>76186</v>
      </c>
      <c r="AY181" s="512">
        <f t="shared" si="106"/>
        <v>3174.4166666666665</v>
      </c>
      <c r="AZ181" s="513">
        <f t="shared" si="107"/>
        <v>16539.641666666666</v>
      </c>
      <c r="BA181" s="508">
        <f t="shared" si="108"/>
        <v>16468.75</v>
      </c>
    </row>
    <row r="182" spans="1:53">
      <c r="A182" s="521" t="s">
        <v>251</v>
      </c>
      <c r="B182" s="505" t="s">
        <v>254</v>
      </c>
      <c r="C182" s="545"/>
      <c r="D182" s="717">
        <v>156620</v>
      </c>
      <c r="E182" s="544">
        <v>3</v>
      </c>
      <c r="F182" s="514" t="s">
        <v>41</v>
      </c>
      <c r="G182" s="515"/>
      <c r="H182" s="516"/>
      <c r="I182" s="519"/>
      <c r="J182" s="516">
        <v>167687</v>
      </c>
      <c r="K182" s="519">
        <v>161687</v>
      </c>
      <c r="L182" s="516">
        <v>22324</v>
      </c>
      <c r="M182" s="519">
        <v>21855</v>
      </c>
      <c r="N182" s="516">
        <v>176487</v>
      </c>
      <c r="O182" s="519">
        <v>177480</v>
      </c>
      <c r="P182" s="506">
        <f t="shared" si="91"/>
        <v>366498</v>
      </c>
      <c r="Q182" s="507">
        <f t="shared" si="92"/>
        <v>12216.6</v>
      </c>
      <c r="R182" s="508">
        <f t="shared" si="93"/>
        <v>361022</v>
      </c>
      <c r="S182" s="509">
        <f t="shared" si="94"/>
        <v>12034.066666666668</v>
      </c>
      <c r="T182" s="516">
        <v>2863</v>
      </c>
      <c r="U182" s="519">
        <v>3279</v>
      </c>
      <c r="V182" s="506">
        <f t="shared" si="95"/>
        <v>366498</v>
      </c>
      <c r="W182" s="510">
        <f t="shared" si="96"/>
        <v>361022</v>
      </c>
      <c r="X182" s="517"/>
      <c r="Y182" s="519"/>
      <c r="Z182" s="516"/>
      <c r="AA182" s="519"/>
      <c r="AB182" s="516"/>
      <c r="AC182" s="519"/>
      <c r="AD182" s="516"/>
      <c r="AE182" s="519"/>
      <c r="AF182" s="506">
        <f t="shared" si="97"/>
        <v>0</v>
      </c>
      <c r="AG182" s="507">
        <f t="shared" si="98"/>
        <v>0</v>
      </c>
      <c r="AH182" s="508">
        <f t="shared" si="99"/>
        <v>0</v>
      </c>
      <c r="AI182" s="508">
        <f t="shared" si="100"/>
        <v>0</v>
      </c>
      <c r="AJ182" s="516"/>
      <c r="AK182" s="519"/>
      <c r="AL182" s="506">
        <f t="shared" si="101"/>
        <v>0</v>
      </c>
      <c r="AM182" s="509">
        <f t="shared" si="102"/>
        <v>0</v>
      </c>
      <c r="AN182" s="518"/>
      <c r="AO182" s="520"/>
      <c r="AP182" s="558">
        <v>14499</v>
      </c>
      <c r="AQ182" s="520">
        <v>13582</v>
      </c>
      <c r="AR182" s="516">
        <v>9028</v>
      </c>
      <c r="AS182" s="520">
        <v>8883</v>
      </c>
      <c r="AT182" s="516">
        <v>14123</v>
      </c>
      <c r="AU182" s="520">
        <v>13409</v>
      </c>
      <c r="AV182" s="506">
        <f t="shared" si="103"/>
        <v>37650</v>
      </c>
      <c r="AW182" s="511">
        <f t="shared" si="104"/>
        <v>1568.75</v>
      </c>
      <c r="AX182" s="508">
        <f t="shared" si="105"/>
        <v>35874</v>
      </c>
      <c r="AY182" s="512">
        <f t="shared" si="106"/>
        <v>1494.75</v>
      </c>
      <c r="AZ182" s="513">
        <f t="shared" si="107"/>
        <v>13785.35</v>
      </c>
      <c r="BA182" s="508">
        <f t="shared" si="108"/>
        <v>13528.816666666668</v>
      </c>
    </row>
    <row r="183" spans="1:53">
      <c r="A183" s="521" t="s">
        <v>251</v>
      </c>
      <c r="B183" s="504" t="s">
        <v>255</v>
      </c>
      <c r="C183" s="545"/>
      <c r="D183" s="717">
        <v>157386</v>
      </c>
      <c r="E183" s="544">
        <v>3</v>
      </c>
      <c r="F183" s="514" t="s">
        <v>41</v>
      </c>
      <c r="G183" s="515"/>
      <c r="H183" s="516"/>
      <c r="I183" s="519"/>
      <c r="J183" s="516">
        <v>81756</v>
      </c>
      <c r="K183" s="519">
        <v>86320</v>
      </c>
      <c r="L183" s="516">
        <v>9599</v>
      </c>
      <c r="M183" s="519">
        <v>8272</v>
      </c>
      <c r="N183" s="516">
        <v>97095</v>
      </c>
      <c r="O183" s="519">
        <v>102105</v>
      </c>
      <c r="P183" s="506">
        <f t="shared" si="91"/>
        <v>188450</v>
      </c>
      <c r="Q183" s="507">
        <f t="shared" si="92"/>
        <v>6281.666666666667</v>
      </c>
      <c r="R183" s="508">
        <f t="shared" si="93"/>
        <v>196697</v>
      </c>
      <c r="S183" s="509">
        <f t="shared" si="94"/>
        <v>6556.5666666666666</v>
      </c>
      <c r="T183" s="516">
        <v>9086</v>
      </c>
      <c r="U183" s="519">
        <v>14347</v>
      </c>
      <c r="V183" s="506">
        <f t="shared" si="95"/>
        <v>188450</v>
      </c>
      <c r="W183" s="510">
        <f t="shared" si="96"/>
        <v>196697</v>
      </c>
      <c r="X183" s="517"/>
      <c r="Y183" s="519"/>
      <c r="Z183" s="516"/>
      <c r="AA183" s="519"/>
      <c r="AB183" s="516"/>
      <c r="AC183" s="519"/>
      <c r="AD183" s="516"/>
      <c r="AE183" s="519"/>
      <c r="AF183" s="506">
        <f t="shared" si="97"/>
        <v>0</v>
      </c>
      <c r="AG183" s="507">
        <f t="shared" si="98"/>
        <v>0</v>
      </c>
      <c r="AH183" s="508">
        <f t="shared" si="99"/>
        <v>0</v>
      </c>
      <c r="AI183" s="508">
        <f t="shared" si="100"/>
        <v>0</v>
      </c>
      <c r="AJ183" s="516"/>
      <c r="AK183" s="519"/>
      <c r="AL183" s="506">
        <f t="shared" si="101"/>
        <v>0</v>
      </c>
      <c r="AM183" s="509">
        <f t="shared" si="102"/>
        <v>0</v>
      </c>
      <c r="AN183" s="518"/>
      <c r="AO183" s="520"/>
      <c r="AP183" s="516">
        <v>8377</v>
      </c>
      <c r="AQ183" s="520">
        <v>8898</v>
      </c>
      <c r="AR183" s="516">
        <v>5040</v>
      </c>
      <c r="AS183" s="520">
        <v>5108</v>
      </c>
      <c r="AT183" s="516">
        <v>9212</v>
      </c>
      <c r="AU183" s="520">
        <v>8740</v>
      </c>
      <c r="AV183" s="506">
        <f t="shared" si="103"/>
        <v>22629</v>
      </c>
      <c r="AW183" s="511">
        <f t="shared" si="104"/>
        <v>942.875</v>
      </c>
      <c r="AX183" s="508">
        <f t="shared" si="105"/>
        <v>22746</v>
      </c>
      <c r="AY183" s="512">
        <f t="shared" si="106"/>
        <v>947.75</v>
      </c>
      <c r="AZ183" s="513">
        <f t="shared" si="107"/>
        <v>7224.541666666667</v>
      </c>
      <c r="BA183" s="508">
        <f t="shared" si="108"/>
        <v>7504.3166666666666</v>
      </c>
    </row>
    <row r="184" spans="1:53">
      <c r="A184" s="521" t="s">
        <v>251</v>
      </c>
      <c r="B184" s="505" t="s">
        <v>256</v>
      </c>
      <c r="C184" s="545"/>
      <c r="D184" s="717">
        <v>157401</v>
      </c>
      <c r="E184" s="544">
        <v>3</v>
      </c>
      <c r="F184" s="514" t="s">
        <v>41</v>
      </c>
      <c r="G184" s="515"/>
      <c r="H184" s="516"/>
      <c r="I184" s="519"/>
      <c r="J184" s="516">
        <v>101531</v>
      </c>
      <c r="K184" s="519">
        <v>104296</v>
      </c>
      <c r="L184" s="516">
        <v>10049</v>
      </c>
      <c r="M184" s="519">
        <v>8560</v>
      </c>
      <c r="N184" s="516">
        <v>111062</v>
      </c>
      <c r="O184" s="519">
        <v>114877</v>
      </c>
      <c r="P184" s="506">
        <f t="shared" si="91"/>
        <v>222642</v>
      </c>
      <c r="Q184" s="507">
        <f t="shared" si="92"/>
        <v>7421.4</v>
      </c>
      <c r="R184" s="508">
        <f t="shared" si="93"/>
        <v>227733</v>
      </c>
      <c r="S184" s="509">
        <f t="shared" si="94"/>
        <v>7591.1</v>
      </c>
      <c r="T184" s="516">
        <v>2696</v>
      </c>
      <c r="U184" s="519">
        <v>3537</v>
      </c>
      <c r="V184" s="506">
        <f t="shared" si="95"/>
        <v>222642</v>
      </c>
      <c r="W184" s="510">
        <f t="shared" si="96"/>
        <v>227733</v>
      </c>
      <c r="X184" s="517"/>
      <c r="Y184" s="519"/>
      <c r="Z184" s="516"/>
      <c r="AA184" s="519"/>
      <c r="AB184" s="516"/>
      <c r="AC184" s="519"/>
      <c r="AD184" s="516"/>
      <c r="AE184" s="519"/>
      <c r="AF184" s="506">
        <f t="shared" si="97"/>
        <v>0</v>
      </c>
      <c r="AG184" s="507">
        <f t="shared" si="98"/>
        <v>0</v>
      </c>
      <c r="AH184" s="508">
        <f t="shared" si="99"/>
        <v>0</v>
      </c>
      <c r="AI184" s="508">
        <f t="shared" si="100"/>
        <v>0</v>
      </c>
      <c r="AJ184" s="516"/>
      <c r="AK184" s="519"/>
      <c r="AL184" s="506">
        <f t="shared" si="101"/>
        <v>0</v>
      </c>
      <c r="AM184" s="509">
        <f t="shared" si="102"/>
        <v>0</v>
      </c>
      <c r="AN184" s="518"/>
      <c r="AO184" s="520"/>
      <c r="AP184" s="516">
        <v>12917</v>
      </c>
      <c r="AQ184" s="520">
        <v>12678</v>
      </c>
      <c r="AR184" s="516">
        <v>5565</v>
      </c>
      <c r="AS184" s="520">
        <v>5524</v>
      </c>
      <c r="AT184" s="516">
        <v>12677</v>
      </c>
      <c r="AU184" s="520">
        <v>12623</v>
      </c>
      <c r="AV184" s="506">
        <f t="shared" si="103"/>
        <v>31159</v>
      </c>
      <c r="AW184" s="511">
        <f t="shared" si="104"/>
        <v>1298.2916666666667</v>
      </c>
      <c r="AX184" s="508">
        <f t="shared" si="105"/>
        <v>30825</v>
      </c>
      <c r="AY184" s="512">
        <f t="shared" si="106"/>
        <v>1284.375</v>
      </c>
      <c r="AZ184" s="513">
        <f t="shared" si="107"/>
        <v>8719.6916666666657</v>
      </c>
      <c r="BA184" s="508">
        <f t="shared" si="108"/>
        <v>8875.4750000000004</v>
      </c>
    </row>
    <row r="185" spans="1:53">
      <c r="A185" s="521" t="s">
        <v>251</v>
      </c>
      <c r="B185" s="505" t="s">
        <v>257</v>
      </c>
      <c r="C185" s="545"/>
      <c r="D185" s="717">
        <v>157951</v>
      </c>
      <c r="E185" s="544">
        <v>3</v>
      </c>
      <c r="F185" s="514" t="s">
        <v>41</v>
      </c>
      <c r="G185" s="515"/>
      <c r="H185" s="516"/>
      <c r="I185" s="519"/>
      <c r="J185" s="516">
        <v>211050</v>
      </c>
      <c r="K185" s="519">
        <v>209719</v>
      </c>
      <c r="L185" s="516">
        <v>24919</v>
      </c>
      <c r="M185" s="519">
        <v>24669</v>
      </c>
      <c r="N185" s="516">
        <v>223633</v>
      </c>
      <c r="O185" s="519">
        <v>222559</v>
      </c>
      <c r="P185" s="506">
        <f t="shared" si="91"/>
        <v>459602</v>
      </c>
      <c r="Q185" s="507">
        <f t="shared" si="92"/>
        <v>15320.066666666668</v>
      </c>
      <c r="R185" s="508">
        <f t="shared" si="93"/>
        <v>456947</v>
      </c>
      <c r="S185" s="509">
        <f t="shared" si="94"/>
        <v>15231.566666666668</v>
      </c>
      <c r="T185" s="516">
        <v>12153</v>
      </c>
      <c r="U185" s="519">
        <v>13475</v>
      </c>
      <c r="V185" s="506">
        <f t="shared" si="95"/>
        <v>459602</v>
      </c>
      <c r="W185" s="510">
        <f t="shared" si="96"/>
        <v>456947</v>
      </c>
      <c r="X185" s="517"/>
      <c r="Y185" s="519"/>
      <c r="Z185" s="516"/>
      <c r="AA185" s="519"/>
      <c r="AB185" s="516"/>
      <c r="AC185" s="519"/>
      <c r="AD185" s="516"/>
      <c r="AE185" s="519"/>
      <c r="AF185" s="506">
        <f t="shared" si="97"/>
        <v>0</v>
      </c>
      <c r="AG185" s="507">
        <f t="shared" si="98"/>
        <v>0</v>
      </c>
      <c r="AH185" s="508">
        <f t="shared" si="99"/>
        <v>0</v>
      </c>
      <c r="AI185" s="508">
        <f t="shared" si="100"/>
        <v>0</v>
      </c>
      <c r="AJ185" s="516"/>
      <c r="AK185" s="519"/>
      <c r="AL185" s="506">
        <f t="shared" si="101"/>
        <v>0</v>
      </c>
      <c r="AM185" s="509">
        <f t="shared" si="102"/>
        <v>0</v>
      </c>
      <c r="AN185" s="518"/>
      <c r="AO185" s="520"/>
      <c r="AP185" s="516">
        <v>20758</v>
      </c>
      <c r="AQ185" s="520">
        <v>19888</v>
      </c>
      <c r="AR185" s="516">
        <v>9509</v>
      </c>
      <c r="AS185" s="520">
        <v>8973</v>
      </c>
      <c r="AT185" s="516">
        <v>19874</v>
      </c>
      <c r="AU185" s="520">
        <v>18908</v>
      </c>
      <c r="AV185" s="506">
        <f t="shared" si="103"/>
        <v>50141</v>
      </c>
      <c r="AW185" s="511">
        <f t="shared" si="104"/>
        <v>2089.2083333333335</v>
      </c>
      <c r="AX185" s="508">
        <f t="shared" si="105"/>
        <v>47769</v>
      </c>
      <c r="AY185" s="512">
        <f t="shared" si="106"/>
        <v>1990.375</v>
      </c>
      <c r="AZ185" s="513">
        <f t="shared" si="107"/>
        <v>17409.275000000001</v>
      </c>
      <c r="BA185" s="508">
        <f t="shared" si="108"/>
        <v>17221.941666666666</v>
      </c>
    </row>
    <row r="186" spans="1:53">
      <c r="A186" s="521" t="s">
        <v>251</v>
      </c>
      <c r="B186" s="504" t="s">
        <v>258</v>
      </c>
      <c r="C186" s="545"/>
      <c r="D186" s="717">
        <v>157058</v>
      </c>
      <c r="E186" s="544">
        <v>4</v>
      </c>
      <c r="F186" s="514" t="s">
        <v>41</v>
      </c>
      <c r="G186" s="515"/>
      <c r="H186" s="516"/>
      <c r="I186" s="519"/>
      <c r="J186" s="516">
        <v>29269</v>
      </c>
      <c r="K186" s="519">
        <v>28955</v>
      </c>
      <c r="L186" s="516">
        <v>4031</v>
      </c>
      <c r="M186" s="519">
        <v>3801</v>
      </c>
      <c r="N186" s="516">
        <v>30478</v>
      </c>
      <c r="O186" s="519">
        <v>27941</v>
      </c>
      <c r="P186" s="506">
        <f t="shared" si="91"/>
        <v>63778</v>
      </c>
      <c r="Q186" s="507">
        <f t="shared" si="92"/>
        <v>2125.9333333333334</v>
      </c>
      <c r="R186" s="508">
        <f t="shared" si="93"/>
        <v>60697</v>
      </c>
      <c r="S186" s="509">
        <f t="shared" si="94"/>
        <v>2023.2333333333333</v>
      </c>
      <c r="T186" s="516">
        <v>490</v>
      </c>
      <c r="U186" s="519">
        <v>1436</v>
      </c>
      <c r="V186" s="506">
        <f t="shared" si="95"/>
        <v>63778</v>
      </c>
      <c r="W186" s="510">
        <f t="shared" si="96"/>
        <v>60697</v>
      </c>
      <c r="X186" s="517"/>
      <c r="Y186" s="519"/>
      <c r="Z186" s="516"/>
      <c r="AA186" s="519"/>
      <c r="AB186" s="516"/>
      <c r="AC186" s="519"/>
      <c r="AD186" s="516"/>
      <c r="AE186" s="519"/>
      <c r="AF186" s="506">
        <f t="shared" si="97"/>
        <v>0</v>
      </c>
      <c r="AG186" s="507">
        <f t="shared" si="98"/>
        <v>0</v>
      </c>
      <c r="AH186" s="508">
        <f t="shared" si="99"/>
        <v>0</v>
      </c>
      <c r="AI186" s="508">
        <f t="shared" si="100"/>
        <v>0</v>
      </c>
      <c r="AJ186" s="516"/>
      <c r="AK186" s="519"/>
      <c r="AL186" s="506">
        <f t="shared" si="101"/>
        <v>0</v>
      </c>
      <c r="AM186" s="509">
        <f t="shared" si="102"/>
        <v>0</v>
      </c>
      <c r="AN186" s="518"/>
      <c r="AO186" s="520"/>
      <c r="AP186" s="516">
        <v>1740</v>
      </c>
      <c r="AQ186" s="520">
        <v>1600</v>
      </c>
      <c r="AR186" s="516">
        <v>395</v>
      </c>
      <c r="AS186" s="520">
        <v>397</v>
      </c>
      <c r="AT186" s="516">
        <v>1862</v>
      </c>
      <c r="AU186" s="520">
        <v>1676</v>
      </c>
      <c r="AV186" s="506">
        <f t="shared" si="103"/>
        <v>3997</v>
      </c>
      <c r="AW186" s="511">
        <f t="shared" si="104"/>
        <v>166.54166666666666</v>
      </c>
      <c r="AX186" s="508">
        <f t="shared" si="105"/>
        <v>3673</v>
      </c>
      <c r="AY186" s="512">
        <f t="shared" si="106"/>
        <v>153.04166666666666</v>
      </c>
      <c r="AZ186" s="513">
        <f t="shared" si="107"/>
        <v>2292.4749999999999</v>
      </c>
      <c r="BA186" s="508">
        <f t="shared" si="108"/>
        <v>2176.2750000000001</v>
      </c>
    </row>
    <row r="187" spans="1:53">
      <c r="A187" s="521" t="s">
        <v>251</v>
      </c>
      <c r="B187" s="505" t="s">
        <v>259</v>
      </c>
      <c r="C187" s="545" t="s">
        <v>823</v>
      </c>
      <c r="D187" s="717">
        <v>157447</v>
      </c>
      <c r="E187" s="544">
        <v>4</v>
      </c>
      <c r="F187" s="514" t="s">
        <v>41</v>
      </c>
      <c r="G187" s="515"/>
      <c r="H187" s="516"/>
      <c r="I187" s="519"/>
      <c r="J187" s="516">
        <v>149605</v>
      </c>
      <c r="K187" s="519">
        <v>149607</v>
      </c>
      <c r="L187" s="516">
        <v>22457</v>
      </c>
      <c r="M187" s="519">
        <v>19078</v>
      </c>
      <c r="N187" s="516">
        <v>162661</v>
      </c>
      <c r="O187" s="519">
        <v>163225</v>
      </c>
      <c r="P187" s="506">
        <f t="shared" si="91"/>
        <v>334723</v>
      </c>
      <c r="Q187" s="507">
        <f t="shared" si="92"/>
        <v>11157.433333333332</v>
      </c>
      <c r="R187" s="508">
        <f t="shared" si="93"/>
        <v>331910</v>
      </c>
      <c r="S187" s="509">
        <f t="shared" si="94"/>
        <v>11063.666666666666</v>
      </c>
      <c r="T187" s="516">
        <v>4106</v>
      </c>
      <c r="U187" s="519">
        <v>4064</v>
      </c>
      <c r="V187" s="506">
        <f t="shared" si="95"/>
        <v>334723</v>
      </c>
      <c r="W187" s="510">
        <f t="shared" si="96"/>
        <v>331910</v>
      </c>
      <c r="X187" s="517"/>
      <c r="Y187" s="519"/>
      <c r="Z187" s="516"/>
      <c r="AA187" s="519"/>
      <c r="AB187" s="516"/>
      <c r="AC187" s="519"/>
      <c r="AD187" s="516"/>
      <c r="AE187" s="519"/>
      <c r="AF187" s="506">
        <f t="shared" si="97"/>
        <v>0</v>
      </c>
      <c r="AG187" s="507">
        <f t="shared" si="98"/>
        <v>0</v>
      </c>
      <c r="AH187" s="508">
        <f t="shared" si="99"/>
        <v>0</v>
      </c>
      <c r="AI187" s="508">
        <f t="shared" si="100"/>
        <v>0</v>
      </c>
      <c r="AJ187" s="516"/>
      <c r="AK187" s="519"/>
      <c r="AL187" s="506">
        <f t="shared" si="101"/>
        <v>0</v>
      </c>
      <c r="AM187" s="509">
        <f t="shared" si="102"/>
        <v>0</v>
      </c>
      <c r="AN187" s="518"/>
      <c r="AO187" s="520"/>
      <c r="AP187" s="516">
        <v>17048</v>
      </c>
      <c r="AQ187" s="520">
        <v>16877</v>
      </c>
      <c r="AR187" s="516">
        <v>6868</v>
      </c>
      <c r="AS187" s="520">
        <v>5830</v>
      </c>
      <c r="AT187" s="516">
        <v>17415</v>
      </c>
      <c r="AU187" s="520">
        <v>17085</v>
      </c>
      <c r="AV187" s="506">
        <f t="shared" si="103"/>
        <v>41331</v>
      </c>
      <c r="AW187" s="511">
        <f t="shared" si="104"/>
        <v>1722.125</v>
      </c>
      <c r="AX187" s="508">
        <f t="shared" si="105"/>
        <v>39792</v>
      </c>
      <c r="AY187" s="512">
        <f t="shared" si="106"/>
        <v>1658</v>
      </c>
      <c r="AZ187" s="513">
        <f t="shared" si="107"/>
        <v>12879.558333333332</v>
      </c>
      <c r="BA187" s="508">
        <f t="shared" si="108"/>
        <v>12721.666666666666</v>
      </c>
    </row>
    <row r="188" spans="1:53">
      <c r="A188" s="521" t="s">
        <v>251</v>
      </c>
      <c r="B188" s="505" t="s">
        <v>260</v>
      </c>
      <c r="C188" s="718"/>
      <c r="D188" s="719">
        <v>157173</v>
      </c>
      <c r="E188" s="720">
        <v>8</v>
      </c>
      <c r="F188" s="514" t="s">
        <v>41</v>
      </c>
      <c r="G188" s="515"/>
      <c r="H188" s="516"/>
      <c r="I188" s="519"/>
      <c r="J188" s="516">
        <v>123732</v>
      </c>
      <c r="K188" s="519">
        <v>118051</v>
      </c>
      <c r="L188" s="516">
        <v>27952</v>
      </c>
      <c r="M188" s="519">
        <v>23850</v>
      </c>
      <c r="N188" s="516">
        <v>134608</v>
      </c>
      <c r="O188" s="519">
        <v>124714</v>
      </c>
      <c r="P188" s="506">
        <f t="shared" si="91"/>
        <v>286292</v>
      </c>
      <c r="Q188" s="507">
        <f t="shared" si="92"/>
        <v>9543.0666666666675</v>
      </c>
      <c r="R188" s="508">
        <f t="shared" si="93"/>
        <v>266615</v>
      </c>
      <c r="S188" s="509">
        <f t="shared" si="94"/>
        <v>8887.1666666666661</v>
      </c>
      <c r="T188" s="516">
        <v>7198</v>
      </c>
      <c r="U188" s="519">
        <v>7826</v>
      </c>
      <c r="V188" s="506">
        <f t="shared" si="95"/>
        <v>286292</v>
      </c>
      <c r="W188" s="510">
        <f t="shared" si="96"/>
        <v>266615</v>
      </c>
      <c r="X188" s="517"/>
      <c r="Y188" s="519"/>
      <c r="Z188" s="516"/>
      <c r="AA188" s="519"/>
      <c r="AB188" s="516"/>
      <c r="AC188" s="519"/>
      <c r="AD188" s="516"/>
      <c r="AE188" s="519"/>
      <c r="AF188" s="506">
        <f t="shared" si="97"/>
        <v>0</v>
      </c>
      <c r="AG188" s="507">
        <f t="shared" si="98"/>
        <v>0</v>
      </c>
      <c r="AH188" s="508">
        <f t="shared" si="99"/>
        <v>0</v>
      </c>
      <c r="AI188" s="508">
        <f t="shared" si="100"/>
        <v>0</v>
      </c>
      <c r="AJ188" s="516"/>
      <c r="AK188" s="519"/>
      <c r="AL188" s="506">
        <f t="shared" si="101"/>
        <v>0</v>
      </c>
      <c r="AM188" s="509">
        <f t="shared" si="102"/>
        <v>0</v>
      </c>
      <c r="AN188" s="518"/>
      <c r="AO188" s="520"/>
      <c r="AP188" s="516"/>
      <c r="AQ188" s="520"/>
      <c r="AR188" s="516"/>
      <c r="AS188" s="520"/>
      <c r="AT188" s="516"/>
      <c r="AU188" s="520"/>
      <c r="AV188" s="506">
        <f t="shared" si="103"/>
        <v>0</v>
      </c>
      <c r="AW188" s="511">
        <f t="shared" si="104"/>
        <v>0</v>
      </c>
      <c r="AX188" s="508">
        <f t="shared" si="105"/>
        <v>0</v>
      </c>
      <c r="AY188" s="512">
        <f t="shared" si="106"/>
        <v>0</v>
      </c>
      <c r="AZ188" s="513">
        <f t="shared" si="107"/>
        <v>9543.0666666666675</v>
      </c>
      <c r="BA188" s="508">
        <f t="shared" si="108"/>
        <v>8887.1666666666661</v>
      </c>
    </row>
    <row r="189" spans="1:53">
      <c r="A189" s="521" t="s">
        <v>251</v>
      </c>
      <c r="B189" s="505" t="s">
        <v>261</v>
      </c>
      <c r="C189" s="718"/>
      <c r="D189" s="719">
        <v>156921</v>
      </c>
      <c r="E189" s="720">
        <v>8</v>
      </c>
      <c r="F189" s="514" t="s">
        <v>41</v>
      </c>
      <c r="G189" s="515"/>
      <c r="H189" s="516"/>
      <c r="I189" s="519"/>
      <c r="J189" s="516">
        <v>120585</v>
      </c>
      <c r="K189" s="519">
        <v>112521</v>
      </c>
      <c r="L189" s="516">
        <v>22034</v>
      </c>
      <c r="M189" s="519">
        <v>18247</v>
      </c>
      <c r="N189" s="516">
        <v>123792</v>
      </c>
      <c r="O189" s="519">
        <v>115977</v>
      </c>
      <c r="P189" s="506">
        <f t="shared" si="91"/>
        <v>266411</v>
      </c>
      <c r="Q189" s="507">
        <f t="shared" si="92"/>
        <v>8880.3666666666668</v>
      </c>
      <c r="R189" s="508">
        <f t="shared" si="93"/>
        <v>246745</v>
      </c>
      <c r="S189" s="509">
        <f t="shared" si="94"/>
        <v>8224.8333333333339</v>
      </c>
      <c r="T189" s="516">
        <v>12829</v>
      </c>
      <c r="U189" s="519">
        <v>9837</v>
      </c>
      <c r="V189" s="506">
        <f t="shared" si="95"/>
        <v>266411</v>
      </c>
      <c r="W189" s="510">
        <f t="shared" si="96"/>
        <v>246745</v>
      </c>
      <c r="X189" s="517"/>
      <c r="Y189" s="519"/>
      <c r="Z189" s="516"/>
      <c r="AA189" s="519"/>
      <c r="AB189" s="516"/>
      <c r="AC189" s="519"/>
      <c r="AD189" s="516"/>
      <c r="AE189" s="519"/>
      <c r="AF189" s="506">
        <f t="shared" si="97"/>
        <v>0</v>
      </c>
      <c r="AG189" s="507">
        <f t="shared" si="98"/>
        <v>0</v>
      </c>
      <c r="AH189" s="508">
        <f t="shared" si="99"/>
        <v>0</v>
      </c>
      <c r="AI189" s="508">
        <f t="shared" si="100"/>
        <v>0</v>
      </c>
      <c r="AJ189" s="516"/>
      <c r="AK189" s="519"/>
      <c r="AL189" s="506">
        <f t="shared" si="101"/>
        <v>0</v>
      </c>
      <c r="AM189" s="509">
        <f t="shared" si="102"/>
        <v>0</v>
      </c>
      <c r="AN189" s="518"/>
      <c r="AO189" s="520"/>
      <c r="AP189" s="516"/>
      <c r="AQ189" s="520"/>
      <c r="AR189" s="516"/>
      <c r="AS189" s="520"/>
      <c r="AT189" s="516"/>
      <c r="AU189" s="520"/>
      <c r="AV189" s="506">
        <f t="shared" si="103"/>
        <v>0</v>
      </c>
      <c r="AW189" s="511">
        <f t="shared" si="104"/>
        <v>0</v>
      </c>
      <c r="AX189" s="508">
        <f t="shared" si="105"/>
        <v>0</v>
      </c>
      <c r="AY189" s="512">
        <f t="shared" si="106"/>
        <v>0</v>
      </c>
      <c r="AZ189" s="513">
        <f t="shared" si="107"/>
        <v>8880.3666666666668</v>
      </c>
      <c r="BA189" s="508">
        <f t="shared" si="108"/>
        <v>8224.8333333333339</v>
      </c>
    </row>
    <row r="190" spans="1:53">
      <c r="A190" s="521" t="s">
        <v>251</v>
      </c>
      <c r="B190" s="505" t="s">
        <v>262</v>
      </c>
      <c r="C190" s="718"/>
      <c r="D190" s="719">
        <v>156231</v>
      </c>
      <c r="E190" s="720">
        <v>9</v>
      </c>
      <c r="F190" s="514" t="s">
        <v>41</v>
      </c>
      <c r="G190" s="515"/>
      <c r="H190" s="516"/>
      <c r="I190" s="519"/>
      <c r="J190" s="516">
        <v>35108</v>
      </c>
      <c r="K190" s="519">
        <v>32226</v>
      </c>
      <c r="L190" s="516">
        <v>8480</v>
      </c>
      <c r="M190" s="519">
        <v>6956</v>
      </c>
      <c r="N190" s="516">
        <v>43144</v>
      </c>
      <c r="O190" s="519">
        <v>36818</v>
      </c>
      <c r="P190" s="506">
        <f t="shared" si="91"/>
        <v>86732</v>
      </c>
      <c r="Q190" s="507">
        <f t="shared" si="92"/>
        <v>2891.0666666666666</v>
      </c>
      <c r="R190" s="508">
        <f t="shared" si="93"/>
        <v>76000</v>
      </c>
      <c r="S190" s="509">
        <f t="shared" si="94"/>
        <v>2533.3333333333335</v>
      </c>
      <c r="T190" s="516">
        <v>9358</v>
      </c>
      <c r="U190" s="519">
        <v>6733</v>
      </c>
      <c r="V190" s="506">
        <f t="shared" si="95"/>
        <v>86732</v>
      </c>
      <c r="W190" s="510">
        <f t="shared" si="96"/>
        <v>76000</v>
      </c>
      <c r="X190" s="517"/>
      <c r="Y190" s="519"/>
      <c r="Z190" s="516"/>
      <c r="AA190" s="519"/>
      <c r="AB190" s="516"/>
      <c r="AC190" s="519"/>
      <c r="AD190" s="516"/>
      <c r="AE190" s="519"/>
      <c r="AF190" s="506">
        <f t="shared" si="97"/>
        <v>0</v>
      </c>
      <c r="AG190" s="507">
        <f t="shared" si="98"/>
        <v>0</v>
      </c>
      <c r="AH190" s="508">
        <f t="shared" si="99"/>
        <v>0</v>
      </c>
      <c r="AI190" s="508">
        <f t="shared" si="100"/>
        <v>0</v>
      </c>
      <c r="AJ190" s="516"/>
      <c r="AK190" s="519"/>
      <c r="AL190" s="506">
        <f t="shared" si="101"/>
        <v>0</v>
      </c>
      <c r="AM190" s="509">
        <f t="shared" si="102"/>
        <v>0</v>
      </c>
      <c r="AN190" s="518"/>
      <c r="AO190" s="520"/>
      <c r="AP190" s="516"/>
      <c r="AQ190" s="520"/>
      <c r="AR190" s="516"/>
      <c r="AS190" s="520"/>
      <c r="AT190" s="516"/>
      <c r="AU190" s="520"/>
      <c r="AV190" s="506">
        <f t="shared" si="103"/>
        <v>0</v>
      </c>
      <c r="AW190" s="511">
        <f t="shared" si="104"/>
        <v>0</v>
      </c>
      <c r="AX190" s="508">
        <f t="shared" si="105"/>
        <v>0</v>
      </c>
      <c r="AY190" s="512">
        <f t="shared" si="106"/>
        <v>0</v>
      </c>
      <c r="AZ190" s="513">
        <f t="shared" si="107"/>
        <v>2891.0666666666666</v>
      </c>
      <c r="BA190" s="508">
        <f t="shared" si="108"/>
        <v>2533.3333333333335</v>
      </c>
    </row>
    <row r="191" spans="1:53">
      <c r="A191" s="521" t="s">
        <v>251</v>
      </c>
      <c r="B191" s="505" t="s">
        <v>263</v>
      </c>
      <c r="C191" s="718"/>
      <c r="D191" s="721">
        <v>157553</v>
      </c>
      <c r="E191" s="720">
        <v>9</v>
      </c>
      <c r="F191" s="514" t="s">
        <v>41</v>
      </c>
      <c r="G191" s="515"/>
      <c r="H191" s="516"/>
      <c r="I191" s="519"/>
      <c r="J191" s="516">
        <v>40087</v>
      </c>
      <c r="K191" s="519">
        <v>36595</v>
      </c>
      <c r="L191" s="516">
        <v>7575</v>
      </c>
      <c r="M191" s="519">
        <v>6122</v>
      </c>
      <c r="N191" s="516">
        <v>40140</v>
      </c>
      <c r="O191" s="519">
        <v>37516</v>
      </c>
      <c r="P191" s="506">
        <f t="shared" si="91"/>
        <v>87802</v>
      </c>
      <c r="Q191" s="507">
        <f t="shared" si="92"/>
        <v>2926.7333333333331</v>
      </c>
      <c r="R191" s="508">
        <f t="shared" si="93"/>
        <v>80233</v>
      </c>
      <c r="S191" s="509">
        <f t="shared" si="94"/>
        <v>2674.4333333333334</v>
      </c>
      <c r="T191" s="516">
        <v>2355</v>
      </c>
      <c r="U191" s="519">
        <v>2386</v>
      </c>
      <c r="V191" s="506">
        <f t="shared" si="95"/>
        <v>87802</v>
      </c>
      <c r="W191" s="510">
        <f t="shared" si="96"/>
        <v>80233</v>
      </c>
      <c r="X191" s="517"/>
      <c r="Y191" s="519"/>
      <c r="Z191" s="516"/>
      <c r="AA191" s="519"/>
      <c r="AB191" s="516"/>
      <c r="AC191" s="519"/>
      <c r="AD191" s="516"/>
      <c r="AE191" s="519"/>
      <c r="AF191" s="506">
        <f t="shared" si="97"/>
        <v>0</v>
      </c>
      <c r="AG191" s="507">
        <f t="shared" si="98"/>
        <v>0</v>
      </c>
      <c r="AH191" s="508">
        <f t="shared" si="99"/>
        <v>0</v>
      </c>
      <c r="AI191" s="508">
        <f t="shared" si="100"/>
        <v>0</v>
      </c>
      <c r="AJ191" s="516"/>
      <c r="AK191" s="519"/>
      <c r="AL191" s="506">
        <f t="shared" si="101"/>
        <v>0</v>
      </c>
      <c r="AM191" s="509">
        <f t="shared" si="102"/>
        <v>0</v>
      </c>
      <c r="AN191" s="518"/>
      <c r="AO191" s="520"/>
      <c r="AP191" s="516"/>
      <c r="AQ191" s="520"/>
      <c r="AR191" s="516"/>
      <c r="AS191" s="520"/>
      <c r="AT191" s="516"/>
      <c r="AU191" s="520"/>
      <c r="AV191" s="506">
        <f t="shared" si="103"/>
        <v>0</v>
      </c>
      <c r="AW191" s="511">
        <f t="shared" si="104"/>
        <v>0</v>
      </c>
      <c r="AX191" s="508">
        <f t="shared" si="105"/>
        <v>0</v>
      </c>
      <c r="AY191" s="512">
        <f t="shared" si="106"/>
        <v>0</v>
      </c>
      <c r="AZ191" s="513">
        <f t="shared" si="107"/>
        <v>2926.7333333333331</v>
      </c>
      <c r="BA191" s="508">
        <f t="shared" si="108"/>
        <v>2674.4333333333334</v>
      </c>
    </row>
    <row r="192" spans="1:53">
      <c r="A192" s="521" t="s">
        <v>251</v>
      </c>
      <c r="B192" s="505" t="s">
        <v>264</v>
      </c>
      <c r="C192" s="718"/>
      <c r="D192" s="721">
        <v>156648</v>
      </c>
      <c r="E192" s="720">
        <v>9</v>
      </c>
      <c r="F192" s="514" t="s">
        <v>41</v>
      </c>
      <c r="G192" s="515"/>
      <c r="H192" s="516"/>
      <c r="I192" s="519"/>
      <c r="J192" s="516">
        <v>56602</v>
      </c>
      <c r="K192" s="519">
        <v>53582</v>
      </c>
      <c r="L192" s="516">
        <v>10429</v>
      </c>
      <c r="M192" s="519">
        <v>7876</v>
      </c>
      <c r="N192" s="516">
        <v>60635</v>
      </c>
      <c r="O192" s="519">
        <v>55707</v>
      </c>
      <c r="P192" s="506">
        <f t="shared" si="91"/>
        <v>127666</v>
      </c>
      <c r="Q192" s="507">
        <f t="shared" si="92"/>
        <v>4255.5333333333338</v>
      </c>
      <c r="R192" s="508">
        <f t="shared" si="93"/>
        <v>117165</v>
      </c>
      <c r="S192" s="509">
        <f t="shared" si="94"/>
        <v>3905.5</v>
      </c>
      <c r="T192" s="516">
        <v>2349</v>
      </c>
      <c r="U192" s="519">
        <v>2544</v>
      </c>
      <c r="V192" s="506">
        <f t="shared" si="95"/>
        <v>127666</v>
      </c>
      <c r="W192" s="510">
        <f t="shared" si="96"/>
        <v>117165</v>
      </c>
      <c r="X192" s="517"/>
      <c r="Y192" s="519"/>
      <c r="Z192" s="516"/>
      <c r="AA192" s="519"/>
      <c r="AB192" s="516"/>
      <c r="AC192" s="519"/>
      <c r="AD192" s="516"/>
      <c r="AE192" s="519"/>
      <c r="AF192" s="506">
        <f t="shared" si="97"/>
        <v>0</v>
      </c>
      <c r="AG192" s="507">
        <f t="shared" si="98"/>
        <v>0</v>
      </c>
      <c r="AH192" s="508">
        <f t="shared" si="99"/>
        <v>0</v>
      </c>
      <c r="AI192" s="508">
        <f t="shared" si="100"/>
        <v>0</v>
      </c>
      <c r="AJ192" s="516"/>
      <c r="AK192" s="519"/>
      <c r="AL192" s="506">
        <f t="shared" si="101"/>
        <v>0</v>
      </c>
      <c r="AM192" s="509">
        <f t="shared" si="102"/>
        <v>0</v>
      </c>
      <c r="AN192" s="518"/>
      <c r="AO192" s="520"/>
      <c r="AP192" s="516"/>
      <c r="AQ192" s="520"/>
      <c r="AR192" s="516"/>
      <c r="AS192" s="520"/>
      <c r="AT192" s="516"/>
      <c r="AU192" s="520"/>
      <c r="AV192" s="506">
        <f t="shared" si="103"/>
        <v>0</v>
      </c>
      <c r="AW192" s="511">
        <f t="shared" si="104"/>
        <v>0</v>
      </c>
      <c r="AX192" s="508">
        <f t="shared" si="105"/>
        <v>0</v>
      </c>
      <c r="AY192" s="512">
        <f t="shared" si="106"/>
        <v>0</v>
      </c>
      <c r="AZ192" s="513">
        <f t="shared" si="107"/>
        <v>4255.5333333333338</v>
      </c>
      <c r="BA192" s="508">
        <f t="shared" si="108"/>
        <v>3905.5</v>
      </c>
    </row>
    <row r="193" spans="1:53">
      <c r="A193" s="521" t="s">
        <v>251</v>
      </c>
      <c r="B193" s="504" t="s">
        <v>272</v>
      </c>
      <c r="C193" s="529" t="s">
        <v>824</v>
      </c>
      <c r="D193" s="721">
        <v>156790</v>
      </c>
      <c r="E193" s="530">
        <v>9</v>
      </c>
      <c r="F193" s="514" t="s">
        <v>41</v>
      </c>
      <c r="G193" s="515"/>
      <c r="H193" s="516"/>
      <c r="I193" s="519"/>
      <c r="J193" s="516">
        <v>29430</v>
      </c>
      <c r="K193" s="519">
        <v>27343</v>
      </c>
      <c r="L193" s="516">
        <v>5648</v>
      </c>
      <c r="M193" s="519">
        <v>4937</v>
      </c>
      <c r="N193" s="516">
        <v>33285</v>
      </c>
      <c r="O193" s="519">
        <v>29360</v>
      </c>
      <c r="P193" s="506">
        <f t="shared" si="91"/>
        <v>68363</v>
      </c>
      <c r="Q193" s="507">
        <f t="shared" si="92"/>
        <v>2278.7666666666669</v>
      </c>
      <c r="R193" s="508">
        <f t="shared" si="93"/>
        <v>61640</v>
      </c>
      <c r="S193" s="509">
        <f t="shared" si="94"/>
        <v>2054.6666666666665</v>
      </c>
      <c r="T193" s="516">
        <v>4848</v>
      </c>
      <c r="U193" s="519">
        <v>2447</v>
      </c>
      <c r="V193" s="506">
        <f t="shared" si="95"/>
        <v>68363</v>
      </c>
      <c r="W193" s="510">
        <f t="shared" si="96"/>
        <v>61640</v>
      </c>
      <c r="X193" s="517"/>
      <c r="Y193" s="519"/>
      <c r="Z193" s="516"/>
      <c r="AA193" s="519"/>
      <c r="AB193" s="516"/>
      <c r="AC193" s="519"/>
      <c r="AD193" s="516"/>
      <c r="AE193" s="519"/>
      <c r="AF193" s="506">
        <f t="shared" si="97"/>
        <v>0</v>
      </c>
      <c r="AG193" s="507">
        <f t="shared" si="98"/>
        <v>0</v>
      </c>
      <c r="AH193" s="508">
        <f t="shared" si="99"/>
        <v>0</v>
      </c>
      <c r="AI193" s="508">
        <f t="shared" si="100"/>
        <v>0</v>
      </c>
      <c r="AJ193" s="516"/>
      <c r="AK193" s="519"/>
      <c r="AL193" s="506">
        <f t="shared" si="101"/>
        <v>0</v>
      </c>
      <c r="AM193" s="509">
        <f t="shared" si="102"/>
        <v>0</v>
      </c>
      <c r="AN193" s="518"/>
      <c r="AO193" s="520"/>
      <c r="AP193" s="516"/>
      <c r="AQ193" s="520"/>
      <c r="AR193" s="516"/>
      <c r="AS193" s="520"/>
      <c r="AT193" s="516"/>
      <c r="AU193" s="520"/>
      <c r="AV193" s="506">
        <f t="shared" si="103"/>
        <v>0</v>
      </c>
      <c r="AW193" s="511">
        <f t="shared" si="104"/>
        <v>0</v>
      </c>
      <c r="AX193" s="508">
        <f t="shared" si="105"/>
        <v>0</v>
      </c>
      <c r="AY193" s="512">
        <f t="shared" si="106"/>
        <v>0</v>
      </c>
      <c r="AZ193" s="513">
        <f t="shared" si="107"/>
        <v>2278.7666666666669</v>
      </c>
      <c r="BA193" s="508">
        <f t="shared" si="108"/>
        <v>2054.6666666666665</v>
      </c>
    </row>
    <row r="194" spans="1:53">
      <c r="A194" s="521" t="s">
        <v>251</v>
      </c>
      <c r="B194" s="504" t="s">
        <v>265</v>
      </c>
      <c r="C194" s="529"/>
      <c r="D194" s="721">
        <v>156860</v>
      </c>
      <c r="E194" s="528">
        <v>9</v>
      </c>
      <c r="F194" s="514" t="s">
        <v>41</v>
      </c>
      <c r="G194" s="515"/>
      <c r="H194" s="516"/>
      <c r="I194" s="519"/>
      <c r="J194" s="516">
        <v>33542</v>
      </c>
      <c r="K194" s="519">
        <v>33696</v>
      </c>
      <c r="L194" s="516">
        <v>8530</v>
      </c>
      <c r="M194" s="519">
        <v>6330</v>
      </c>
      <c r="N194" s="516">
        <v>36857</v>
      </c>
      <c r="O194" s="519">
        <v>31626</v>
      </c>
      <c r="P194" s="506">
        <f t="shared" si="91"/>
        <v>78929</v>
      </c>
      <c r="Q194" s="507">
        <f t="shared" si="92"/>
        <v>2630.9666666666667</v>
      </c>
      <c r="R194" s="508">
        <f t="shared" si="93"/>
        <v>71652</v>
      </c>
      <c r="S194" s="509">
        <f t="shared" si="94"/>
        <v>2388.4</v>
      </c>
      <c r="T194" s="516">
        <v>2196</v>
      </c>
      <c r="U194" s="519">
        <v>2063</v>
      </c>
      <c r="V194" s="506">
        <f t="shared" si="95"/>
        <v>78929</v>
      </c>
      <c r="W194" s="510">
        <f t="shared" si="96"/>
        <v>71652</v>
      </c>
      <c r="X194" s="517"/>
      <c r="Y194" s="519"/>
      <c r="Z194" s="516"/>
      <c r="AA194" s="519"/>
      <c r="AB194" s="516"/>
      <c r="AC194" s="519"/>
      <c r="AD194" s="516"/>
      <c r="AE194" s="519"/>
      <c r="AF194" s="506">
        <f t="shared" si="97"/>
        <v>0</v>
      </c>
      <c r="AG194" s="507">
        <f t="shared" si="98"/>
        <v>0</v>
      </c>
      <c r="AH194" s="508">
        <f t="shared" si="99"/>
        <v>0</v>
      </c>
      <c r="AI194" s="508">
        <f t="shared" si="100"/>
        <v>0</v>
      </c>
      <c r="AJ194" s="516"/>
      <c r="AK194" s="519"/>
      <c r="AL194" s="506">
        <f t="shared" si="101"/>
        <v>0</v>
      </c>
      <c r="AM194" s="509">
        <f t="shared" si="102"/>
        <v>0</v>
      </c>
      <c r="AN194" s="518"/>
      <c r="AO194" s="520"/>
      <c r="AP194" s="516"/>
      <c r="AQ194" s="520"/>
      <c r="AR194" s="516"/>
      <c r="AS194" s="520"/>
      <c r="AT194" s="516"/>
      <c r="AU194" s="520"/>
      <c r="AV194" s="506">
        <f t="shared" si="103"/>
        <v>0</v>
      </c>
      <c r="AW194" s="511">
        <f t="shared" si="104"/>
        <v>0</v>
      </c>
      <c r="AX194" s="508">
        <f t="shared" si="105"/>
        <v>0</v>
      </c>
      <c r="AY194" s="512">
        <f t="shared" si="106"/>
        <v>0</v>
      </c>
      <c r="AZ194" s="513">
        <f t="shared" si="107"/>
        <v>2630.9666666666667</v>
      </c>
      <c r="BA194" s="508">
        <f t="shared" si="108"/>
        <v>2388.4</v>
      </c>
    </row>
    <row r="195" spans="1:53">
      <c r="A195" s="521" t="s">
        <v>251</v>
      </c>
      <c r="B195" s="505" t="s">
        <v>266</v>
      </c>
      <c r="C195" s="722"/>
      <c r="D195" s="721">
        <v>157304</v>
      </c>
      <c r="E195" s="723">
        <v>9</v>
      </c>
      <c r="F195" s="514" t="s">
        <v>41</v>
      </c>
      <c r="G195" s="515"/>
      <c r="H195" s="516"/>
      <c r="I195" s="519"/>
      <c r="J195" s="516">
        <v>28895</v>
      </c>
      <c r="K195" s="519">
        <v>27044</v>
      </c>
      <c r="L195" s="516">
        <v>3252</v>
      </c>
      <c r="M195" s="519">
        <v>3725</v>
      </c>
      <c r="N195" s="516">
        <v>30523</v>
      </c>
      <c r="O195" s="519">
        <v>30585</v>
      </c>
      <c r="P195" s="506">
        <f t="shared" si="91"/>
        <v>62670</v>
      </c>
      <c r="Q195" s="507">
        <f t="shared" ref="Q195:Q204" si="109">+P195/30</f>
        <v>2089</v>
      </c>
      <c r="R195" s="508">
        <f t="shared" si="93"/>
        <v>61354</v>
      </c>
      <c r="S195" s="509">
        <f t="shared" ref="S195:S204" si="110">+R195/30</f>
        <v>2045.1333333333334</v>
      </c>
      <c r="T195" s="516">
        <v>4474</v>
      </c>
      <c r="U195" s="519">
        <v>4478</v>
      </c>
      <c r="V195" s="506">
        <f t="shared" si="95"/>
        <v>62670</v>
      </c>
      <c r="W195" s="510">
        <f t="shared" si="96"/>
        <v>61354</v>
      </c>
      <c r="X195" s="517"/>
      <c r="Y195" s="519"/>
      <c r="Z195" s="516"/>
      <c r="AA195" s="519"/>
      <c r="AB195" s="516"/>
      <c r="AC195" s="519"/>
      <c r="AD195" s="516"/>
      <c r="AE195" s="519"/>
      <c r="AF195" s="506">
        <f t="shared" si="97"/>
        <v>0</v>
      </c>
      <c r="AG195" s="507">
        <f t="shared" si="98"/>
        <v>0</v>
      </c>
      <c r="AH195" s="508">
        <f t="shared" si="99"/>
        <v>0</v>
      </c>
      <c r="AI195" s="508">
        <f t="shared" si="100"/>
        <v>0</v>
      </c>
      <c r="AJ195" s="516"/>
      <c r="AK195" s="519"/>
      <c r="AL195" s="506">
        <f t="shared" si="101"/>
        <v>0</v>
      </c>
      <c r="AM195" s="509">
        <f t="shared" si="102"/>
        <v>0</v>
      </c>
      <c r="AN195" s="518"/>
      <c r="AO195" s="520"/>
      <c r="AP195" s="516"/>
      <c r="AQ195" s="520"/>
      <c r="AR195" s="516"/>
      <c r="AS195" s="520"/>
      <c r="AT195" s="516"/>
      <c r="AU195" s="520"/>
      <c r="AV195" s="506">
        <f t="shared" si="103"/>
        <v>0</v>
      </c>
      <c r="AW195" s="511">
        <f t="shared" ref="AW195:AW204" si="111">+AV195/24</f>
        <v>0</v>
      </c>
      <c r="AX195" s="508">
        <f t="shared" si="105"/>
        <v>0</v>
      </c>
      <c r="AY195" s="512">
        <f t="shared" ref="AY195:AY204" si="112">+AX195/24</f>
        <v>0</v>
      </c>
      <c r="AZ195" s="513">
        <f t="shared" si="107"/>
        <v>2089</v>
      </c>
      <c r="BA195" s="508">
        <f t="shared" si="108"/>
        <v>2045.1333333333334</v>
      </c>
    </row>
    <row r="196" spans="1:53">
      <c r="A196" s="521" t="s">
        <v>251</v>
      </c>
      <c r="B196" s="505" t="s">
        <v>267</v>
      </c>
      <c r="C196" s="722"/>
      <c r="D196" s="721">
        <v>157331</v>
      </c>
      <c r="E196" s="723">
        <v>9</v>
      </c>
      <c r="F196" s="514" t="s">
        <v>41</v>
      </c>
      <c r="G196" s="515"/>
      <c r="H196" s="516"/>
      <c r="I196" s="519"/>
      <c r="J196" s="516">
        <v>47733</v>
      </c>
      <c r="K196" s="519">
        <v>45378</v>
      </c>
      <c r="L196" s="516">
        <v>10304</v>
      </c>
      <c r="M196" s="519">
        <v>6944</v>
      </c>
      <c r="N196" s="516">
        <v>45934</v>
      </c>
      <c r="O196" s="519">
        <v>42640</v>
      </c>
      <c r="P196" s="506">
        <f t="shared" si="91"/>
        <v>103971</v>
      </c>
      <c r="Q196" s="507">
        <f t="shared" si="109"/>
        <v>3465.7</v>
      </c>
      <c r="R196" s="508">
        <f t="shared" si="93"/>
        <v>94962</v>
      </c>
      <c r="S196" s="509">
        <f t="shared" si="110"/>
        <v>3165.4</v>
      </c>
      <c r="T196" s="516">
        <v>7272</v>
      </c>
      <c r="U196" s="519">
        <v>5506</v>
      </c>
      <c r="V196" s="506">
        <f t="shared" si="95"/>
        <v>103971</v>
      </c>
      <c r="W196" s="510">
        <f t="shared" si="96"/>
        <v>94962</v>
      </c>
      <c r="X196" s="517"/>
      <c r="Y196" s="519"/>
      <c r="Z196" s="516"/>
      <c r="AA196" s="519"/>
      <c r="AB196" s="516"/>
      <c r="AC196" s="519"/>
      <c r="AD196" s="516"/>
      <c r="AE196" s="519"/>
      <c r="AF196" s="506">
        <f t="shared" si="97"/>
        <v>0</v>
      </c>
      <c r="AG196" s="507">
        <f t="shared" si="98"/>
        <v>0</v>
      </c>
      <c r="AH196" s="508">
        <f t="shared" si="99"/>
        <v>0</v>
      </c>
      <c r="AI196" s="508">
        <f t="shared" si="100"/>
        <v>0</v>
      </c>
      <c r="AJ196" s="516"/>
      <c r="AK196" s="519"/>
      <c r="AL196" s="506">
        <f t="shared" si="101"/>
        <v>0</v>
      </c>
      <c r="AM196" s="509">
        <f t="shared" si="102"/>
        <v>0</v>
      </c>
      <c r="AN196" s="518"/>
      <c r="AO196" s="520"/>
      <c r="AP196" s="516"/>
      <c r="AQ196" s="520"/>
      <c r="AR196" s="516"/>
      <c r="AS196" s="520"/>
      <c r="AT196" s="516"/>
      <c r="AU196" s="520"/>
      <c r="AV196" s="506">
        <f t="shared" si="103"/>
        <v>0</v>
      </c>
      <c r="AW196" s="511">
        <f t="shared" si="111"/>
        <v>0</v>
      </c>
      <c r="AX196" s="508">
        <f t="shared" si="105"/>
        <v>0</v>
      </c>
      <c r="AY196" s="512">
        <f t="shared" si="112"/>
        <v>0</v>
      </c>
      <c r="AZ196" s="513">
        <f t="shared" si="107"/>
        <v>3465.7</v>
      </c>
      <c r="BA196" s="508">
        <f t="shared" si="108"/>
        <v>3165.4</v>
      </c>
    </row>
    <row r="197" spans="1:53">
      <c r="A197" s="521" t="s">
        <v>251</v>
      </c>
      <c r="B197" s="505" t="s">
        <v>268</v>
      </c>
      <c r="C197" s="718"/>
      <c r="D197" s="721">
        <v>247940</v>
      </c>
      <c r="E197" s="720">
        <v>9</v>
      </c>
      <c r="F197" s="514" t="s">
        <v>41</v>
      </c>
      <c r="G197" s="515"/>
      <c r="H197" s="516"/>
      <c r="I197" s="519"/>
      <c r="J197" s="516">
        <v>42505</v>
      </c>
      <c r="K197" s="519">
        <v>39349</v>
      </c>
      <c r="L197" s="516">
        <v>5971</v>
      </c>
      <c r="M197" s="519">
        <v>5798</v>
      </c>
      <c r="N197" s="516">
        <v>48398</v>
      </c>
      <c r="O197" s="519">
        <v>41080</v>
      </c>
      <c r="P197" s="506">
        <f t="shared" si="91"/>
        <v>96874</v>
      </c>
      <c r="Q197" s="507">
        <f t="shared" si="109"/>
        <v>3229.1333333333332</v>
      </c>
      <c r="R197" s="508">
        <f t="shared" si="93"/>
        <v>86227</v>
      </c>
      <c r="S197" s="509">
        <f t="shared" si="110"/>
        <v>2874.2333333333331</v>
      </c>
      <c r="T197" s="516">
        <v>16621</v>
      </c>
      <c r="U197" s="519">
        <v>7433</v>
      </c>
      <c r="V197" s="506">
        <f t="shared" si="95"/>
        <v>96874</v>
      </c>
      <c r="W197" s="510">
        <f t="shared" si="96"/>
        <v>86227</v>
      </c>
      <c r="X197" s="517"/>
      <c r="Y197" s="519"/>
      <c r="Z197" s="516"/>
      <c r="AA197" s="519"/>
      <c r="AB197" s="516"/>
      <c r="AC197" s="519"/>
      <c r="AD197" s="516"/>
      <c r="AE197" s="519"/>
      <c r="AF197" s="506">
        <f t="shared" si="97"/>
        <v>0</v>
      </c>
      <c r="AG197" s="507">
        <f t="shared" si="98"/>
        <v>0</v>
      </c>
      <c r="AH197" s="508">
        <f t="shared" si="99"/>
        <v>0</v>
      </c>
      <c r="AI197" s="508">
        <f t="shared" si="100"/>
        <v>0</v>
      </c>
      <c r="AJ197" s="516"/>
      <c r="AK197" s="519"/>
      <c r="AL197" s="506">
        <f t="shared" si="101"/>
        <v>0</v>
      </c>
      <c r="AM197" s="509">
        <f t="shared" si="102"/>
        <v>0</v>
      </c>
      <c r="AN197" s="518"/>
      <c r="AO197" s="520"/>
      <c r="AP197" s="516"/>
      <c r="AQ197" s="520"/>
      <c r="AR197" s="516"/>
      <c r="AS197" s="520"/>
      <c r="AT197" s="516"/>
      <c r="AU197" s="520"/>
      <c r="AV197" s="506">
        <f t="shared" si="103"/>
        <v>0</v>
      </c>
      <c r="AW197" s="511">
        <f t="shared" si="111"/>
        <v>0</v>
      </c>
      <c r="AX197" s="508">
        <f t="shared" si="105"/>
        <v>0</v>
      </c>
      <c r="AY197" s="512">
        <f t="shared" si="112"/>
        <v>0</v>
      </c>
      <c r="AZ197" s="513">
        <f t="shared" si="107"/>
        <v>3229.1333333333332</v>
      </c>
      <c r="BA197" s="508">
        <f t="shared" si="108"/>
        <v>2874.2333333333331</v>
      </c>
    </row>
    <row r="198" spans="1:53">
      <c r="A198" s="521" t="s">
        <v>251</v>
      </c>
      <c r="B198" s="505" t="s">
        <v>269</v>
      </c>
      <c r="C198" s="545"/>
      <c r="D198" s="721">
        <v>157711</v>
      </c>
      <c r="E198" s="720">
        <v>9</v>
      </c>
      <c r="F198" s="514" t="s">
        <v>41</v>
      </c>
      <c r="G198" s="515"/>
      <c r="H198" s="516"/>
      <c r="I198" s="519"/>
      <c r="J198" s="516">
        <v>77066</v>
      </c>
      <c r="K198" s="519">
        <v>71077</v>
      </c>
      <c r="L198" s="516">
        <v>13713</v>
      </c>
      <c r="M198" s="519">
        <v>8358</v>
      </c>
      <c r="N198" s="516">
        <v>82170</v>
      </c>
      <c r="O198" s="519">
        <v>66292</v>
      </c>
      <c r="P198" s="506">
        <f t="shared" si="91"/>
        <v>172949</v>
      </c>
      <c r="Q198" s="507">
        <f t="shared" si="109"/>
        <v>5764.9666666666662</v>
      </c>
      <c r="R198" s="508">
        <f t="shared" si="93"/>
        <v>145727</v>
      </c>
      <c r="S198" s="509">
        <f t="shared" si="110"/>
        <v>4857.5666666666666</v>
      </c>
      <c r="T198" s="516">
        <v>10299</v>
      </c>
      <c r="U198" s="519">
        <v>5487</v>
      </c>
      <c r="V198" s="506">
        <f t="shared" si="95"/>
        <v>172949</v>
      </c>
      <c r="W198" s="510">
        <f t="shared" si="96"/>
        <v>145727</v>
      </c>
      <c r="X198" s="517"/>
      <c r="Y198" s="519"/>
      <c r="Z198" s="516"/>
      <c r="AA198" s="519"/>
      <c r="AB198" s="516"/>
      <c r="AC198" s="519"/>
      <c r="AD198" s="516"/>
      <c r="AE198" s="519"/>
      <c r="AF198" s="506">
        <f t="shared" si="97"/>
        <v>0</v>
      </c>
      <c r="AG198" s="507">
        <f t="shared" si="98"/>
        <v>0</v>
      </c>
      <c r="AH198" s="508">
        <f t="shared" si="99"/>
        <v>0</v>
      </c>
      <c r="AI198" s="508">
        <f t="shared" si="100"/>
        <v>0</v>
      </c>
      <c r="AJ198" s="516"/>
      <c r="AK198" s="519"/>
      <c r="AL198" s="506">
        <f t="shared" si="101"/>
        <v>0</v>
      </c>
      <c r="AM198" s="509">
        <f t="shared" si="102"/>
        <v>0</v>
      </c>
      <c r="AN198" s="518"/>
      <c r="AO198" s="520"/>
      <c r="AP198" s="516"/>
      <c r="AQ198" s="520"/>
      <c r="AR198" s="516"/>
      <c r="AS198" s="520"/>
      <c r="AT198" s="516"/>
      <c r="AU198" s="520"/>
      <c r="AV198" s="506">
        <f t="shared" si="103"/>
        <v>0</v>
      </c>
      <c r="AW198" s="511">
        <f t="shared" si="111"/>
        <v>0</v>
      </c>
      <c r="AX198" s="508">
        <f t="shared" si="105"/>
        <v>0</v>
      </c>
      <c r="AY198" s="512">
        <f t="shared" si="112"/>
        <v>0</v>
      </c>
      <c r="AZ198" s="513">
        <f t="shared" si="107"/>
        <v>5764.9666666666662</v>
      </c>
      <c r="BA198" s="508">
        <f t="shared" si="108"/>
        <v>4857.5666666666666</v>
      </c>
    </row>
    <row r="199" spans="1:53">
      <c r="A199" s="521" t="s">
        <v>251</v>
      </c>
      <c r="B199" s="504" t="s">
        <v>270</v>
      </c>
      <c r="C199" s="545"/>
      <c r="D199" s="721">
        <v>157739</v>
      </c>
      <c r="E199" s="720">
        <v>9</v>
      </c>
      <c r="F199" s="514" t="s">
        <v>41</v>
      </c>
      <c r="G199" s="515"/>
      <c r="H199" s="516"/>
      <c r="I199" s="519"/>
      <c r="J199" s="516">
        <v>32887</v>
      </c>
      <c r="K199" s="519">
        <v>30732</v>
      </c>
      <c r="L199" s="516">
        <v>4019</v>
      </c>
      <c r="M199" s="519">
        <v>2787</v>
      </c>
      <c r="N199" s="516">
        <v>35094</v>
      </c>
      <c r="O199" s="519">
        <v>33101</v>
      </c>
      <c r="P199" s="506">
        <f t="shared" si="91"/>
        <v>72000</v>
      </c>
      <c r="Q199" s="507">
        <f t="shared" si="109"/>
        <v>2400</v>
      </c>
      <c r="R199" s="508">
        <f t="shared" si="93"/>
        <v>66620</v>
      </c>
      <c r="S199" s="509">
        <f t="shared" si="110"/>
        <v>2220.6666666666665</v>
      </c>
      <c r="T199" s="516">
        <v>5024</v>
      </c>
      <c r="U199" s="519">
        <v>4698</v>
      </c>
      <c r="V199" s="506">
        <f t="shared" si="95"/>
        <v>72000</v>
      </c>
      <c r="W199" s="510">
        <f t="shared" si="96"/>
        <v>66620</v>
      </c>
      <c r="X199" s="517"/>
      <c r="Y199" s="519"/>
      <c r="Z199" s="516"/>
      <c r="AA199" s="519"/>
      <c r="AB199" s="516"/>
      <c r="AC199" s="519"/>
      <c r="AD199" s="516"/>
      <c r="AE199" s="519"/>
      <c r="AF199" s="506">
        <f t="shared" si="97"/>
        <v>0</v>
      </c>
      <c r="AG199" s="507">
        <f t="shared" si="98"/>
        <v>0</v>
      </c>
      <c r="AH199" s="508">
        <f t="shared" si="99"/>
        <v>0</v>
      </c>
      <c r="AI199" s="508">
        <f t="shared" si="100"/>
        <v>0</v>
      </c>
      <c r="AJ199" s="516"/>
      <c r="AK199" s="519"/>
      <c r="AL199" s="506">
        <f t="shared" si="101"/>
        <v>0</v>
      </c>
      <c r="AM199" s="509">
        <f t="shared" si="102"/>
        <v>0</v>
      </c>
      <c r="AN199" s="518"/>
      <c r="AO199" s="520"/>
      <c r="AP199" s="516"/>
      <c r="AQ199" s="520"/>
      <c r="AR199" s="516"/>
      <c r="AS199" s="520"/>
      <c r="AT199" s="516"/>
      <c r="AU199" s="520"/>
      <c r="AV199" s="506">
        <f t="shared" si="103"/>
        <v>0</v>
      </c>
      <c r="AW199" s="511">
        <f t="shared" si="111"/>
        <v>0</v>
      </c>
      <c r="AX199" s="508">
        <f t="shared" si="105"/>
        <v>0</v>
      </c>
      <c r="AY199" s="512">
        <f t="shared" si="112"/>
        <v>0</v>
      </c>
      <c r="AZ199" s="513">
        <f t="shared" si="107"/>
        <v>2400</v>
      </c>
      <c r="BA199" s="508">
        <f t="shared" si="108"/>
        <v>2220.6666666666665</v>
      </c>
    </row>
    <row r="200" spans="1:53">
      <c r="A200" s="521" t="s">
        <v>251</v>
      </c>
      <c r="B200" s="505" t="s">
        <v>271</v>
      </c>
      <c r="C200" s="718"/>
      <c r="D200" s="721">
        <v>157483</v>
      </c>
      <c r="E200" s="720">
        <v>9</v>
      </c>
      <c r="F200" s="514" t="s">
        <v>41</v>
      </c>
      <c r="G200" s="515"/>
      <c r="H200" s="516"/>
      <c r="I200" s="519"/>
      <c r="J200" s="516">
        <v>54242</v>
      </c>
      <c r="K200" s="519">
        <v>53864</v>
      </c>
      <c r="L200" s="516">
        <v>11607</v>
      </c>
      <c r="M200" s="519">
        <v>9873</v>
      </c>
      <c r="N200" s="516">
        <v>62468</v>
      </c>
      <c r="O200" s="519">
        <v>59691</v>
      </c>
      <c r="P200" s="506">
        <f t="shared" si="91"/>
        <v>128317</v>
      </c>
      <c r="Q200" s="507">
        <f t="shared" si="109"/>
        <v>4277.2333333333336</v>
      </c>
      <c r="R200" s="508">
        <f t="shared" si="93"/>
        <v>123428</v>
      </c>
      <c r="S200" s="509">
        <f t="shared" si="110"/>
        <v>4114.2666666666664</v>
      </c>
      <c r="T200" s="516">
        <v>10705</v>
      </c>
      <c r="U200" s="519">
        <v>10212</v>
      </c>
      <c r="V200" s="506">
        <f t="shared" si="95"/>
        <v>128317</v>
      </c>
      <c r="W200" s="510">
        <f t="shared" si="96"/>
        <v>123428</v>
      </c>
      <c r="X200" s="517"/>
      <c r="Y200" s="519"/>
      <c r="Z200" s="516"/>
      <c r="AA200" s="519"/>
      <c r="AB200" s="516"/>
      <c r="AC200" s="519"/>
      <c r="AD200" s="516"/>
      <c r="AE200" s="519"/>
      <c r="AF200" s="506">
        <f t="shared" si="97"/>
        <v>0</v>
      </c>
      <c r="AG200" s="507">
        <f t="shared" si="98"/>
        <v>0</v>
      </c>
      <c r="AH200" s="508">
        <f t="shared" si="99"/>
        <v>0</v>
      </c>
      <c r="AI200" s="508">
        <f t="shared" si="100"/>
        <v>0</v>
      </c>
      <c r="AJ200" s="516"/>
      <c r="AK200" s="519"/>
      <c r="AL200" s="506">
        <f t="shared" si="101"/>
        <v>0</v>
      </c>
      <c r="AM200" s="509">
        <f t="shared" si="102"/>
        <v>0</v>
      </c>
      <c r="AN200" s="518"/>
      <c r="AO200" s="520"/>
      <c r="AP200" s="516"/>
      <c r="AQ200" s="520"/>
      <c r="AR200" s="516"/>
      <c r="AS200" s="520"/>
      <c r="AT200" s="516"/>
      <c r="AU200" s="520"/>
      <c r="AV200" s="506">
        <f t="shared" si="103"/>
        <v>0</v>
      </c>
      <c r="AW200" s="511">
        <f t="shared" si="111"/>
        <v>0</v>
      </c>
      <c r="AX200" s="508">
        <f t="shared" si="105"/>
        <v>0</v>
      </c>
      <c r="AY200" s="512">
        <f t="shared" si="112"/>
        <v>0</v>
      </c>
      <c r="AZ200" s="513">
        <f t="shared" si="107"/>
        <v>4277.2333333333336</v>
      </c>
      <c r="BA200" s="508">
        <f t="shared" si="108"/>
        <v>4114.2666666666664</v>
      </c>
    </row>
    <row r="201" spans="1:53">
      <c r="A201" s="521" t="s">
        <v>251</v>
      </c>
      <c r="B201" s="505" t="s">
        <v>273</v>
      </c>
      <c r="C201" s="718"/>
      <c r="D201" s="721">
        <v>156851</v>
      </c>
      <c r="E201" s="720">
        <v>10</v>
      </c>
      <c r="F201" s="514" t="s">
        <v>41</v>
      </c>
      <c r="G201" s="515"/>
      <c r="H201" s="516"/>
      <c r="I201" s="519"/>
      <c r="J201" s="516">
        <v>18837</v>
      </c>
      <c r="K201" s="519">
        <v>17174</v>
      </c>
      <c r="L201" s="516">
        <v>3798</v>
      </c>
      <c r="M201" s="519">
        <v>2782</v>
      </c>
      <c r="N201" s="516">
        <v>20600</v>
      </c>
      <c r="O201" s="519">
        <v>18257</v>
      </c>
      <c r="P201" s="506">
        <f t="shared" si="91"/>
        <v>43235</v>
      </c>
      <c r="Q201" s="507">
        <f t="shared" si="109"/>
        <v>1441.1666666666667</v>
      </c>
      <c r="R201" s="508">
        <f t="shared" si="93"/>
        <v>38213</v>
      </c>
      <c r="S201" s="509">
        <f t="shared" si="110"/>
        <v>1273.7666666666667</v>
      </c>
      <c r="T201" s="516">
        <v>1619</v>
      </c>
      <c r="U201" s="519">
        <v>1813</v>
      </c>
      <c r="V201" s="506">
        <f t="shared" si="95"/>
        <v>43235</v>
      </c>
      <c r="W201" s="510">
        <f t="shared" si="96"/>
        <v>38213</v>
      </c>
      <c r="X201" s="517"/>
      <c r="Y201" s="519"/>
      <c r="Z201" s="516"/>
      <c r="AA201" s="519"/>
      <c r="AB201" s="516"/>
      <c r="AC201" s="519"/>
      <c r="AD201" s="516"/>
      <c r="AE201" s="519"/>
      <c r="AF201" s="506">
        <f t="shared" si="97"/>
        <v>0</v>
      </c>
      <c r="AG201" s="507">
        <f t="shared" si="98"/>
        <v>0</v>
      </c>
      <c r="AH201" s="508">
        <f t="shared" si="99"/>
        <v>0</v>
      </c>
      <c r="AI201" s="508">
        <f t="shared" si="100"/>
        <v>0</v>
      </c>
      <c r="AJ201" s="516"/>
      <c r="AK201" s="519"/>
      <c r="AL201" s="506">
        <f t="shared" si="101"/>
        <v>0</v>
      </c>
      <c r="AM201" s="509">
        <f t="shared" si="102"/>
        <v>0</v>
      </c>
      <c r="AN201" s="518"/>
      <c r="AO201" s="520"/>
      <c r="AP201" s="516"/>
      <c r="AQ201" s="520"/>
      <c r="AR201" s="516"/>
      <c r="AS201" s="520"/>
      <c r="AT201" s="516"/>
      <c r="AU201" s="520"/>
      <c r="AV201" s="506">
        <f t="shared" si="103"/>
        <v>0</v>
      </c>
      <c r="AW201" s="511">
        <f t="shared" si="111"/>
        <v>0</v>
      </c>
      <c r="AX201" s="508">
        <f t="shared" si="105"/>
        <v>0</v>
      </c>
      <c r="AY201" s="512">
        <f t="shared" si="112"/>
        <v>0</v>
      </c>
      <c r="AZ201" s="513">
        <f t="shared" si="107"/>
        <v>1441.1666666666667</v>
      </c>
      <c r="BA201" s="508">
        <f t="shared" si="108"/>
        <v>1273.7666666666667</v>
      </c>
    </row>
    <row r="202" spans="1:53">
      <c r="A202" s="611" t="s">
        <v>251</v>
      </c>
      <c r="B202" s="505" t="s">
        <v>274</v>
      </c>
      <c r="C202" s="722"/>
      <c r="D202" s="721">
        <v>157438</v>
      </c>
      <c r="E202" s="723">
        <v>12</v>
      </c>
      <c r="F202" s="514" t="s">
        <v>41</v>
      </c>
      <c r="G202" s="515"/>
      <c r="H202" s="516"/>
      <c r="I202" s="519"/>
      <c r="J202" s="516">
        <v>32870</v>
      </c>
      <c r="K202" s="519">
        <v>32686</v>
      </c>
      <c r="L202" s="516">
        <v>7251</v>
      </c>
      <c r="M202" s="519">
        <v>6560</v>
      </c>
      <c r="N202" s="516">
        <v>35036</v>
      </c>
      <c r="O202" s="519">
        <v>33536</v>
      </c>
      <c r="P202" s="506">
        <f t="shared" si="91"/>
        <v>75157</v>
      </c>
      <c r="Q202" s="507">
        <f t="shared" si="109"/>
        <v>2505.2333333333331</v>
      </c>
      <c r="R202" s="508">
        <f t="shared" si="93"/>
        <v>72782</v>
      </c>
      <c r="S202" s="509">
        <f t="shared" si="110"/>
        <v>2426.0666666666666</v>
      </c>
      <c r="T202" s="516">
        <v>3290</v>
      </c>
      <c r="U202" s="519">
        <v>2416</v>
      </c>
      <c r="V202" s="506">
        <f t="shared" si="95"/>
        <v>75157</v>
      </c>
      <c r="W202" s="510">
        <f t="shared" si="96"/>
        <v>72782</v>
      </c>
      <c r="X202" s="517"/>
      <c r="Y202" s="519"/>
      <c r="Z202" s="516"/>
      <c r="AA202" s="519"/>
      <c r="AB202" s="516"/>
      <c r="AC202" s="519"/>
      <c r="AD202" s="516"/>
      <c r="AE202" s="519"/>
      <c r="AF202" s="506">
        <f t="shared" si="97"/>
        <v>0</v>
      </c>
      <c r="AG202" s="507">
        <f t="shared" si="98"/>
        <v>0</v>
      </c>
      <c r="AH202" s="508">
        <f t="shared" si="99"/>
        <v>0</v>
      </c>
      <c r="AI202" s="508">
        <f t="shared" si="100"/>
        <v>0</v>
      </c>
      <c r="AJ202" s="516"/>
      <c r="AK202" s="519"/>
      <c r="AL202" s="506">
        <f t="shared" si="101"/>
        <v>0</v>
      </c>
      <c r="AM202" s="509">
        <f t="shared" si="102"/>
        <v>0</v>
      </c>
      <c r="AN202" s="518"/>
      <c r="AO202" s="520"/>
      <c r="AP202" s="516"/>
      <c r="AQ202" s="520"/>
      <c r="AR202" s="516"/>
      <c r="AS202" s="520"/>
      <c r="AT202" s="516"/>
      <c r="AU202" s="520"/>
      <c r="AV202" s="506">
        <f t="shared" si="103"/>
        <v>0</v>
      </c>
      <c r="AW202" s="511">
        <f t="shared" si="111"/>
        <v>0</v>
      </c>
      <c r="AX202" s="508">
        <f t="shared" si="105"/>
        <v>0</v>
      </c>
      <c r="AY202" s="512">
        <f t="shared" si="112"/>
        <v>0</v>
      </c>
      <c r="AZ202" s="513">
        <f t="shared" si="107"/>
        <v>2505.2333333333331</v>
      </c>
      <c r="BA202" s="508">
        <f t="shared" si="108"/>
        <v>2426.0666666666666</v>
      </c>
    </row>
    <row r="203" spans="1:53">
      <c r="A203" s="611" t="s">
        <v>251</v>
      </c>
      <c r="B203" s="716" t="s">
        <v>822</v>
      </c>
      <c r="C203" s="718"/>
      <c r="D203" s="721">
        <v>156338</v>
      </c>
      <c r="E203" s="720">
        <v>12</v>
      </c>
      <c r="F203" s="514" t="s">
        <v>41</v>
      </c>
      <c r="G203" s="515"/>
      <c r="H203" s="516"/>
      <c r="I203" s="519"/>
      <c r="J203" s="516">
        <v>29052</v>
      </c>
      <c r="K203" s="519">
        <v>33739</v>
      </c>
      <c r="L203" s="516">
        <v>4837</v>
      </c>
      <c r="M203" s="519">
        <v>6299</v>
      </c>
      <c r="N203" s="516">
        <v>35470</v>
      </c>
      <c r="O203" s="519">
        <v>38592</v>
      </c>
      <c r="P203" s="506">
        <f t="shared" si="91"/>
        <v>69359</v>
      </c>
      <c r="Q203" s="507">
        <f t="shared" si="109"/>
        <v>2311.9666666666667</v>
      </c>
      <c r="R203" s="508">
        <f t="shared" si="93"/>
        <v>78630</v>
      </c>
      <c r="S203" s="509">
        <f t="shared" si="110"/>
        <v>2621</v>
      </c>
      <c r="T203" s="516">
        <v>5845</v>
      </c>
      <c r="U203" s="519">
        <v>4202</v>
      </c>
      <c r="V203" s="506">
        <f t="shared" si="95"/>
        <v>69359</v>
      </c>
      <c r="W203" s="510">
        <f t="shared" si="96"/>
        <v>78630</v>
      </c>
      <c r="X203" s="517"/>
      <c r="Y203" s="519"/>
      <c r="Z203" s="516"/>
      <c r="AA203" s="519"/>
      <c r="AB203" s="516"/>
      <c r="AC203" s="519"/>
      <c r="AD203" s="516"/>
      <c r="AE203" s="519"/>
      <c r="AF203" s="506">
        <f t="shared" si="97"/>
        <v>0</v>
      </c>
      <c r="AG203" s="507">
        <f t="shared" si="98"/>
        <v>0</v>
      </c>
      <c r="AH203" s="508">
        <f t="shared" si="99"/>
        <v>0</v>
      </c>
      <c r="AI203" s="508">
        <f t="shared" si="100"/>
        <v>0</v>
      </c>
      <c r="AJ203" s="516"/>
      <c r="AK203" s="519"/>
      <c r="AL203" s="506">
        <f t="shared" si="101"/>
        <v>0</v>
      </c>
      <c r="AM203" s="509">
        <f t="shared" si="102"/>
        <v>0</v>
      </c>
      <c r="AN203" s="518"/>
      <c r="AO203" s="520"/>
      <c r="AP203" s="516"/>
      <c r="AQ203" s="520"/>
      <c r="AR203" s="516"/>
      <c r="AS203" s="520"/>
      <c r="AT203" s="516"/>
      <c r="AU203" s="520"/>
      <c r="AV203" s="506">
        <f t="shared" si="103"/>
        <v>0</v>
      </c>
      <c r="AW203" s="511">
        <f t="shared" si="111"/>
        <v>0</v>
      </c>
      <c r="AX203" s="508">
        <f t="shared" si="105"/>
        <v>0</v>
      </c>
      <c r="AY203" s="512">
        <f t="shared" si="112"/>
        <v>0</v>
      </c>
      <c r="AZ203" s="513">
        <f t="shared" si="107"/>
        <v>2311.9666666666667</v>
      </c>
      <c r="BA203" s="508">
        <f t="shared" si="108"/>
        <v>2621</v>
      </c>
    </row>
    <row r="204" spans="1:53">
      <c r="A204" s="549" t="s">
        <v>325</v>
      </c>
      <c r="B204" s="546" t="s">
        <v>326</v>
      </c>
      <c r="C204" s="548"/>
      <c r="D204" s="560">
        <v>159391</v>
      </c>
      <c r="E204" s="561">
        <v>1</v>
      </c>
      <c r="F204" s="514" t="s">
        <v>41</v>
      </c>
      <c r="G204" s="515" t="s">
        <v>41</v>
      </c>
      <c r="H204" s="516"/>
      <c r="I204" s="519"/>
      <c r="J204" s="516">
        <v>321960</v>
      </c>
      <c r="K204" s="519">
        <v>321021</v>
      </c>
      <c r="L204" s="516">
        <v>45694</v>
      </c>
      <c r="M204" s="519">
        <v>43468</v>
      </c>
      <c r="N204" s="516">
        <v>359983</v>
      </c>
      <c r="O204" s="519">
        <v>360518</v>
      </c>
      <c r="P204" s="506">
        <f t="shared" si="91"/>
        <v>727637</v>
      </c>
      <c r="Q204" s="507">
        <f t="shared" si="109"/>
        <v>24254.566666666666</v>
      </c>
      <c r="R204" s="508">
        <f t="shared" si="93"/>
        <v>725007</v>
      </c>
      <c r="S204" s="509">
        <f t="shared" si="110"/>
        <v>24166.9</v>
      </c>
      <c r="T204" s="516">
        <v>1574</v>
      </c>
      <c r="U204" s="559">
        <v>2047</v>
      </c>
      <c r="V204" s="506">
        <f t="shared" si="95"/>
        <v>727637</v>
      </c>
      <c r="W204" s="510">
        <f t="shared" si="96"/>
        <v>725007</v>
      </c>
      <c r="X204" s="517"/>
      <c r="Y204" s="519"/>
      <c r="Z204" s="516"/>
      <c r="AA204" s="519"/>
      <c r="AB204" s="516"/>
      <c r="AC204" s="519"/>
      <c r="AD204" s="516"/>
      <c r="AE204" s="519"/>
      <c r="AF204" s="506">
        <f t="shared" si="97"/>
        <v>0</v>
      </c>
      <c r="AG204" s="507">
        <f t="shared" si="98"/>
        <v>0</v>
      </c>
      <c r="AH204" s="508">
        <f t="shared" si="99"/>
        <v>0</v>
      </c>
      <c r="AI204" s="508">
        <f t="shared" si="100"/>
        <v>0</v>
      </c>
      <c r="AJ204" s="516"/>
      <c r="AK204" s="519"/>
      <c r="AL204" s="506">
        <f t="shared" si="101"/>
        <v>0</v>
      </c>
      <c r="AM204" s="509">
        <f t="shared" si="102"/>
        <v>0</v>
      </c>
      <c r="AN204" s="518"/>
      <c r="AO204" s="520"/>
      <c r="AP204" s="516">
        <v>50701</v>
      </c>
      <c r="AQ204" s="520">
        <v>50626</v>
      </c>
      <c r="AR204" s="516">
        <v>14767</v>
      </c>
      <c r="AS204" s="520">
        <v>14065</v>
      </c>
      <c r="AT204" s="516">
        <v>53277</v>
      </c>
      <c r="AU204" s="520">
        <v>51827</v>
      </c>
      <c r="AV204" s="506">
        <f t="shared" si="103"/>
        <v>118745</v>
      </c>
      <c r="AW204" s="511">
        <f t="shared" si="111"/>
        <v>4947.708333333333</v>
      </c>
      <c r="AX204" s="508">
        <f t="shared" si="105"/>
        <v>116518</v>
      </c>
      <c r="AY204" s="512">
        <f t="shared" si="112"/>
        <v>4854.916666666667</v>
      </c>
      <c r="AZ204" s="513">
        <f t="shared" si="107"/>
        <v>29202.274999999998</v>
      </c>
      <c r="BA204" s="508">
        <f t="shared" si="108"/>
        <v>29021.816666666669</v>
      </c>
    </row>
    <row r="205" spans="1:53">
      <c r="A205" s="549" t="s">
        <v>325</v>
      </c>
      <c r="B205" s="546" t="s">
        <v>327</v>
      </c>
      <c r="C205" s="548"/>
      <c r="D205" s="560">
        <v>159647</v>
      </c>
      <c r="E205" s="561">
        <v>2</v>
      </c>
      <c r="F205" s="831" t="s">
        <v>328</v>
      </c>
      <c r="G205" s="832" t="s">
        <v>328</v>
      </c>
      <c r="H205" s="558">
        <v>67969</v>
      </c>
      <c r="I205" s="559">
        <v>69068</v>
      </c>
      <c r="J205" s="558">
        <v>69219</v>
      </c>
      <c r="K205" s="559">
        <v>69697</v>
      </c>
      <c r="L205" s="558">
        <v>17543</v>
      </c>
      <c r="M205" s="559">
        <v>16955</v>
      </c>
      <c r="N205" s="558">
        <v>79602</v>
      </c>
      <c r="O205" s="559">
        <v>76434</v>
      </c>
      <c r="P205" s="506">
        <f t="shared" ref="P205" si="113">SUM(H205,J205,L205,N205)</f>
        <v>234333</v>
      </c>
      <c r="Q205" s="507">
        <f t="shared" ref="Q205" si="114">+P205/30</f>
        <v>7811.1</v>
      </c>
      <c r="R205" s="508">
        <f t="shared" ref="R205" si="115">SUM(I205,K205,M205,O205)</f>
        <v>232154</v>
      </c>
      <c r="S205" s="509">
        <f t="shared" ref="S205" si="116">+R205/30</f>
        <v>7738.4666666666662</v>
      </c>
      <c r="T205" s="558">
        <v>10075</v>
      </c>
      <c r="U205" s="559">
        <v>12178</v>
      </c>
      <c r="V205" s="506">
        <f t="shared" si="95"/>
        <v>234333</v>
      </c>
      <c r="W205" s="510">
        <f t="shared" si="96"/>
        <v>232154</v>
      </c>
      <c r="X205" s="517"/>
      <c r="Y205" s="519"/>
      <c r="Z205" s="516"/>
      <c r="AA205" s="519"/>
      <c r="AB205" s="516"/>
      <c r="AC205" s="519"/>
      <c r="AD205" s="516"/>
      <c r="AE205" s="519"/>
      <c r="AF205" s="506">
        <f t="shared" si="97"/>
        <v>0</v>
      </c>
      <c r="AG205" s="507">
        <f t="shared" si="98"/>
        <v>0</v>
      </c>
      <c r="AH205" s="508">
        <f t="shared" si="99"/>
        <v>0</v>
      </c>
      <c r="AI205" s="508">
        <f t="shared" si="100"/>
        <v>0</v>
      </c>
      <c r="AJ205" s="516"/>
      <c r="AK205" s="519"/>
      <c r="AL205" s="506">
        <f t="shared" si="101"/>
        <v>0</v>
      </c>
      <c r="AM205" s="509">
        <f t="shared" si="102"/>
        <v>0</v>
      </c>
      <c r="AN205" s="518">
        <v>7842</v>
      </c>
      <c r="AO205" s="520">
        <v>7654</v>
      </c>
      <c r="AP205" s="516">
        <v>7384</v>
      </c>
      <c r="AQ205" s="520">
        <v>7785</v>
      </c>
      <c r="AR205" s="516">
        <v>4350</v>
      </c>
      <c r="AS205" s="520">
        <v>4314</v>
      </c>
      <c r="AT205" s="516">
        <v>11636</v>
      </c>
      <c r="AU205" s="520">
        <v>11656</v>
      </c>
      <c r="AV205" s="506">
        <f t="shared" ref="AV205" si="117">SUM(AN205,AP205,AR205,AT205)</f>
        <v>31212</v>
      </c>
      <c r="AW205" s="511">
        <f t="shared" ref="AW205" si="118">+AV205/24</f>
        <v>1300.5</v>
      </c>
      <c r="AX205" s="508">
        <f t="shared" ref="AX205" si="119">SUM(AO205,AQ205,AS205,AU205)</f>
        <v>31409</v>
      </c>
      <c r="AY205" s="512">
        <f t="shared" ref="AY205" si="120">+AX205/24</f>
        <v>1308.7083333333333</v>
      </c>
      <c r="AZ205" s="513">
        <f t="shared" si="107"/>
        <v>9111.6</v>
      </c>
      <c r="BA205" s="508">
        <f t="shared" si="108"/>
        <v>9047.1749999999993</v>
      </c>
    </row>
    <row r="206" spans="1:53">
      <c r="A206" s="549" t="s">
        <v>325</v>
      </c>
      <c r="B206" s="546" t="s">
        <v>329</v>
      </c>
      <c r="C206" s="548"/>
      <c r="D206" s="560">
        <v>160658</v>
      </c>
      <c r="E206" s="561">
        <v>2</v>
      </c>
      <c r="F206" s="514" t="s">
        <v>41</v>
      </c>
      <c r="G206" s="515" t="s">
        <v>41</v>
      </c>
      <c r="H206" s="516"/>
      <c r="I206" s="519"/>
      <c r="J206" s="516">
        <v>183146</v>
      </c>
      <c r="K206" s="519">
        <v>184501</v>
      </c>
      <c r="L206" s="516">
        <v>25735</v>
      </c>
      <c r="M206" s="519">
        <v>24934</v>
      </c>
      <c r="N206" s="516">
        <v>201949</v>
      </c>
      <c r="O206" s="519">
        <v>195627</v>
      </c>
      <c r="P206" s="506">
        <f t="shared" si="91"/>
        <v>410830</v>
      </c>
      <c r="Q206" s="507">
        <f t="shared" ref="Q206:Q209" si="121">+P206/30</f>
        <v>13694.333333333334</v>
      </c>
      <c r="R206" s="508">
        <f t="shared" si="93"/>
        <v>405062</v>
      </c>
      <c r="S206" s="509">
        <f t="shared" ref="S206:S209" si="122">+R206/30</f>
        <v>13502.066666666668</v>
      </c>
      <c r="T206" s="516">
        <v>992</v>
      </c>
      <c r="U206" s="559">
        <v>1724</v>
      </c>
      <c r="V206" s="506">
        <f t="shared" si="95"/>
        <v>410830</v>
      </c>
      <c r="W206" s="510">
        <f t="shared" si="96"/>
        <v>405062</v>
      </c>
      <c r="X206" s="517"/>
      <c r="Z206" s="516"/>
      <c r="AA206" s="519"/>
      <c r="AB206" s="516"/>
      <c r="AC206" s="519"/>
      <c r="AD206" s="516"/>
      <c r="AE206" s="519"/>
      <c r="AF206" s="506">
        <f t="shared" si="97"/>
        <v>0</v>
      </c>
      <c r="AG206" s="507">
        <f t="shared" si="98"/>
        <v>0</v>
      </c>
      <c r="AH206" s="508">
        <f t="shared" si="99"/>
        <v>0</v>
      </c>
      <c r="AI206" s="508">
        <f t="shared" si="100"/>
        <v>0</v>
      </c>
      <c r="AJ206" s="516"/>
      <c r="AK206" s="519"/>
      <c r="AL206" s="506">
        <f t="shared" si="101"/>
        <v>0</v>
      </c>
      <c r="AM206" s="509">
        <f t="shared" si="102"/>
        <v>0</v>
      </c>
      <c r="AN206" s="518"/>
      <c r="AO206" s="520"/>
      <c r="AP206" s="516">
        <v>11507</v>
      </c>
      <c r="AQ206" s="520">
        <v>11573</v>
      </c>
      <c r="AR206" s="516">
        <v>2881</v>
      </c>
      <c r="AS206" s="520">
        <v>3083</v>
      </c>
      <c r="AT206" s="516">
        <v>12160</v>
      </c>
      <c r="AU206" s="520">
        <v>12246</v>
      </c>
      <c r="AV206" s="506">
        <f t="shared" si="103"/>
        <v>26548</v>
      </c>
      <c r="AW206" s="511">
        <f t="shared" ref="AW206:AW209" si="123">+AV206/24</f>
        <v>1106.1666666666667</v>
      </c>
      <c r="AX206" s="508">
        <f t="shared" si="105"/>
        <v>26902</v>
      </c>
      <c r="AY206" s="512">
        <f t="shared" ref="AY206:AY209" si="124">+AX206/24</f>
        <v>1120.9166666666667</v>
      </c>
      <c r="AZ206" s="513">
        <f t="shared" si="107"/>
        <v>14800.5</v>
      </c>
      <c r="BA206" s="508">
        <f t="shared" si="108"/>
        <v>14622.983333333334</v>
      </c>
    </row>
    <row r="207" spans="1:53">
      <c r="A207" s="549" t="s">
        <v>325</v>
      </c>
      <c r="B207" s="546" t="s">
        <v>330</v>
      </c>
      <c r="C207" s="548"/>
      <c r="D207" s="560">
        <v>159939</v>
      </c>
      <c r="E207" s="561">
        <v>2</v>
      </c>
      <c r="F207" s="514" t="s">
        <v>41</v>
      </c>
      <c r="G207" s="515" t="s">
        <v>41</v>
      </c>
      <c r="H207" s="516"/>
      <c r="I207" s="519"/>
      <c r="J207" s="516">
        <v>96961</v>
      </c>
      <c r="K207" s="519">
        <v>92318</v>
      </c>
      <c r="L207" s="516">
        <v>18653</v>
      </c>
      <c r="M207" s="519">
        <v>18426</v>
      </c>
      <c r="N207" s="516">
        <v>101303</v>
      </c>
      <c r="O207" s="519">
        <v>95073</v>
      </c>
      <c r="P207" s="506">
        <f t="shared" si="91"/>
        <v>216917</v>
      </c>
      <c r="Q207" s="507">
        <f t="shared" si="121"/>
        <v>7230.5666666666666</v>
      </c>
      <c r="R207" s="508">
        <f t="shared" si="93"/>
        <v>205817</v>
      </c>
      <c r="S207" s="509">
        <f t="shared" si="122"/>
        <v>6860.5666666666666</v>
      </c>
      <c r="T207" s="516">
        <v>613</v>
      </c>
      <c r="U207" s="559">
        <v>557</v>
      </c>
      <c r="V207" s="506">
        <f t="shared" si="95"/>
        <v>216917</v>
      </c>
      <c r="W207" s="510">
        <f t="shared" si="96"/>
        <v>205817</v>
      </c>
      <c r="X207" s="517"/>
      <c r="Y207" s="547"/>
      <c r="Z207" s="516"/>
      <c r="AA207" s="519"/>
      <c r="AB207" s="516"/>
      <c r="AC207" s="519"/>
      <c r="AD207" s="516"/>
      <c r="AE207" s="519"/>
      <c r="AF207" s="506">
        <f t="shared" si="97"/>
        <v>0</v>
      </c>
      <c r="AG207" s="507">
        <f t="shared" si="98"/>
        <v>0</v>
      </c>
      <c r="AH207" s="508">
        <f t="shared" si="99"/>
        <v>0</v>
      </c>
      <c r="AI207" s="508">
        <f t="shared" si="100"/>
        <v>0</v>
      </c>
      <c r="AJ207" s="516"/>
      <c r="AK207" s="519"/>
      <c r="AL207" s="506">
        <f t="shared" si="101"/>
        <v>0</v>
      </c>
      <c r="AM207" s="509">
        <f t="shared" si="102"/>
        <v>0</v>
      </c>
      <c r="AN207" s="518"/>
      <c r="AO207" s="520"/>
      <c r="AP207" s="516">
        <v>18425</v>
      </c>
      <c r="AQ207" s="520">
        <v>16295</v>
      </c>
      <c r="AR207" s="516">
        <v>7461</v>
      </c>
      <c r="AS207" s="520">
        <v>6333</v>
      </c>
      <c r="AT207" s="516">
        <v>18864</v>
      </c>
      <c r="AU207" s="520">
        <v>17463</v>
      </c>
      <c r="AV207" s="506">
        <f t="shared" si="103"/>
        <v>44750</v>
      </c>
      <c r="AW207" s="511">
        <f t="shared" si="123"/>
        <v>1864.5833333333333</v>
      </c>
      <c r="AX207" s="508">
        <f t="shared" si="105"/>
        <v>40091</v>
      </c>
      <c r="AY207" s="512">
        <f t="shared" si="124"/>
        <v>1670.4583333333333</v>
      </c>
      <c r="AZ207" s="513">
        <f t="shared" si="107"/>
        <v>9095.15</v>
      </c>
      <c r="BA207" s="508">
        <f t="shared" si="108"/>
        <v>8531.0249999999996</v>
      </c>
    </row>
    <row r="208" spans="1:53">
      <c r="A208" s="549" t="s">
        <v>325</v>
      </c>
      <c r="B208" s="546" t="s">
        <v>331</v>
      </c>
      <c r="C208" s="548"/>
      <c r="D208" s="560">
        <v>160612</v>
      </c>
      <c r="E208" s="561">
        <v>3</v>
      </c>
      <c r="F208" s="514" t="s">
        <v>41</v>
      </c>
      <c r="G208" s="515" t="s">
        <v>41</v>
      </c>
      <c r="H208" s="516"/>
      <c r="I208" s="519"/>
      <c r="J208" s="516">
        <v>166891</v>
      </c>
      <c r="K208" s="519">
        <v>162619</v>
      </c>
      <c r="L208" s="516">
        <v>25518</v>
      </c>
      <c r="M208" s="519">
        <v>21975</v>
      </c>
      <c r="N208" s="516">
        <v>175070</v>
      </c>
      <c r="O208" s="559">
        <v>173089</v>
      </c>
      <c r="P208" s="506">
        <f t="shared" si="91"/>
        <v>367479</v>
      </c>
      <c r="Q208" s="507">
        <f t="shared" si="121"/>
        <v>12249.3</v>
      </c>
      <c r="R208" s="508">
        <f t="shared" si="93"/>
        <v>357683</v>
      </c>
      <c r="S208" s="509">
        <f t="shared" si="122"/>
        <v>11922.766666666666</v>
      </c>
      <c r="T208" s="516">
        <v>9364</v>
      </c>
      <c r="U208" s="559">
        <v>9149</v>
      </c>
      <c r="V208" s="506">
        <f t="shared" si="95"/>
        <v>367479</v>
      </c>
      <c r="W208" s="510">
        <f t="shared" si="96"/>
        <v>357683</v>
      </c>
      <c r="X208" s="517"/>
      <c r="Y208" s="547"/>
      <c r="Z208" s="516"/>
      <c r="AA208" s="519"/>
      <c r="AB208" s="516"/>
      <c r="AC208" s="519"/>
      <c r="AD208" s="516"/>
      <c r="AE208" s="519"/>
      <c r="AF208" s="506">
        <f t="shared" si="97"/>
        <v>0</v>
      </c>
      <c r="AG208" s="507">
        <f t="shared" si="98"/>
        <v>0</v>
      </c>
      <c r="AH208" s="508">
        <f t="shared" si="99"/>
        <v>0</v>
      </c>
      <c r="AI208" s="508">
        <f t="shared" si="100"/>
        <v>0</v>
      </c>
      <c r="AJ208" s="516"/>
      <c r="AK208" s="519"/>
      <c r="AL208" s="506">
        <f t="shared" si="101"/>
        <v>0</v>
      </c>
      <c r="AM208" s="509">
        <f t="shared" si="102"/>
        <v>0</v>
      </c>
      <c r="AN208" s="518"/>
      <c r="AO208" s="520"/>
      <c r="AP208" s="516">
        <v>9063</v>
      </c>
      <c r="AQ208" s="520">
        <v>9309</v>
      </c>
      <c r="AR208" s="516">
        <v>5149</v>
      </c>
      <c r="AS208" s="520">
        <v>5034</v>
      </c>
      <c r="AT208" s="516">
        <v>8871</v>
      </c>
      <c r="AU208" s="520">
        <v>8768</v>
      </c>
      <c r="AV208" s="506">
        <f t="shared" si="103"/>
        <v>23083</v>
      </c>
      <c r="AW208" s="511">
        <f t="shared" si="123"/>
        <v>961.79166666666663</v>
      </c>
      <c r="AX208" s="508">
        <f t="shared" si="105"/>
        <v>23111</v>
      </c>
      <c r="AY208" s="512">
        <f t="shared" si="124"/>
        <v>962.95833333333337</v>
      </c>
      <c r="AZ208" s="513">
        <f t="shared" si="107"/>
        <v>13211.091666666665</v>
      </c>
      <c r="BA208" s="508">
        <f t="shared" si="108"/>
        <v>12885.725</v>
      </c>
    </row>
    <row r="209" spans="1:53">
      <c r="A209" s="549" t="s">
        <v>325</v>
      </c>
      <c r="B209" s="546" t="s">
        <v>332</v>
      </c>
      <c r="C209" s="548" t="s">
        <v>359</v>
      </c>
      <c r="D209" s="560">
        <v>160621</v>
      </c>
      <c r="E209" s="561">
        <v>3</v>
      </c>
      <c r="F209" s="514" t="s">
        <v>41</v>
      </c>
      <c r="G209" s="515" t="s">
        <v>41</v>
      </c>
      <c r="H209" s="516"/>
      <c r="I209" s="519"/>
      <c r="J209" s="516">
        <v>79786</v>
      </c>
      <c r="K209" s="519">
        <v>74723</v>
      </c>
      <c r="L209" s="516">
        <v>17343</v>
      </c>
      <c r="M209" s="519">
        <v>10996</v>
      </c>
      <c r="N209" s="516">
        <v>78761</v>
      </c>
      <c r="O209" s="519">
        <v>73535</v>
      </c>
      <c r="P209" s="506">
        <f t="shared" si="91"/>
        <v>175890</v>
      </c>
      <c r="Q209" s="507">
        <f t="shared" si="121"/>
        <v>5863</v>
      </c>
      <c r="R209" s="508">
        <f t="shared" si="93"/>
        <v>159254</v>
      </c>
      <c r="S209" s="509">
        <f t="shared" si="122"/>
        <v>5308.4666666666662</v>
      </c>
      <c r="T209" s="516">
        <v>219</v>
      </c>
      <c r="U209" s="559">
        <v>142</v>
      </c>
      <c r="V209" s="506">
        <f t="shared" si="95"/>
        <v>175890</v>
      </c>
      <c r="W209" s="510">
        <f t="shared" si="96"/>
        <v>159254</v>
      </c>
      <c r="X209" s="517"/>
      <c r="Y209" s="547"/>
      <c r="Z209" s="516"/>
      <c r="AA209" s="519"/>
      <c r="AB209" s="516"/>
      <c r="AC209" s="519"/>
      <c r="AD209" s="516"/>
      <c r="AE209" s="519"/>
      <c r="AF209" s="506">
        <f t="shared" si="97"/>
        <v>0</v>
      </c>
      <c r="AG209" s="507">
        <f t="shared" si="98"/>
        <v>0</v>
      </c>
      <c r="AH209" s="508">
        <f t="shared" si="99"/>
        <v>0</v>
      </c>
      <c r="AI209" s="508">
        <f t="shared" si="100"/>
        <v>0</v>
      </c>
      <c r="AJ209" s="516"/>
      <c r="AK209" s="519"/>
      <c r="AL209" s="506">
        <f t="shared" si="101"/>
        <v>0</v>
      </c>
      <c r="AM209" s="509">
        <f t="shared" si="102"/>
        <v>0</v>
      </c>
      <c r="AN209" s="518"/>
      <c r="AO209" s="520"/>
      <c r="AP209" s="516">
        <v>18227</v>
      </c>
      <c r="AQ209" s="520">
        <v>18079</v>
      </c>
      <c r="AR209" s="516">
        <v>5142</v>
      </c>
      <c r="AS209" s="520">
        <v>4635</v>
      </c>
      <c r="AT209" s="516">
        <v>18502</v>
      </c>
      <c r="AU209" s="520">
        <v>18888</v>
      </c>
      <c r="AV209" s="506">
        <f t="shared" si="103"/>
        <v>41871</v>
      </c>
      <c r="AW209" s="511">
        <f t="shared" si="123"/>
        <v>1744.625</v>
      </c>
      <c r="AX209" s="508">
        <f t="shared" si="105"/>
        <v>41602</v>
      </c>
      <c r="AY209" s="512">
        <f t="shared" si="124"/>
        <v>1733.4166666666667</v>
      </c>
      <c r="AZ209" s="513">
        <f t="shared" si="107"/>
        <v>7607.625</v>
      </c>
      <c r="BA209" s="508">
        <f t="shared" si="108"/>
        <v>7041.8833333333332</v>
      </c>
    </row>
    <row r="210" spans="1:53">
      <c r="A210" s="549" t="s">
        <v>325</v>
      </c>
      <c r="B210" s="546" t="s">
        <v>333</v>
      </c>
      <c r="C210" s="548"/>
      <c r="D210" s="560">
        <v>159993</v>
      </c>
      <c r="E210" s="561">
        <v>3</v>
      </c>
      <c r="F210" s="514" t="s">
        <v>41</v>
      </c>
      <c r="G210" s="515" t="s">
        <v>41</v>
      </c>
      <c r="H210" s="516">
        <v>2599</v>
      </c>
      <c r="I210" s="519">
        <v>2643</v>
      </c>
      <c r="J210" s="516">
        <v>76512</v>
      </c>
      <c r="K210" s="519">
        <v>74963</v>
      </c>
      <c r="L210" s="516">
        <v>25494</v>
      </c>
      <c r="M210" s="519">
        <v>16684</v>
      </c>
      <c r="N210" s="516">
        <v>86222</v>
      </c>
      <c r="O210" s="559">
        <v>85842</v>
      </c>
      <c r="P210" s="506">
        <f t="shared" ref="P210:P273" si="125">SUM(H210,J210,L210,N210)</f>
        <v>190827</v>
      </c>
      <c r="Q210" s="507">
        <f t="shared" ref="Q210:Q273" si="126">+P210/30</f>
        <v>6360.9</v>
      </c>
      <c r="R210" s="508">
        <f t="shared" ref="R210:R273" si="127">SUM(I210,K210,M210,O210)</f>
        <v>180132</v>
      </c>
      <c r="S210" s="509">
        <f t="shared" ref="S210:S273" si="128">+R210/30</f>
        <v>6004.4</v>
      </c>
      <c r="T210" s="516">
        <v>8899</v>
      </c>
      <c r="U210" s="559">
        <v>13524</v>
      </c>
      <c r="V210" s="506">
        <f t="shared" ref="V210:V273" si="129">IF(ISBLANK(T210),0,P210)</f>
        <v>190827</v>
      </c>
      <c r="W210" s="510">
        <f t="shared" ref="W210:W273" si="130">IF(ISBLANK(U210),0,R210)</f>
        <v>180132</v>
      </c>
      <c r="X210" s="517"/>
      <c r="Y210" s="547"/>
      <c r="Z210" s="516"/>
      <c r="AA210" s="519"/>
      <c r="AB210" s="516"/>
      <c r="AC210" s="519"/>
      <c r="AD210" s="516"/>
      <c r="AE210" s="519"/>
      <c r="AF210" s="506">
        <f t="shared" ref="AF210:AF273" si="131">SUM(X210,Z210,AB210,AD210)</f>
        <v>0</v>
      </c>
      <c r="AG210" s="507">
        <f t="shared" ref="AG210:AG273" si="132">+AF210/900</f>
        <v>0</v>
      </c>
      <c r="AH210" s="508">
        <f t="shared" ref="AH210:AH273" si="133">SUM(Y210,AA210,AC210,AE210)</f>
        <v>0</v>
      </c>
      <c r="AI210" s="508">
        <f t="shared" ref="AI210:AI273" si="134">+AH210/900</f>
        <v>0</v>
      </c>
      <c r="AJ210" s="516"/>
      <c r="AK210" s="519"/>
      <c r="AL210" s="506">
        <f t="shared" ref="AL210:AL273" si="135">IF(ISBLANK(AJ210),0,AF210)</f>
        <v>0</v>
      </c>
      <c r="AM210" s="509">
        <f t="shared" ref="AM210:AM273" si="136">IF(ISBLANK(AK210),0,AH210)</f>
        <v>0</v>
      </c>
      <c r="AN210" s="518">
        <v>236</v>
      </c>
      <c r="AO210" s="520">
        <v>528</v>
      </c>
      <c r="AP210" s="516">
        <v>11816</v>
      </c>
      <c r="AQ210" s="520">
        <v>12898</v>
      </c>
      <c r="AR210" s="516">
        <v>6972</v>
      </c>
      <c r="AS210" s="520">
        <v>7814</v>
      </c>
      <c r="AT210" s="516">
        <v>13227</v>
      </c>
      <c r="AU210" s="520">
        <v>12974</v>
      </c>
      <c r="AV210" s="506">
        <f t="shared" ref="AV210:AV273" si="137">SUM(AN210,AP210,AR210,AT210)</f>
        <v>32251</v>
      </c>
      <c r="AW210" s="511">
        <f t="shared" ref="AW210:AW273" si="138">+AV210/24</f>
        <v>1343.7916666666667</v>
      </c>
      <c r="AX210" s="508">
        <f t="shared" ref="AX210:AX273" si="139">SUM(AO210,AQ210,AS210,AU210)</f>
        <v>34214</v>
      </c>
      <c r="AY210" s="512">
        <f t="shared" ref="AY210:AY273" si="140">+AX210/24</f>
        <v>1425.5833333333333</v>
      </c>
      <c r="AZ210" s="513">
        <f t="shared" ref="AZ210:AZ273" si="141">SUM(Q210,AG210,AW210)</f>
        <v>7704.6916666666666</v>
      </c>
      <c r="BA210" s="508">
        <f t="shared" ref="BA210:BA273" si="142">SUM(S210,AI210,AY210)</f>
        <v>7429.9833333333327</v>
      </c>
    </row>
    <row r="211" spans="1:53">
      <c r="A211" s="549" t="s">
        <v>325</v>
      </c>
      <c r="B211" s="546" t="s">
        <v>334</v>
      </c>
      <c r="C211" s="548"/>
      <c r="D211" s="560">
        <v>159009</v>
      </c>
      <c r="E211" s="561">
        <v>4</v>
      </c>
      <c r="F211" s="514" t="s">
        <v>41</v>
      </c>
      <c r="G211" s="515" t="s">
        <v>41</v>
      </c>
      <c r="H211" s="516"/>
      <c r="I211" s="519"/>
      <c r="J211" s="516">
        <v>57133</v>
      </c>
      <c r="K211" s="519">
        <v>57258</v>
      </c>
      <c r="L211" s="516">
        <v>15132</v>
      </c>
      <c r="M211" s="519">
        <v>11522</v>
      </c>
      <c r="N211" s="516">
        <v>61060</v>
      </c>
      <c r="O211" s="519">
        <v>60356</v>
      </c>
      <c r="P211" s="506">
        <f t="shared" si="125"/>
        <v>133325</v>
      </c>
      <c r="Q211" s="507">
        <f t="shared" si="126"/>
        <v>4444.166666666667</v>
      </c>
      <c r="R211" s="508">
        <f t="shared" si="127"/>
        <v>129136</v>
      </c>
      <c r="S211" s="509">
        <f t="shared" si="128"/>
        <v>4304.5333333333338</v>
      </c>
      <c r="T211" s="516">
        <v>129</v>
      </c>
      <c r="U211" s="559">
        <v>282</v>
      </c>
      <c r="V211" s="506">
        <f t="shared" si="129"/>
        <v>133325</v>
      </c>
      <c r="W211" s="510">
        <f t="shared" si="130"/>
        <v>129136</v>
      </c>
      <c r="X211" s="517"/>
      <c r="Y211" s="519"/>
      <c r="Z211" s="516"/>
      <c r="AA211" s="519"/>
      <c r="AB211" s="516"/>
      <c r="AC211" s="519"/>
      <c r="AD211" s="516"/>
      <c r="AE211" s="519"/>
      <c r="AF211" s="506">
        <f t="shared" si="131"/>
        <v>0</v>
      </c>
      <c r="AG211" s="507">
        <f t="shared" si="132"/>
        <v>0</v>
      </c>
      <c r="AH211" s="508">
        <f t="shared" si="133"/>
        <v>0</v>
      </c>
      <c r="AI211" s="508">
        <f t="shared" si="134"/>
        <v>0</v>
      </c>
      <c r="AJ211" s="516"/>
      <c r="AK211" s="519"/>
      <c r="AL211" s="506">
        <f t="shared" si="135"/>
        <v>0</v>
      </c>
      <c r="AM211" s="509">
        <f t="shared" si="136"/>
        <v>0</v>
      </c>
      <c r="AN211" s="518"/>
      <c r="AO211" s="520"/>
      <c r="AP211" s="516">
        <v>5191</v>
      </c>
      <c r="AQ211" s="520">
        <v>6496</v>
      </c>
      <c r="AR211" s="516">
        <v>2586</v>
      </c>
      <c r="AS211" s="520">
        <v>2804</v>
      </c>
      <c r="AT211" s="516">
        <v>6077</v>
      </c>
      <c r="AU211" s="520">
        <v>6882</v>
      </c>
      <c r="AV211" s="506">
        <f t="shared" si="137"/>
        <v>13854</v>
      </c>
      <c r="AW211" s="511">
        <f t="shared" si="138"/>
        <v>577.25</v>
      </c>
      <c r="AX211" s="508">
        <f t="shared" si="139"/>
        <v>16182</v>
      </c>
      <c r="AY211" s="512">
        <f t="shared" si="140"/>
        <v>674.25</v>
      </c>
      <c r="AZ211" s="513">
        <f t="shared" si="141"/>
        <v>5021.416666666667</v>
      </c>
      <c r="BA211" s="508">
        <f t="shared" si="142"/>
        <v>4978.7833333333338</v>
      </c>
    </row>
    <row r="212" spans="1:53">
      <c r="A212" s="549" t="s">
        <v>325</v>
      </c>
      <c r="B212" s="546" t="s">
        <v>335</v>
      </c>
      <c r="C212" s="548"/>
      <c r="D212" s="560">
        <v>159416</v>
      </c>
      <c r="E212" s="561">
        <v>4</v>
      </c>
      <c r="F212" s="514" t="s">
        <v>41</v>
      </c>
      <c r="G212" s="515" t="s">
        <v>41</v>
      </c>
      <c r="H212" s="516"/>
      <c r="I212" s="519"/>
      <c r="J212" s="516">
        <v>40140</v>
      </c>
      <c r="K212" s="519">
        <v>40658</v>
      </c>
      <c r="L212" s="516">
        <v>9056</v>
      </c>
      <c r="M212" s="519">
        <v>7099</v>
      </c>
      <c r="N212" s="516">
        <v>42238</v>
      </c>
      <c r="O212" s="519">
        <v>41384</v>
      </c>
      <c r="P212" s="506">
        <f t="shared" si="125"/>
        <v>91434</v>
      </c>
      <c r="Q212" s="507">
        <f t="shared" si="126"/>
        <v>3047.8</v>
      </c>
      <c r="R212" s="508">
        <f t="shared" si="127"/>
        <v>89141</v>
      </c>
      <c r="S212" s="509">
        <f t="shared" si="128"/>
        <v>2971.3666666666668</v>
      </c>
      <c r="T212" s="516">
        <v>7771</v>
      </c>
      <c r="U212" s="559">
        <v>11114</v>
      </c>
      <c r="V212" s="506">
        <f t="shared" si="129"/>
        <v>91434</v>
      </c>
      <c r="W212" s="510">
        <f t="shared" si="130"/>
        <v>89141</v>
      </c>
      <c r="X212" s="517"/>
      <c r="Y212" s="519"/>
      <c r="Z212" s="516"/>
      <c r="AA212" s="519"/>
      <c r="AB212" s="516"/>
      <c r="AC212" s="519"/>
      <c r="AD212" s="516"/>
      <c r="AE212" s="519"/>
      <c r="AF212" s="506">
        <f t="shared" si="131"/>
        <v>0</v>
      </c>
      <c r="AG212" s="507">
        <f t="shared" si="132"/>
        <v>0</v>
      </c>
      <c r="AH212" s="508">
        <f t="shared" si="133"/>
        <v>0</v>
      </c>
      <c r="AI212" s="508">
        <f t="shared" si="134"/>
        <v>0</v>
      </c>
      <c r="AJ212" s="516"/>
      <c r="AK212" s="519"/>
      <c r="AL212" s="506">
        <f t="shared" si="135"/>
        <v>0</v>
      </c>
      <c r="AM212" s="509">
        <f t="shared" si="136"/>
        <v>0</v>
      </c>
      <c r="AN212" s="518"/>
      <c r="AO212" s="520"/>
      <c r="AP212" s="516">
        <v>2679</v>
      </c>
      <c r="AQ212" s="520">
        <v>2382</v>
      </c>
      <c r="AR212" s="516">
        <v>1286</v>
      </c>
      <c r="AS212" s="520">
        <v>1202</v>
      </c>
      <c r="AT212" s="516">
        <v>2752</v>
      </c>
      <c r="AU212" s="520">
        <v>2701</v>
      </c>
      <c r="AV212" s="506">
        <f t="shared" si="137"/>
        <v>6717</v>
      </c>
      <c r="AW212" s="511">
        <f t="shared" si="138"/>
        <v>279.875</v>
      </c>
      <c r="AX212" s="508">
        <f t="shared" si="139"/>
        <v>6285</v>
      </c>
      <c r="AY212" s="512">
        <f t="shared" si="140"/>
        <v>261.875</v>
      </c>
      <c r="AZ212" s="513">
        <f t="shared" si="141"/>
        <v>3327.6750000000002</v>
      </c>
      <c r="BA212" s="508">
        <f t="shared" si="142"/>
        <v>3233.2416666666668</v>
      </c>
    </row>
    <row r="213" spans="1:53">
      <c r="A213" s="549" t="s">
        <v>325</v>
      </c>
      <c r="B213" s="546" t="s">
        <v>336</v>
      </c>
      <c r="C213" s="548"/>
      <c r="D213" s="560">
        <v>159717</v>
      </c>
      <c r="E213" s="561">
        <v>4</v>
      </c>
      <c r="F213" s="514" t="s">
        <v>41</v>
      </c>
      <c r="G213" s="515" t="s">
        <v>41</v>
      </c>
      <c r="H213" s="516"/>
      <c r="I213" s="519"/>
      <c r="J213" s="516">
        <v>99274</v>
      </c>
      <c r="K213" s="519">
        <v>97806</v>
      </c>
      <c r="L213" s="516">
        <v>13537</v>
      </c>
      <c r="M213" s="519">
        <v>12418</v>
      </c>
      <c r="N213" s="516">
        <v>105150</v>
      </c>
      <c r="O213" s="519">
        <v>103403</v>
      </c>
      <c r="P213" s="506">
        <f t="shared" si="125"/>
        <v>217961</v>
      </c>
      <c r="Q213" s="507">
        <f t="shared" si="126"/>
        <v>7265.3666666666668</v>
      </c>
      <c r="R213" s="508">
        <f t="shared" si="127"/>
        <v>213627</v>
      </c>
      <c r="S213" s="509">
        <f t="shared" si="128"/>
        <v>7120.9</v>
      </c>
      <c r="T213" s="516">
        <v>5793</v>
      </c>
      <c r="U213" s="559">
        <v>5685</v>
      </c>
      <c r="V213" s="506">
        <f t="shared" si="129"/>
        <v>217961</v>
      </c>
      <c r="W213" s="510">
        <f t="shared" si="130"/>
        <v>213627</v>
      </c>
      <c r="X213" s="517"/>
      <c r="Y213" s="519"/>
      <c r="Z213" s="516"/>
      <c r="AA213" s="519"/>
      <c r="AB213" s="516"/>
      <c r="AC213" s="519"/>
      <c r="AD213" s="516"/>
      <c r="AE213" s="519"/>
      <c r="AF213" s="506">
        <f t="shared" si="131"/>
        <v>0</v>
      </c>
      <c r="AG213" s="507">
        <f t="shared" si="132"/>
        <v>0</v>
      </c>
      <c r="AH213" s="508">
        <f t="shared" si="133"/>
        <v>0</v>
      </c>
      <c r="AI213" s="508">
        <f t="shared" si="134"/>
        <v>0</v>
      </c>
      <c r="AJ213" s="516"/>
      <c r="AK213" s="519"/>
      <c r="AL213" s="506">
        <f t="shared" si="135"/>
        <v>0</v>
      </c>
      <c r="AM213" s="509">
        <f t="shared" si="136"/>
        <v>0</v>
      </c>
      <c r="AN213" s="518"/>
      <c r="AO213" s="520"/>
      <c r="AP213" s="516">
        <v>6001</v>
      </c>
      <c r="AQ213" s="520">
        <v>5719</v>
      </c>
      <c r="AR213" s="516">
        <v>2120</v>
      </c>
      <c r="AS213" s="520">
        <v>2065</v>
      </c>
      <c r="AT213" s="516">
        <v>6074</v>
      </c>
      <c r="AU213" s="520">
        <v>5411</v>
      </c>
      <c r="AV213" s="506">
        <f t="shared" si="137"/>
        <v>14195</v>
      </c>
      <c r="AW213" s="511">
        <f t="shared" si="138"/>
        <v>591.45833333333337</v>
      </c>
      <c r="AX213" s="508">
        <f t="shared" si="139"/>
        <v>13195</v>
      </c>
      <c r="AY213" s="512">
        <f t="shared" si="140"/>
        <v>549.79166666666663</v>
      </c>
      <c r="AZ213" s="513">
        <f t="shared" si="141"/>
        <v>7856.8249999999998</v>
      </c>
      <c r="BA213" s="508">
        <f t="shared" si="142"/>
        <v>7670.6916666666666</v>
      </c>
    </row>
    <row r="214" spans="1:53">
      <c r="A214" s="549" t="s">
        <v>325</v>
      </c>
      <c r="B214" s="546" t="s">
        <v>337</v>
      </c>
      <c r="C214" s="548"/>
      <c r="D214" s="560">
        <v>159966</v>
      </c>
      <c r="E214" s="561">
        <v>4</v>
      </c>
      <c r="F214" s="514" t="s">
        <v>41</v>
      </c>
      <c r="G214" s="515" t="s">
        <v>41</v>
      </c>
      <c r="H214" s="516"/>
      <c r="I214" s="519"/>
      <c r="J214" s="516">
        <v>77075</v>
      </c>
      <c r="K214" s="519">
        <v>73786</v>
      </c>
      <c r="L214" s="516">
        <v>16318</v>
      </c>
      <c r="M214" s="519">
        <v>11331</v>
      </c>
      <c r="N214" s="516">
        <v>81554</v>
      </c>
      <c r="O214" s="519">
        <v>79365</v>
      </c>
      <c r="P214" s="506">
        <f t="shared" si="125"/>
        <v>174947</v>
      </c>
      <c r="Q214" s="507">
        <f t="shared" si="126"/>
        <v>5831.5666666666666</v>
      </c>
      <c r="R214" s="508">
        <f t="shared" si="127"/>
        <v>164482</v>
      </c>
      <c r="S214" s="509">
        <f t="shared" si="128"/>
        <v>5482.7333333333336</v>
      </c>
      <c r="T214" s="516">
        <v>1011</v>
      </c>
      <c r="U214" s="559">
        <v>1020</v>
      </c>
      <c r="V214" s="506">
        <f t="shared" si="129"/>
        <v>174947</v>
      </c>
      <c r="W214" s="510">
        <f t="shared" si="130"/>
        <v>164482</v>
      </c>
      <c r="X214" s="517"/>
      <c r="Y214" s="519"/>
      <c r="Z214" s="516"/>
      <c r="AA214" s="519"/>
      <c r="AB214" s="516"/>
      <c r="AC214" s="519"/>
      <c r="AD214" s="516"/>
      <c r="AE214" s="519"/>
      <c r="AF214" s="506">
        <f t="shared" si="131"/>
        <v>0</v>
      </c>
      <c r="AG214" s="507">
        <f t="shared" si="132"/>
        <v>0</v>
      </c>
      <c r="AH214" s="508">
        <f t="shared" si="133"/>
        <v>0</v>
      </c>
      <c r="AI214" s="508">
        <f t="shared" si="134"/>
        <v>0</v>
      </c>
      <c r="AJ214" s="516"/>
      <c r="AK214" s="519"/>
      <c r="AL214" s="506">
        <f t="shared" si="135"/>
        <v>0</v>
      </c>
      <c r="AM214" s="509">
        <f t="shared" si="136"/>
        <v>0</v>
      </c>
      <c r="AN214" s="518"/>
      <c r="AO214" s="520"/>
      <c r="AP214" s="516">
        <v>4125</v>
      </c>
      <c r="AQ214" s="520">
        <v>3898</v>
      </c>
      <c r="AR214" s="516">
        <v>3710</v>
      </c>
      <c r="AS214" s="520">
        <v>2794</v>
      </c>
      <c r="AT214" s="516">
        <v>4002</v>
      </c>
      <c r="AU214" s="520">
        <v>3950</v>
      </c>
      <c r="AV214" s="506">
        <f t="shared" si="137"/>
        <v>11837</v>
      </c>
      <c r="AW214" s="511">
        <f t="shared" si="138"/>
        <v>493.20833333333331</v>
      </c>
      <c r="AX214" s="508">
        <f t="shared" si="139"/>
        <v>10642</v>
      </c>
      <c r="AY214" s="512">
        <f t="shared" si="140"/>
        <v>443.41666666666669</v>
      </c>
      <c r="AZ214" s="513">
        <f t="shared" si="141"/>
        <v>6324.7749999999996</v>
      </c>
      <c r="BA214" s="508">
        <f t="shared" si="142"/>
        <v>5926.1500000000005</v>
      </c>
    </row>
    <row r="215" spans="1:53">
      <c r="A215" s="549" t="s">
        <v>325</v>
      </c>
      <c r="B215" s="546" t="s">
        <v>338</v>
      </c>
      <c r="C215" s="548"/>
      <c r="D215" s="560">
        <v>160038</v>
      </c>
      <c r="E215" s="561">
        <v>4</v>
      </c>
      <c r="F215" s="514" t="s">
        <v>41</v>
      </c>
      <c r="G215" s="515" t="s">
        <v>41</v>
      </c>
      <c r="H215" s="516"/>
      <c r="I215" s="519"/>
      <c r="J215" s="516">
        <v>93649</v>
      </c>
      <c r="K215" s="519">
        <v>92476</v>
      </c>
      <c r="L215" s="516">
        <v>22572</v>
      </c>
      <c r="M215" s="519">
        <v>19687</v>
      </c>
      <c r="N215" s="516">
        <v>99684</v>
      </c>
      <c r="O215" s="559">
        <v>100426</v>
      </c>
      <c r="P215" s="506">
        <f t="shared" si="125"/>
        <v>215905</v>
      </c>
      <c r="Q215" s="507">
        <f t="shared" si="126"/>
        <v>7196.833333333333</v>
      </c>
      <c r="R215" s="508">
        <f t="shared" si="127"/>
        <v>212589</v>
      </c>
      <c r="S215" s="509">
        <f t="shared" si="128"/>
        <v>7086.3</v>
      </c>
      <c r="T215" s="516">
        <v>5488</v>
      </c>
      <c r="U215" s="559">
        <v>5504</v>
      </c>
      <c r="V215" s="506">
        <f t="shared" si="129"/>
        <v>215905</v>
      </c>
      <c r="W215" s="510">
        <f t="shared" si="130"/>
        <v>212589</v>
      </c>
      <c r="X215" s="517"/>
      <c r="Y215" s="519"/>
      <c r="Z215" s="516"/>
      <c r="AA215" s="519"/>
      <c r="AB215" s="516"/>
      <c r="AC215" s="519"/>
      <c r="AD215" s="516"/>
      <c r="AE215" s="519"/>
      <c r="AF215" s="506">
        <f t="shared" si="131"/>
        <v>0</v>
      </c>
      <c r="AG215" s="507">
        <f t="shared" si="132"/>
        <v>0</v>
      </c>
      <c r="AH215" s="508">
        <f t="shared" si="133"/>
        <v>0</v>
      </c>
      <c r="AI215" s="508">
        <f t="shared" si="134"/>
        <v>0</v>
      </c>
      <c r="AJ215" s="516"/>
      <c r="AK215" s="519"/>
      <c r="AL215" s="506">
        <f t="shared" si="135"/>
        <v>0</v>
      </c>
      <c r="AM215" s="509">
        <f t="shared" si="136"/>
        <v>0</v>
      </c>
      <c r="AN215" s="518"/>
      <c r="AO215" s="520"/>
      <c r="AP215" s="516">
        <v>6802</v>
      </c>
      <c r="AQ215" s="520">
        <v>6310</v>
      </c>
      <c r="AR215" s="516">
        <v>4515</v>
      </c>
      <c r="AS215" s="520">
        <v>3896</v>
      </c>
      <c r="AT215" s="516">
        <v>6791</v>
      </c>
      <c r="AU215" s="520">
        <v>6726</v>
      </c>
      <c r="AV215" s="506">
        <f t="shared" si="137"/>
        <v>18108</v>
      </c>
      <c r="AW215" s="511">
        <f t="shared" si="138"/>
        <v>754.5</v>
      </c>
      <c r="AX215" s="508">
        <f t="shared" si="139"/>
        <v>16932</v>
      </c>
      <c r="AY215" s="512">
        <f t="shared" si="140"/>
        <v>705.5</v>
      </c>
      <c r="AZ215" s="513">
        <f t="shared" si="141"/>
        <v>7951.333333333333</v>
      </c>
      <c r="BA215" s="508">
        <f t="shared" si="142"/>
        <v>7791.8</v>
      </c>
    </row>
    <row r="216" spans="1:53">
      <c r="A216" s="549" t="s">
        <v>325</v>
      </c>
      <c r="B216" s="550" t="s">
        <v>339</v>
      </c>
      <c r="C216" s="548" t="s">
        <v>360</v>
      </c>
      <c r="D216" s="560">
        <v>160630</v>
      </c>
      <c r="E216" s="561">
        <v>4</v>
      </c>
      <c r="F216" s="514" t="s">
        <v>41</v>
      </c>
      <c r="G216" s="515" t="s">
        <v>41</v>
      </c>
      <c r="H216" s="516"/>
      <c r="I216" s="519"/>
      <c r="J216" s="516">
        <v>33100</v>
      </c>
      <c r="K216" s="519">
        <v>38111</v>
      </c>
      <c r="L216" s="516">
        <v>5563</v>
      </c>
      <c r="M216" s="519">
        <v>5480</v>
      </c>
      <c r="N216" s="516">
        <v>38090</v>
      </c>
      <c r="O216" s="519">
        <v>35925</v>
      </c>
      <c r="P216" s="506">
        <f t="shared" si="125"/>
        <v>76753</v>
      </c>
      <c r="Q216" s="507">
        <f t="shared" si="126"/>
        <v>2558.4333333333334</v>
      </c>
      <c r="R216" s="508">
        <f t="shared" si="127"/>
        <v>79516</v>
      </c>
      <c r="S216" s="509">
        <f t="shared" si="128"/>
        <v>2650.5333333333333</v>
      </c>
      <c r="T216" s="516">
        <v>1353</v>
      </c>
      <c r="U216" s="559">
        <v>1246</v>
      </c>
      <c r="V216" s="506">
        <f t="shared" si="129"/>
        <v>76753</v>
      </c>
      <c r="W216" s="510">
        <f t="shared" si="130"/>
        <v>79516</v>
      </c>
      <c r="X216" s="517"/>
      <c r="Y216" s="519"/>
      <c r="Z216" s="516"/>
      <c r="AA216" s="519"/>
      <c r="AB216" s="516"/>
      <c r="AC216" s="519"/>
      <c r="AD216" s="516"/>
      <c r="AE216" s="519"/>
      <c r="AF216" s="506">
        <f t="shared" si="131"/>
        <v>0</v>
      </c>
      <c r="AG216" s="507">
        <f t="shared" si="132"/>
        <v>0</v>
      </c>
      <c r="AH216" s="508">
        <f t="shared" si="133"/>
        <v>0</v>
      </c>
      <c r="AI216" s="508">
        <f t="shared" si="134"/>
        <v>0</v>
      </c>
      <c r="AJ216" s="516"/>
      <c r="AK216" s="519"/>
      <c r="AL216" s="506">
        <f t="shared" si="135"/>
        <v>0</v>
      </c>
      <c r="AM216" s="509">
        <f t="shared" si="136"/>
        <v>0</v>
      </c>
      <c r="AN216" s="518"/>
      <c r="AO216" s="520"/>
      <c r="AP216" s="516">
        <v>4421</v>
      </c>
      <c r="AQ216" s="520">
        <v>757</v>
      </c>
      <c r="AR216" s="516">
        <v>1125</v>
      </c>
      <c r="AS216" s="520">
        <v>80</v>
      </c>
      <c r="AT216" s="516">
        <v>388</v>
      </c>
      <c r="AU216" s="520">
        <v>1008</v>
      </c>
      <c r="AV216" s="506">
        <f t="shared" si="137"/>
        <v>5934</v>
      </c>
      <c r="AW216" s="511">
        <f t="shared" si="138"/>
        <v>247.25</v>
      </c>
      <c r="AX216" s="508">
        <f t="shared" si="139"/>
        <v>1845</v>
      </c>
      <c r="AY216" s="512">
        <f t="shared" si="140"/>
        <v>76.875</v>
      </c>
      <c r="AZ216" s="513">
        <f t="shared" si="141"/>
        <v>2805.6833333333334</v>
      </c>
      <c r="BA216" s="508">
        <f t="shared" si="142"/>
        <v>2727.4083333333333</v>
      </c>
    </row>
    <row r="217" spans="1:53">
      <c r="A217" s="549" t="s">
        <v>325</v>
      </c>
      <c r="B217" s="550" t="s">
        <v>340</v>
      </c>
      <c r="C217" s="551"/>
      <c r="D217" s="560">
        <v>159382</v>
      </c>
      <c r="E217" s="562">
        <v>6</v>
      </c>
      <c r="F217" s="514" t="s">
        <v>41</v>
      </c>
      <c r="G217" s="515" t="s">
        <v>41</v>
      </c>
      <c r="H217" s="516"/>
      <c r="I217" s="519"/>
      <c r="J217" s="516">
        <v>24708</v>
      </c>
      <c r="K217" s="519">
        <v>23055</v>
      </c>
      <c r="L217" s="516">
        <v>5137</v>
      </c>
      <c r="M217" s="519">
        <v>4552</v>
      </c>
      <c r="N217" s="516">
        <v>26009</v>
      </c>
      <c r="O217" s="559">
        <v>24122</v>
      </c>
      <c r="P217" s="506">
        <f t="shared" si="125"/>
        <v>55854</v>
      </c>
      <c r="Q217" s="507">
        <f t="shared" si="126"/>
        <v>1861.8</v>
      </c>
      <c r="R217" s="508">
        <f t="shared" si="127"/>
        <v>51729</v>
      </c>
      <c r="S217" s="509">
        <f t="shared" si="128"/>
        <v>1724.3</v>
      </c>
      <c r="T217" s="516">
        <v>2930</v>
      </c>
      <c r="U217" s="559">
        <v>2869</v>
      </c>
      <c r="V217" s="506">
        <f t="shared" si="129"/>
        <v>55854</v>
      </c>
      <c r="W217" s="510">
        <f t="shared" si="130"/>
        <v>51729</v>
      </c>
      <c r="X217" s="517"/>
      <c r="Y217" s="519"/>
      <c r="Z217" s="516"/>
      <c r="AA217" s="519"/>
      <c r="AB217" s="516"/>
      <c r="AC217" s="519"/>
      <c r="AD217" s="516"/>
      <c r="AE217" s="519"/>
      <c r="AF217" s="506">
        <f t="shared" si="131"/>
        <v>0</v>
      </c>
      <c r="AG217" s="507">
        <f t="shared" si="132"/>
        <v>0</v>
      </c>
      <c r="AH217" s="508">
        <f t="shared" si="133"/>
        <v>0</v>
      </c>
      <c r="AI217" s="508">
        <f t="shared" si="134"/>
        <v>0</v>
      </c>
      <c r="AJ217" s="516"/>
      <c r="AK217" s="519"/>
      <c r="AL217" s="506">
        <f t="shared" si="135"/>
        <v>0</v>
      </c>
      <c r="AM217" s="509">
        <f t="shared" si="136"/>
        <v>0</v>
      </c>
      <c r="AN217" s="518"/>
      <c r="AO217" s="520"/>
      <c r="AP217" s="516"/>
      <c r="AQ217" s="520"/>
      <c r="AR217" s="516"/>
      <c r="AS217" s="520"/>
      <c r="AT217" s="516"/>
      <c r="AU217" s="520"/>
      <c r="AV217" s="506">
        <f t="shared" si="137"/>
        <v>0</v>
      </c>
      <c r="AW217" s="511">
        <f t="shared" si="138"/>
        <v>0</v>
      </c>
      <c r="AX217" s="508">
        <f t="shared" si="139"/>
        <v>0</v>
      </c>
      <c r="AY217" s="512">
        <f t="shared" si="140"/>
        <v>0</v>
      </c>
      <c r="AZ217" s="513">
        <f t="shared" si="141"/>
        <v>1861.8</v>
      </c>
      <c r="BA217" s="508">
        <f t="shared" si="142"/>
        <v>1724.3</v>
      </c>
    </row>
    <row r="218" spans="1:53">
      <c r="A218" s="549" t="s">
        <v>325</v>
      </c>
      <c r="B218" s="553" t="s">
        <v>341</v>
      </c>
      <c r="C218" s="563"/>
      <c r="D218" s="560">
        <v>437103</v>
      </c>
      <c r="E218" s="564">
        <v>8</v>
      </c>
      <c r="F218" s="514" t="s">
        <v>41</v>
      </c>
      <c r="G218" s="515" t="s">
        <v>41</v>
      </c>
      <c r="H218" s="516"/>
      <c r="I218" s="519"/>
      <c r="J218" s="516">
        <v>77210</v>
      </c>
      <c r="K218" s="519">
        <v>78630</v>
      </c>
      <c r="L218" s="516">
        <v>11789</v>
      </c>
      <c r="M218" s="519">
        <v>10495</v>
      </c>
      <c r="N218" s="516">
        <v>81813</v>
      </c>
      <c r="O218" s="559">
        <v>87401</v>
      </c>
      <c r="P218" s="506">
        <f t="shared" si="125"/>
        <v>170812</v>
      </c>
      <c r="Q218" s="507">
        <f t="shared" si="126"/>
        <v>5693.7333333333336</v>
      </c>
      <c r="R218" s="508">
        <f t="shared" si="127"/>
        <v>176526</v>
      </c>
      <c r="S218" s="509">
        <f t="shared" si="128"/>
        <v>5884.2</v>
      </c>
      <c r="T218" s="516">
        <v>2302</v>
      </c>
      <c r="U218" s="559">
        <v>1847</v>
      </c>
      <c r="V218" s="506">
        <f t="shared" si="129"/>
        <v>170812</v>
      </c>
      <c r="W218" s="510">
        <f t="shared" si="130"/>
        <v>176526</v>
      </c>
      <c r="X218" s="517"/>
      <c r="Y218" s="519"/>
      <c r="Z218" s="516"/>
      <c r="AA218" s="519"/>
      <c r="AB218" s="516"/>
      <c r="AC218" s="519"/>
      <c r="AD218" s="516"/>
      <c r="AE218" s="519"/>
      <c r="AF218" s="506">
        <f t="shared" si="131"/>
        <v>0</v>
      </c>
      <c r="AG218" s="507">
        <f t="shared" si="132"/>
        <v>0</v>
      </c>
      <c r="AH218" s="508">
        <f t="shared" si="133"/>
        <v>0</v>
      </c>
      <c r="AI218" s="508">
        <f t="shared" si="134"/>
        <v>0</v>
      </c>
      <c r="AJ218" s="516"/>
      <c r="AK218" s="519"/>
      <c r="AL218" s="506">
        <f t="shared" si="135"/>
        <v>0</v>
      </c>
      <c r="AM218" s="509">
        <f t="shared" si="136"/>
        <v>0</v>
      </c>
      <c r="AN218" s="518"/>
      <c r="AO218" s="520"/>
      <c r="AP218" s="516"/>
      <c r="AQ218" s="520"/>
      <c r="AR218" s="516"/>
      <c r="AS218" s="520"/>
      <c r="AT218" s="516"/>
      <c r="AU218" s="520"/>
      <c r="AV218" s="506">
        <f t="shared" si="137"/>
        <v>0</v>
      </c>
      <c r="AW218" s="511">
        <f t="shared" si="138"/>
        <v>0</v>
      </c>
      <c r="AX218" s="508">
        <f t="shared" si="139"/>
        <v>0</v>
      </c>
      <c r="AY218" s="512">
        <f t="shared" si="140"/>
        <v>0</v>
      </c>
      <c r="AZ218" s="513">
        <f t="shared" si="141"/>
        <v>5693.7333333333336</v>
      </c>
      <c r="BA218" s="508">
        <f t="shared" si="142"/>
        <v>5884.2</v>
      </c>
    </row>
    <row r="219" spans="1:53">
      <c r="A219" s="549" t="s">
        <v>325</v>
      </c>
      <c r="B219" s="550" t="s">
        <v>343</v>
      </c>
      <c r="C219" s="551" t="s">
        <v>361</v>
      </c>
      <c r="D219" s="560">
        <v>158431</v>
      </c>
      <c r="E219" s="552">
        <v>8</v>
      </c>
      <c r="F219" s="514" t="s">
        <v>41</v>
      </c>
      <c r="G219" s="515" t="s">
        <v>41</v>
      </c>
      <c r="H219" s="516"/>
      <c r="I219" s="519"/>
      <c r="J219" s="516">
        <v>68306</v>
      </c>
      <c r="K219" s="519">
        <v>80514</v>
      </c>
      <c r="L219" s="516">
        <v>17609</v>
      </c>
      <c r="M219" s="519">
        <v>17606</v>
      </c>
      <c r="N219" s="516">
        <v>74088</v>
      </c>
      <c r="O219" s="559">
        <v>85162</v>
      </c>
      <c r="P219" s="506">
        <f t="shared" si="125"/>
        <v>160003</v>
      </c>
      <c r="Q219" s="507">
        <f t="shared" si="126"/>
        <v>5333.4333333333334</v>
      </c>
      <c r="R219" s="508">
        <f t="shared" si="127"/>
        <v>183282</v>
      </c>
      <c r="S219" s="509">
        <f t="shared" si="128"/>
        <v>6109.4</v>
      </c>
      <c r="T219" s="516">
        <v>2967</v>
      </c>
      <c r="U219" s="559">
        <v>3619</v>
      </c>
      <c r="V219" s="506">
        <f t="shared" si="129"/>
        <v>160003</v>
      </c>
      <c r="W219" s="510">
        <f t="shared" si="130"/>
        <v>183282</v>
      </c>
      <c r="X219" s="517"/>
      <c r="Y219" s="519"/>
      <c r="Z219" s="516"/>
      <c r="AA219" s="519"/>
      <c r="AB219" s="516"/>
      <c r="AC219" s="519"/>
      <c r="AD219" s="516"/>
      <c r="AE219" s="519"/>
      <c r="AF219" s="506">
        <f t="shared" si="131"/>
        <v>0</v>
      </c>
      <c r="AG219" s="507">
        <f t="shared" si="132"/>
        <v>0</v>
      </c>
      <c r="AH219" s="508">
        <f t="shared" si="133"/>
        <v>0</v>
      </c>
      <c r="AI219" s="508">
        <f t="shared" si="134"/>
        <v>0</v>
      </c>
      <c r="AJ219" s="516"/>
      <c r="AK219" s="519"/>
      <c r="AL219" s="506">
        <f t="shared" si="135"/>
        <v>0</v>
      </c>
      <c r="AM219" s="509">
        <f t="shared" si="136"/>
        <v>0</v>
      </c>
      <c r="AN219" s="518"/>
      <c r="AO219" s="520"/>
      <c r="AP219" s="516"/>
      <c r="AQ219" s="520"/>
      <c r="AR219" s="516"/>
      <c r="AS219" s="520"/>
      <c r="AT219" s="516"/>
      <c r="AU219" s="520"/>
      <c r="AV219" s="506">
        <f t="shared" si="137"/>
        <v>0</v>
      </c>
      <c r="AW219" s="511">
        <f t="shared" si="138"/>
        <v>0</v>
      </c>
      <c r="AX219" s="508">
        <f t="shared" si="139"/>
        <v>0</v>
      </c>
      <c r="AY219" s="512">
        <f t="shared" si="140"/>
        <v>0</v>
      </c>
      <c r="AZ219" s="513">
        <f t="shared" si="141"/>
        <v>5333.4333333333334</v>
      </c>
      <c r="BA219" s="508">
        <f t="shared" si="142"/>
        <v>6109.4</v>
      </c>
    </row>
    <row r="220" spans="1:53">
      <c r="A220" s="549" t="s">
        <v>325</v>
      </c>
      <c r="B220" s="550" t="s">
        <v>342</v>
      </c>
      <c r="C220" s="563"/>
      <c r="D220" s="560">
        <v>158662</v>
      </c>
      <c r="E220" s="565">
        <v>8</v>
      </c>
      <c r="F220" s="514" t="s">
        <v>41</v>
      </c>
      <c r="G220" s="515" t="s">
        <v>41</v>
      </c>
      <c r="H220" s="516"/>
      <c r="I220" s="519"/>
      <c r="J220" s="516">
        <v>186202</v>
      </c>
      <c r="K220" s="519">
        <v>192771</v>
      </c>
      <c r="L220" s="516">
        <v>42309</v>
      </c>
      <c r="M220" s="519">
        <v>38177</v>
      </c>
      <c r="N220" s="516">
        <v>200159</v>
      </c>
      <c r="O220" s="559">
        <v>172000</v>
      </c>
      <c r="P220" s="506">
        <f t="shared" si="125"/>
        <v>428670</v>
      </c>
      <c r="Q220" s="507">
        <f t="shared" si="126"/>
        <v>14289</v>
      </c>
      <c r="R220" s="508">
        <f t="shared" si="127"/>
        <v>402948</v>
      </c>
      <c r="S220" s="509">
        <f t="shared" si="128"/>
        <v>13431.6</v>
      </c>
      <c r="T220" s="516">
        <v>1393</v>
      </c>
      <c r="U220" s="559">
        <v>1372</v>
      </c>
      <c r="V220" s="506">
        <f t="shared" si="129"/>
        <v>428670</v>
      </c>
      <c r="W220" s="510">
        <f t="shared" si="130"/>
        <v>402948</v>
      </c>
      <c r="X220" s="517"/>
      <c r="Y220" s="519"/>
      <c r="Z220" s="516"/>
      <c r="AA220" s="519"/>
      <c r="AB220" s="516"/>
      <c r="AC220" s="519"/>
      <c r="AD220" s="516"/>
      <c r="AE220" s="519"/>
      <c r="AF220" s="506">
        <f t="shared" si="131"/>
        <v>0</v>
      </c>
      <c r="AG220" s="507">
        <f t="shared" si="132"/>
        <v>0</v>
      </c>
      <c r="AH220" s="508">
        <f t="shared" si="133"/>
        <v>0</v>
      </c>
      <c r="AI220" s="508">
        <f t="shared" si="134"/>
        <v>0</v>
      </c>
      <c r="AJ220" s="516"/>
      <c r="AK220" s="519"/>
      <c r="AL220" s="506">
        <f t="shared" si="135"/>
        <v>0</v>
      </c>
      <c r="AM220" s="509">
        <f t="shared" si="136"/>
        <v>0</v>
      </c>
      <c r="AN220" s="518"/>
      <c r="AO220" s="520"/>
      <c r="AP220" s="516"/>
      <c r="AQ220" s="520"/>
      <c r="AR220" s="516"/>
      <c r="AS220" s="520"/>
      <c r="AT220" s="516"/>
      <c r="AU220" s="520"/>
      <c r="AV220" s="506">
        <f t="shared" si="137"/>
        <v>0</v>
      </c>
      <c r="AW220" s="511">
        <f t="shared" si="138"/>
        <v>0</v>
      </c>
      <c r="AX220" s="508">
        <f t="shared" si="139"/>
        <v>0</v>
      </c>
      <c r="AY220" s="512">
        <f t="shared" si="140"/>
        <v>0</v>
      </c>
      <c r="AZ220" s="513">
        <f t="shared" si="141"/>
        <v>14289</v>
      </c>
      <c r="BA220" s="508">
        <f t="shared" si="142"/>
        <v>13431.6</v>
      </c>
    </row>
    <row r="221" spans="1:53">
      <c r="A221" s="549" t="s">
        <v>325</v>
      </c>
      <c r="B221" s="546" t="s">
        <v>344</v>
      </c>
      <c r="C221" s="566"/>
      <c r="D221" s="560">
        <v>159407</v>
      </c>
      <c r="E221" s="561">
        <v>9</v>
      </c>
      <c r="F221" s="514" t="s">
        <v>41</v>
      </c>
      <c r="G221" s="515" t="s">
        <v>41</v>
      </c>
      <c r="H221" s="516"/>
      <c r="I221" s="519"/>
      <c r="J221" s="516">
        <v>29837</v>
      </c>
      <c r="K221" s="519">
        <v>27989</v>
      </c>
      <c r="L221" s="516">
        <v>4759</v>
      </c>
      <c r="M221" s="519">
        <v>4969</v>
      </c>
      <c r="N221" s="516">
        <v>28751</v>
      </c>
      <c r="O221" s="519">
        <v>29014</v>
      </c>
      <c r="P221" s="506">
        <f t="shared" si="125"/>
        <v>63347</v>
      </c>
      <c r="Q221" s="507">
        <f t="shared" si="126"/>
        <v>2111.5666666666666</v>
      </c>
      <c r="R221" s="508">
        <f t="shared" si="127"/>
        <v>61972</v>
      </c>
      <c r="S221" s="509">
        <f t="shared" si="128"/>
        <v>2065.7333333333331</v>
      </c>
      <c r="T221" s="516">
        <v>3237</v>
      </c>
      <c r="U221" s="559">
        <v>3283</v>
      </c>
      <c r="V221" s="506">
        <f t="shared" si="129"/>
        <v>63347</v>
      </c>
      <c r="W221" s="510">
        <f t="shared" si="130"/>
        <v>61972</v>
      </c>
      <c r="X221" s="517"/>
      <c r="Y221" s="519"/>
      <c r="Z221" s="516"/>
      <c r="AA221" s="519"/>
      <c r="AB221" s="516"/>
      <c r="AC221" s="519"/>
      <c r="AD221" s="516"/>
      <c r="AE221" s="519"/>
      <c r="AF221" s="506">
        <f t="shared" si="131"/>
        <v>0</v>
      </c>
      <c r="AG221" s="507">
        <f t="shared" si="132"/>
        <v>0</v>
      </c>
      <c r="AH221" s="508">
        <f t="shared" si="133"/>
        <v>0</v>
      </c>
      <c r="AI221" s="508">
        <f t="shared" si="134"/>
        <v>0</v>
      </c>
      <c r="AJ221" s="516"/>
      <c r="AK221" s="519"/>
      <c r="AL221" s="506">
        <f t="shared" si="135"/>
        <v>0</v>
      </c>
      <c r="AM221" s="509">
        <f t="shared" si="136"/>
        <v>0</v>
      </c>
      <c r="AN221" s="518"/>
      <c r="AO221" s="520"/>
      <c r="AP221" s="516"/>
      <c r="AQ221" s="520"/>
      <c r="AR221" s="516"/>
      <c r="AS221" s="520"/>
      <c r="AT221" s="516"/>
      <c r="AU221" s="520"/>
      <c r="AV221" s="506">
        <f t="shared" si="137"/>
        <v>0</v>
      </c>
      <c r="AW221" s="511">
        <f t="shared" si="138"/>
        <v>0</v>
      </c>
      <c r="AX221" s="508">
        <f t="shared" si="139"/>
        <v>0</v>
      </c>
      <c r="AY221" s="512">
        <f t="shared" si="140"/>
        <v>0</v>
      </c>
      <c r="AZ221" s="513">
        <f t="shared" si="141"/>
        <v>2111.5666666666666</v>
      </c>
      <c r="BA221" s="508">
        <f t="shared" si="142"/>
        <v>2065.7333333333331</v>
      </c>
    </row>
    <row r="222" spans="1:53">
      <c r="A222" s="549" t="s">
        <v>325</v>
      </c>
      <c r="B222" s="553" t="s">
        <v>345</v>
      </c>
      <c r="C222" s="563" t="s">
        <v>362</v>
      </c>
      <c r="D222" s="560">
        <v>434061</v>
      </c>
      <c r="E222" s="564">
        <v>9</v>
      </c>
      <c r="F222" s="514" t="s">
        <v>41</v>
      </c>
      <c r="G222" s="515" t="s">
        <v>41</v>
      </c>
      <c r="H222" s="516"/>
      <c r="I222" s="519"/>
      <c r="J222" s="516">
        <v>35271</v>
      </c>
      <c r="K222" s="519">
        <v>70353.5</v>
      </c>
      <c r="L222" s="516">
        <v>7912</v>
      </c>
      <c r="M222" s="519">
        <v>18151</v>
      </c>
      <c r="N222" s="516">
        <v>36145</v>
      </c>
      <c r="O222" s="559">
        <v>71265</v>
      </c>
      <c r="P222" s="506">
        <f t="shared" si="125"/>
        <v>79328</v>
      </c>
      <c r="Q222" s="507">
        <f t="shared" si="126"/>
        <v>2644.2666666666669</v>
      </c>
      <c r="R222" s="508">
        <f t="shared" si="127"/>
        <v>159769.5</v>
      </c>
      <c r="S222" s="509">
        <f t="shared" si="128"/>
        <v>5325.65</v>
      </c>
      <c r="T222" s="516">
        <v>5705</v>
      </c>
      <c r="U222" s="559">
        <v>15668</v>
      </c>
      <c r="V222" s="506">
        <f t="shared" si="129"/>
        <v>79328</v>
      </c>
      <c r="W222" s="510">
        <f t="shared" si="130"/>
        <v>159769.5</v>
      </c>
      <c r="X222" s="517"/>
      <c r="Y222" s="519"/>
      <c r="Z222" s="516"/>
      <c r="AA222" s="519"/>
      <c r="AB222" s="516"/>
      <c r="AC222" s="519"/>
      <c r="AD222" s="516"/>
      <c r="AE222" s="519"/>
      <c r="AF222" s="506">
        <f t="shared" si="131"/>
        <v>0</v>
      </c>
      <c r="AG222" s="507">
        <f t="shared" si="132"/>
        <v>0</v>
      </c>
      <c r="AH222" s="508">
        <f t="shared" si="133"/>
        <v>0</v>
      </c>
      <c r="AI222" s="508">
        <f t="shared" si="134"/>
        <v>0</v>
      </c>
      <c r="AJ222" s="516"/>
      <c r="AK222" s="519"/>
      <c r="AL222" s="506">
        <f t="shared" si="135"/>
        <v>0</v>
      </c>
      <c r="AM222" s="509">
        <f t="shared" si="136"/>
        <v>0</v>
      </c>
      <c r="AN222" s="518"/>
      <c r="AO222" s="520"/>
      <c r="AP222" s="516"/>
      <c r="AQ222" s="520"/>
      <c r="AR222" s="516"/>
      <c r="AS222" s="520"/>
      <c r="AT222" s="516"/>
      <c r="AU222" s="520"/>
      <c r="AV222" s="506">
        <f t="shared" si="137"/>
        <v>0</v>
      </c>
      <c r="AW222" s="511">
        <f t="shared" si="138"/>
        <v>0</v>
      </c>
      <c r="AX222" s="508">
        <f t="shared" si="139"/>
        <v>0</v>
      </c>
      <c r="AY222" s="512">
        <f t="shared" si="140"/>
        <v>0</v>
      </c>
      <c r="AZ222" s="513">
        <f t="shared" si="141"/>
        <v>2644.2666666666669</v>
      </c>
      <c r="BA222" s="508">
        <f t="shared" si="142"/>
        <v>5325.65</v>
      </c>
    </row>
    <row r="223" spans="1:53">
      <c r="A223" s="549" t="s">
        <v>325</v>
      </c>
      <c r="B223" s="546" t="s">
        <v>346</v>
      </c>
      <c r="C223" s="548" t="s">
        <v>363</v>
      </c>
      <c r="D223" s="560">
        <v>440624</v>
      </c>
      <c r="E223" s="561">
        <v>10</v>
      </c>
      <c r="F223" s="514" t="s">
        <v>41</v>
      </c>
      <c r="G223" s="515" t="s">
        <v>41</v>
      </c>
      <c r="H223" s="516"/>
      <c r="I223" s="519"/>
      <c r="J223" s="516">
        <v>26832</v>
      </c>
      <c r="K223" s="519">
        <v>43182.5</v>
      </c>
      <c r="L223" s="516">
        <v>6985</v>
      </c>
      <c r="M223" s="519">
        <v>11259.5</v>
      </c>
      <c r="N223" s="516">
        <v>29062</v>
      </c>
      <c r="O223" s="559">
        <v>37628</v>
      </c>
      <c r="P223" s="506">
        <f t="shared" si="125"/>
        <v>62879</v>
      </c>
      <c r="Q223" s="507">
        <f t="shared" si="126"/>
        <v>2095.9666666666667</v>
      </c>
      <c r="R223" s="508">
        <f t="shared" si="127"/>
        <v>92070</v>
      </c>
      <c r="S223" s="509">
        <f t="shared" si="128"/>
        <v>3069</v>
      </c>
      <c r="T223" s="516">
        <v>3654</v>
      </c>
      <c r="U223" s="559">
        <v>5405</v>
      </c>
      <c r="V223" s="506">
        <f t="shared" si="129"/>
        <v>62879</v>
      </c>
      <c r="W223" s="510">
        <f t="shared" si="130"/>
        <v>92070</v>
      </c>
      <c r="X223" s="517"/>
      <c r="Y223" s="519"/>
      <c r="Z223" s="516"/>
      <c r="AA223" s="519"/>
      <c r="AB223" s="516"/>
      <c r="AC223" s="519"/>
      <c r="AD223" s="516"/>
      <c r="AE223" s="519"/>
      <c r="AF223" s="506">
        <f t="shared" si="131"/>
        <v>0</v>
      </c>
      <c r="AG223" s="507">
        <f t="shared" si="132"/>
        <v>0</v>
      </c>
      <c r="AH223" s="508">
        <f t="shared" si="133"/>
        <v>0</v>
      </c>
      <c r="AI223" s="508">
        <f t="shared" si="134"/>
        <v>0</v>
      </c>
      <c r="AJ223" s="516"/>
      <c r="AK223" s="519"/>
      <c r="AL223" s="506">
        <f t="shared" si="135"/>
        <v>0</v>
      </c>
      <c r="AM223" s="509">
        <f t="shared" si="136"/>
        <v>0</v>
      </c>
      <c r="AN223" s="518"/>
      <c r="AO223" s="520"/>
      <c r="AP223" s="516"/>
      <c r="AQ223" s="520"/>
      <c r="AR223" s="516"/>
      <c r="AS223" s="520"/>
      <c r="AT223" s="516"/>
      <c r="AU223" s="520"/>
      <c r="AV223" s="506">
        <f t="shared" si="137"/>
        <v>0</v>
      </c>
      <c r="AW223" s="511">
        <f t="shared" si="138"/>
        <v>0</v>
      </c>
      <c r="AX223" s="508">
        <f t="shared" si="139"/>
        <v>0</v>
      </c>
      <c r="AY223" s="512">
        <f t="shared" si="140"/>
        <v>0</v>
      </c>
      <c r="AZ223" s="513">
        <f t="shared" si="141"/>
        <v>2095.9666666666667</v>
      </c>
      <c r="BA223" s="508">
        <f t="shared" si="142"/>
        <v>3069</v>
      </c>
    </row>
    <row r="224" spans="1:53">
      <c r="A224" s="549" t="s">
        <v>325</v>
      </c>
      <c r="B224" s="546" t="s">
        <v>347</v>
      </c>
      <c r="C224" s="548"/>
      <c r="D224" s="557">
        <v>158884</v>
      </c>
      <c r="E224" s="561">
        <v>10</v>
      </c>
      <c r="F224" s="514" t="s">
        <v>41</v>
      </c>
      <c r="G224" s="515" t="s">
        <v>41</v>
      </c>
      <c r="H224" s="516"/>
      <c r="I224" s="519"/>
      <c r="J224" s="516">
        <v>18029</v>
      </c>
      <c r="K224" s="519">
        <v>18641</v>
      </c>
      <c r="L224" s="516">
        <v>4186</v>
      </c>
      <c r="M224" s="519">
        <v>3734</v>
      </c>
      <c r="N224" s="516">
        <v>19942</v>
      </c>
      <c r="O224" s="559">
        <v>19632</v>
      </c>
      <c r="P224" s="506">
        <f t="shared" si="125"/>
        <v>42157</v>
      </c>
      <c r="Q224" s="507">
        <f t="shared" si="126"/>
        <v>1405.2333333333333</v>
      </c>
      <c r="R224" s="508">
        <f t="shared" si="127"/>
        <v>42007</v>
      </c>
      <c r="S224" s="509">
        <f t="shared" si="128"/>
        <v>1400.2333333333333</v>
      </c>
      <c r="T224" s="516">
        <v>5250</v>
      </c>
      <c r="U224" s="559">
        <v>5241</v>
      </c>
      <c r="V224" s="506">
        <f t="shared" si="129"/>
        <v>42157</v>
      </c>
      <c r="W224" s="510">
        <f t="shared" si="130"/>
        <v>42007</v>
      </c>
      <c r="X224" s="517"/>
      <c r="Y224" s="519"/>
      <c r="Z224" s="516"/>
      <c r="AA224" s="519"/>
      <c r="AB224" s="516"/>
      <c r="AC224" s="519"/>
      <c r="AD224" s="516"/>
      <c r="AE224" s="519"/>
      <c r="AF224" s="506">
        <f t="shared" si="131"/>
        <v>0</v>
      </c>
      <c r="AG224" s="507">
        <f t="shared" si="132"/>
        <v>0</v>
      </c>
      <c r="AH224" s="508">
        <f t="shared" si="133"/>
        <v>0</v>
      </c>
      <c r="AI224" s="508">
        <f t="shared" si="134"/>
        <v>0</v>
      </c>
      <c r="AJ224" s="516"/>
      <c r="AK224" s="519"/>
      <c r="AL224" s="506">
        <f t="shared" si="135"/>
        <v>0</v>
      </c>
      <c r="AM224" s="509">
        <f t="shared" si="136"/>
        <v>0</v>
      </c>
      <c r="AN224" s="518"/>
      <c r="AO224" s="520"/>
      <c r="AP224" s="516"/>
      <c r="AQ224" s="520"/>
      <c r="AR224" s="516"/>
      <c r="AS224" s="520"/>
      <c r="AT224" s="516"/>
      <c r="AU224" s="520"/>
      <c r="AV224" s="506">
        <f t="shared" si="137"/>
        <v>0</v>
      </c>
      <c r="AW224" s="511">
        <f t="shared" si="138"/>
        <v>0</v>
      </c>
      <c r="AX224" s="508">
        <f t="shared" si="139"/>
        <v>0</v>
      </c>
      <c r="AY224" s="512">
        <f t="shared" si="140"/>
        <v>0</v>
      </c>
      <c r="AZ224" s="513">
        <f t="shared" si="141"/>
        <v>1405.2333333333333</v>
      </c>
      <c r="BA224" s="508">
        <f t="shared" si="142"/>
        <v>1400.2333333333333</v>
      </c>
    </row>
    <row r="225" spans="1:53">
      <c r="A225" s="549" t="s">
        <v>325</v>
      </c>
      <c r="B225" s="546" t="s">
        <v>348</v>
      </c>
      <c r="C225" s="563"/>
      <c r="D225" s="557">
        <v>436304</v>
      </c>
      <c r="E225" s="561">
        <v>10</v>
      </c>
      <c r="F225" s="514" t="s">
        <v>41</v>
      </c>
      <c r="G225" s="515" t="s">
        <v>41</v>
      </c>
      <c r="H225" s="516"/>
      <c r="I225" s="519"/>
      <c r="J225" s="516">
        <v>21170</v>
      </c>
      <c r="K225" s="519">
        <v>21519</v>
      </c>
      <c r="L225" s="516">
        <v>5848</v>
      </c>
      <c r="M225" s="519">
        <v>4445</v>
      </c>
      <c r="N225" s="516">
        <v>23260</v>
      </c>
      <c r="O225" s="559">
        <v>28080</v>
      </c>
      <c r="P225" s="506">
        <f t="shared" si="125"/>
        <v>50278</v>
      </c>
      <c r="Q225" s="507">
        <f t="shared" si="126"/>
        <v>1675.9333333333334</v>
      </c>
      <c r="R225" s="508">
        <f t="shared" si="127"/>
        <v>54044</v>
      </c>
      <c r="S225" s="509">
        <f t="shared" si="128"/>
        <v>1801.4666666666667</v>
      </c>
      <c r="T225" s="516">
        <v>5390</v>
      </c>
      <c r="U225" s="559">
        <v>9861</v>
      </c>
      <c r="V225" s="506">
        <f t="shared" si="129"/>
        <v>50278</v>
      </c>
      <c r="W225" s="510">
        <f t="shared" si="130"/>
        <v>54044</v>
      </c>
      <c r="X225" s="517"/>
      <c r="Y225" s="519"/>
      <c r="Z225" s="516"/>
      <c r="AA225" s="519"/>
      <c r="AB225" s="516"/>
      <c r="AC225" s="519"/>
      <c r="AD225" s="516"/>
      <c r="AE225" s="519"/>
      <c r="AF225" s="506">
        <f t="shared" si="131"/>
        <v>0</v>
      </c>
      <c r="AG225" s="507">
        <f t="shared" si="132"/>
        <v>0</v>
      </c>
      <c r="AH225" s="508">
        <f t="shared" si="133"/>
        <v>0</v>
      </c>
      <c r="AI225" s="508">
        <f t="shared" si="134"/>
        <v>0</v>
      </c>
      <c r="AJ225" s="516"/>
      <c r="AK225" s="519"/>
      <c r="AL225" s="506">
        <f t="shared" si="135"/>
        <v>0</v>
      </c>
      <c r="AM225" s="509">
        <f t="shared" si="136"/>
        <v>0</v>
      </c>
      <c r="AN225" s="518"/>
      <c r="AO225" s="520"/>
      <c r="AP225" s="516"/>
      <c r="AQ225" s="520"/>
      <c r="AR225" s="516"/>
      <c r="AS225" s="520"/>
      <c r="AT225" s="516"/>
      <c r="AU225" s="520"/>
      <c r="AV225" s="506">
        <f t="shared" si="137"/>
        <v>0</v>
      </c>
      <c r="AW225" s="511">
        <f t="shared" si="138"/>
        <v>0</v>
      </c>
      <c r="AX225" s="508">
        <f t="shared" si="139"/>
        <v>0</v>
      </c>
      <c r="AY225" s="512">
        <f t="shared" si="140"/>
        <v>0</v>
      </c>
      <c r="AZ225" s="513">
        <f t="shared" si="141"/>
        <v>1675.9333333333334</v>
      </c>
      <c r="BA225" s="508">
        <f t="shared" si="142"/>
        <v>1801.4666666666667</v>
      </c>
    </row>
    <row r="226" spans="1:53">
      <c r="A226" s="549" t="s">
        <v>325</v>
      </c>
      <c r="B226" s="554" t="s">
        <v>349</v>
      </c>
      <c r="C226" s="548" t="s">
        <v>363</v>
      </c>
      <c r="D226" s="557">
        <v>160649</v>
      </c>
      <c r="E226" s="567">
        <v>10</v>
      </c>
      <c r="F226" s="514" t="s">
        <v>41</v>
      </c>
      <c r="G226" s="515" t="s">
        <v>41</v>
      </c>
      <c r="H226" s="516"/>
      <c r="I226" s="519"/>
      <c r="J226" s="516">
        <v>29670</v>
      </c>
      <c r="K226" s="519">
        <v>28165</v>
      </c>
      <c r="L226" s="516">
        <v>7467</v>
      </c>
      <c r="M226" s="519">
        <v>6743</v>
      </c>
      <c r="N226" s="516">
        <v>32460</v>
      </c>
      <c r="O226" s="519">
        <v>31899</v>
      </c>
      <c r="P226" s="506">
        <f t="shared" si="125"/>
        <v>69597</v>
      </c>
      <c r="Q226" s="507">
        <f t="shared" si="126"/>
        <v>2319.9</v>
      </c>
      <c r="R226" s="508">
        <f t="shared" si="127"/>
        <v>66807</v>
      </c>
      <c r="S226" s="509">
        <f t="shared" si="128"/>
        <v>2226.9</v>
      </c>
      <c r="T226" s="516">
        <v>2125</v>
      </c>
      <c r="U226" s="559">
        <v>1452</v>
      </c>
      <c r="V226" s="506">
        <f t="shared" si="129"/>
        <v>69597</v>
      </c>
      <c r="W226" s="510">
        <f t="shared" si="130"/>
        <v>66807</v>
      </c>
      <c r="X226" s="517"/>
      <c r="Y226" s="519"/>
      <c r="Z226" s="516"/>
      <c r="AA226" s="519"/>
      <c r="AB226" s="516"/>
      <c r="AC226" s="519"/>
      <c r="AD226" s="516"/>
      <c r="AE226" s="519"/>
      <c r="AF226" s="506">
        <f t="shared" si="131"/>
        <v>0</v>
      </c>
      <c r="AG226" s="507">
        <f t="shared" si="132"/>
        <v>0</v>
      </c>
      <c r="AH226" s="508">
        <f t="shared" si="133"/>
        <v>0</v>
      </c>
      <c r="AI226" s="508">
        <f t="shared" si="134"/>
        <v>0</v>
      </c>
      <c r="AJ226" s="516"/>
      <c r="AK226" s="519"/>
      <c r="AL226" s="506">
        <f t="shared" si="135"/>
        <v>0</v>
      </c>
      <c r="AM226" s="509">
        <f t="shared" si="136"/>
        <v>0</v>
      </c>
      <c r="AN226" s="518"/>
      <c r="AO226" s="520"/>
      <c r="AP226" s="516"/>
      <c r="AQ226" s="520"/>
      <c r="AR226" s="516"/>
      <c r="AS226" s="520"/>
      <c r="AT226" s="516"/>
      <c r="AU226" s="520"/>
      <c r="AV226" s="506">
        <f t="shared" si="137"/>
        <v>0</v>
      </c>
      <c r="AW226" s="511">
        <f t="shared" si="138"/>
        <v>0</v>
      </c>
      <c r="AX226" s="508">
        <f t="shared" si="139"/>
        <v>0</v>
      </c>
      <c r="AY226" s="512">
        <f t="shared" si="140"/>
        <v>0</v>
      </c>
      <c r="AZ226" s="513">
        <f t="shared" si="141"/>
        <v>2319.9</v>
      </c>
      <c r="BA226" s="508">
        <f t="shared" si="142"/>
        <v>2226.9</v>
      </c>
    </row>
    <row r="227" spans="1:53">
      <c r="A227" s="555" t="s">
        <v>325</v>
      </c>
      <c r="B227" s="556" t="s">
        <v>350</v>
      </c>
      <c r="C227" s="568"/>
      <c r="D227" s="557">
        <v>159443</v>
      </c>
      <c r="E227" s="561">
        <v>12</v>
      </c>
      <c r="F227" s="514" t="s">
        <v>41</v>
      </c>
      <c r="G227" s="515" t="s">
        <v>41</v>
      </c>
      <c r="H227" s="516"/>
      <c r="I227" s="519"/>
      <c r="J227" s="516">
        <v>41514.5</v>
      </c>
      <c r="K227" s="519"/>
      <c r="L227" s="516">
        <v>14624</v>
      </c>
      <c r="M227" s="519"/>
      <c r="N227" s="516">
        <v>39129</v>
      </c>
      <c r="O227" s="519"/>
      <c r="P227" s="506">
        <f t="shared" si="125"/>
        <v>95267.5</v>
      </c>
      <c r="Q227" s="507">
        <f t="shared" si="126"/>
        <v>3175.5833333333335</v>
      </c>
      <c r="R227" s="508">
        <f t="shared" si="127"/>
        <v>0</v>
      </c>
      <c r="S227" s="509">
        <f t="shared" si="128"/>
        <v>0</v>
      </c>
      <c r="T227" s="516">
        <v>7039</v>
      </c>
      <c r="U227" s="559"/>
      <c r="V227" s="506">
        <f t="shared" si="129"/>
        <v>95267.5</v>
      </c>
      <c r="W227" s="510">
        <f t="shared" si="130"/>
        <v>0</v>
      </c>
      <c r="X227" s="517"/>
      <c r="Y227" s="519"/>
      <c r="Z227" s="516"/>
      <c r="AA227" s="519"/>
      <c r="AB227" s="516"/>
      <c r="AC227" s="519"/>
      <c r="AD227" s="516"/>
      <c r="AE227" s="519"/>
      <c r="AF227" s="506">
        <f t="shared" si="131"/>
        <v>0</v>
      </c>
      <c r="AG227" s="507">
        <f t="shared" si="132"/>
        <v>0</v>
      </c>
      <c r="AH227" s="508">
        <f t="shared" si="133"/>
        <v>0</v>
      </c>
      <c r="AI227" s="508">
        <f t="shared" si="134"/>
        <v>0</v>
      </c>
      <c r="AJ227" s="516"/>
      <c r="AK227" s="519"/>
      <c r="AL227" s="506">
        <f t="shared" si="135"/>
        <v>0</v>
      </c>
      <c r="AM227" s="509">
        <f t="shared" si="136"/>
        <v>0</v>
      </c>
      <c r="AN227" s="518"/>
      <c r="AO227" s="520"/>
      <c r="AP227" s="516"/>
      <c r="AQ227" s="520"/>
      <c r="AR227" s="516"/>
      <c r="AS227" s="520"/>
      <c r="AT227" s="516"/>
      <c r="AU227" s="520"/>
      <c r="AV227" s="506">
        <f t="shared" si="137"/>
        <v>0</v>
      </c>
      <c r="AW227" s="511">
        <f t="shared" si="138"/>
        <v>0</v>
      </c>
      <c r="AX227" s="508">
        <f t="shared" si="139"/>
        <v>0</v>
      </c>
      <c r="AY227" s="512">
        <f t="shared" si="140"/>
        <v>0</v>
      </c>
      <c r="AZ227" s="513">
        <f t="shared" si="141"/>
        <v>3175.5833333333335</v>
      </c>
      <c r="BA227" s="508">
        <f t="shared" si="142"/>
        <v>0</v>
      </c>
    </row>
    <row r="228" spans="1:53">
      <c r="A228" s="555" t="s">
        <v>325</v>
      </c>
      <c r="B228" s="556" t="s">
        <v>351</v>
      </c>
      <c r="C228" s="568"/>
      <c r="D228" s="557">
        <v>158352</v>
      </c>
      <c r="E228" s="561">
        <v>12</v>
      </c>
      <c r="F228" s="514" t="s">
        <v>41</v>
      </c>
      <c r="G228" s="515" t="s">
        <v>41</v>
      </c>
      <c r="H228" s="516"/>
      <c r="I228" s="519"/>
      <c r="J228" s="516">
        <v>31009.5</v>
      </c>
      <c r="K228" s="519">
        <v>28776</v>
      </c>
      <c r="L228" s="516">
        <v>9633</v>
      </c>
      <c r="M228" s="559">
        <v>10033</v>
      </c>
      <c r="N228" s="516">
        <v>33874</v>
      </c>
      <c r="O228" s="559">
        <v>51143.5</v>
      </c>
      <c r="P228" s="506">
        <f t="shared" si="125"/>
        <v>74516.5</v>
      </c>
      <c r="Q228" s="507">
        <f t="shared" si="126"/>
        <v>2483.8833333333332</v>
      </c>
      <c r="R228" s="508">
        <f t="shared" si="127"/>
        <v>89952.5</v>
      </c>
      <c r="S228" s="509">
        <f t="shared" si="128"/>
        <v>2998.4166666666665</v>
      </c>
      <c r="T228" s="516">
        <v>13208</v>
      </c>
      <c r="U228" s="833">
        <v>14004</v>
      </c>
      <c r="V228" s="506">
        <f t="shared" si="129"/>
        <v>74516.5</v>
      </c>
      <c r="W228" s="510">
        <f t="shared" si="130"/>
        <v>89952.5</v>
      </c>
      <c r="X228" s="517"/>
      <c r="Y228" s="519"/>
      <c r="Z228" s="516"/>
      <c r="AA228" s="519"/>
      <c r="AB228" s="516"/>
      <c r="AC228" s="519"/>
      <c r="AD228" s="516"/>
      <c r="AE228" s="519"/>
      <c r="AF228" s="506">
        <f t="shared" si="131"/>
        <v>0</v>
      </c>
      <c r="AG228" s="507">
        <f t="shared" si="132"/>
        <v>0</v>
      </c>
      <c r="AH228" s="508">
        <f t="shared" si="133"/>
        <v>0</v>
      </c>
      <c r="AI228" s="508">
        <f t="shared" si="134"/>
        <v>0</v>
      </c>
      <c r="AJ228" s="516"/>
      <c r="AK228" s="519"/>
      <c r="AL228" s="506">
        <f t="shared" si="135"/>
        <v>0</v>
      </c>
      <c r="AM228" s="509">
        <f t="shared" si="136"/>
        <v>0</v>
      </c>
      <c r="AN228" s="518"/>
      <c r="AO228" s="520"/>
      <c r="AP228" s="516"/>
      <c r="AQ228" s="520"/>
      <c r="AR228" s="516"/>
      <c r="AS228" s="520"/>
      <c r="AT228" s="516"/>
      <c r="AU228" s="520"/>
      <c r="AV228" s="506">
        <f t="shared" si="137"/>
        <v>0</v>
      </c>
      <c r="AW228" s="511">
        <f t="shared" si="138"/>
        <v>0</v>
      </c>
      <c r="AX228" s="508">
        <f t="shared" si="139"/>
        <v>0</v>
      </c>
      <c r="AY228" s="512">
        <f t="shared" si="140"/>
        <v>0</v>
      </c>
      <c r="AZ228" s="513">
        <f t="shared" si="141"/>
        <v>2483.8833333333332</v>
      </c>
      <c r="BA228" s="508">
        <f t="shared" si="142"/>
        <v>2998.4166666666665</v>
      </c>
    </row>
    <row r="229" spans="1:53">
      <c r="A229" s="555" t="s">
        <v>325</v>
      </c>
      <c r="B229" s="556" t="s">
        <v>352</v>
      </c>
      <c r="C229" s="568"/>
      <c r="D229" s="557">
        <v>158088</v>
      </c>
      <c r="E229" s="561">
        <v>12</v>
      </c>
      <c r="F229" s="514" t="s">
        <v>41</v>
      </c>
      <c r="G229" s="515" t="s">
        <v>41</v>
      </c>
      <c r="H229" s="516"/>
      <c r="I229" s="519"/>
      <c r="J229" s="516">
        <v>26500.5</v>
      </c>
      <c r="K229" s="519">
        <v>24698.5</v>
      </c>
      <c r="L229" s="516">
        <v>10503.5</v>
      </c>
      <c r="M229" s="519">
        <v>8354</v>
      </c>
      <c r="N229" s="516">
        <v>25255</v>
      </c>
      <c r="O229" s="559">
        <v>22115</v>
      </c>
      <c r="P229" s="506">
        <f t="shared" si="125"/>
        <v>62259</v>
      </c>
      <c r="Q229" s="507">
        <f t="shared" si="126"/>
        <v>2075.3000000000002</v>
      </c>
      <c r="R229" s="508">
        <f t="shared" si="127"/>
        <v>55167.5</v>
      </c>
      <c r="S229" s="509">
        <f t="shared" si="128"/>
        <v>1838.9166666666667</v>
      </c>
      <c r="T229" s="516">
        <v>5387</v>
      </c>
      <c r="U229" s="833">
        <v>4737</v>
      </c>
      <c r="V229" s="506">
        <f t="shared" si="129"/>
        <v>62259</v>
      </c>
      <c r="W229" s="510">
        <f t="shared" si="130"/>
        <v>55167.5</v>
      </c>
      <c r="X229" s="517"/>
      <c r="Y229" s="519"/>
      <c r="Z229" s="516"/>
      <c r="AA229" s="519"/>
      <c r="AB229" s="516"/>
      <c r="AC229" s="519"/>
      <c r="AD229" s="516"/>
      <c r="AE229" s="519"/>
      <c r="AF229" s="506">
        <f t="shared" si="131"/>
        <v>0</v>
      </c>
      <c r="AG229" s="507">
        <f t="shared" si="132"/>
        <v>0</v>
      </c>
      <c r="AH229" s="508">
        <f t="shared" si="133"/>
        <v>0</v>
      </c>
      <c r="AI229" s="508">
        <f t="shared" si="134"/>
        <v>0</v>
      </c>
      <c r="AJ229" s="516"/>
      <c r="AK229" s="519"/>
      <c r="AL229" s="506">
        <f t="shared" si="135"/>
        <v>0</v>
      </c>
      <c r="AM229" s="509">
        <f t="shared" si="136"/>
        <v>0</v>
      </c>
      <c r="AN229" s="518"/>
      <c r="AO229" s="520"/>
      <c r="AP229" s="516"/>
      <c r="AQ229" s="520"/>
      <c r="AR229" s="516"/>
      <c r="AS229" s="520"/>
      <c r="AT229" s="516"/>
      <c r="AU229" s="520"/>
      <c r="AV229" s="506">
        <f t="shared" si="137"/>
        <v>0</v>
      </c>
      <c r="AW229" s="511">
        <f t="shared" si="138"/>
        <v>0</v>
      </c>
      <c r="AX229" s="508">
        <f t="shared" si="139"/>
        <v>0</v>
      </c>
      <c r="AY229" s="512">
        <f t="shared" si="140"/>
        <v>0</v>
      </c>
      <c r="AZ229" s="513">
        <f t="shared" si="141"/>
        <v>2075.3000000000002</v>
      </c>
      <c r="BA229" s="508">
        <f t="shared" si="142"/>
        <v>1838.9166666666667</v>
      </c>
    </row>
    <row r="230" spans="1:53">
      <c r="A230" s="549" t="s">
        <v>325</v>
      </c>
      <c r="B230" s="550" t="s">
        <v>353</v>
      </c>
      <c r="C230" s="551"/>
      <c r="D230" s="557">
        <v>160481</v>
      </c>
      <c r="E230" s="561">
        <v>12</v>
      </c>
      <c r="F230" s="514" t="s">
        <v>41</v>
      </c>
      <c r="G230" s="515" t="s">
        <v>41</v>
      </c>
      <c r="H230" s="516"/>
      <c r="I230" s="519"/>
      <c r="J230" s="516">
        <v>18142</v>
      </c>
      <c r="K230" s="519">
        <v>19525</v>
      </c>
      <c r="L230" s="516">
        <v>3769</v>
      </c>
      <c r="M230" s="519">
        <v>2905</v>
      </c>
      <c r="N230" s="516">
        <v>22951</v>
      </c>
      <c r="O230" s="559">
        <v>23481</v>
      </c>
      <c r="P230" s="506">
        <f t="shared" si="125"/>
        <v>44862</v>
      </c>
      <c r="Q230" s="507">
        <f t="shared" si="126"/>
        <v>1495.4</v>
      </c>
      <c r="R230" s="508">
        <f t="shared" si="127"/>
        <v>45911</v>
      </c>
      <c r="S230" s="509">
        <f t="shared" si="128"/>
        <v>1530.3666666666666</v>
      </c>
      <c r="T230" s="516">
        <v>1101</v>
      </c>
      <c r="U230" s="559">
        <v>1428</v>
      </c>
      <c r="V230" s="506">
        <f t="shared" si="129"/>
        <v>44862</v>
      </c>
      <c r="W230" s="510">
        <f t="shared" si="130"/>
        <v>45911</v>
      </c>
      <c r="X230" s="517"/>
      <c r="Y230" s="519"/>
      <c r="Z230" s="516"/>
      <c r="AA230" s="559">
        <v>23015</v>
      </c>
      <c r="AB230" s="516"/>
      <c r="AC230" s="559">
        <v>9897</v>
      </c>
      <c r="AD230" s="516"/>
      <c r="AE230" s="559">
        <v>17329</v>
      </c>
      <c r="AF230" s="506">
        <f t="shared" si="131"/>
        <v>0</v>
      </c>
      <c r="AG230" s="507">
        <f t="shared" si="132"/>
        <v>0</v>
      </c>
      <c r="AH230" s="508">
        <f t="shared" si="133"/>
        <v>50241</v>
      </c>
      <c r="AI230" s="508">
        <f t="shared" si="134"/>
        <v>55.823333333333331</v>
      </c>
      <c r="AJ230" s="516"/>
      <c r="AK230" s="519"/>
      <c r="AL230" s="506">
        <f t="shared" si="135"/>
        <v>0</v>
      </c>
      <c r="AM230" s="509">
        <f t="shared" si="136"/>
        <v>0</v>
      </c>
      <c r="AN230" s="518"/>
      <c r="AO230" s="520"/>
      <c r="AP230" s="516"/>
      <c r="AQ230" s="520"/>
      <c r="AR230" s="516"/>
      <c r="AS230" s="520"/>
      <c r="AT230" s="516"/>
      <c r="AU230" s="520"/>
      <c r="AV230" s="506">
        <f t="shared" si="137"/>
        <v>0</v>
      </c>
      <c r="AW230" s="511">
        <f t="shared" si="138"/>
        <v>0</v>
      </c>
      <c r="AX230" s="508">
        <f t="shared" si="139"/>
        <v>0</v>
      </c>
      <c r="AY230" s="512">
        <f t="shared" si="140"/>
        <v>0</v>
      </c>
      <c r="AZ230" s="513">
        <f t="shared" si="141"/>
        <v>1495.4</v>
      </c>
      <c r="BA230" s="508">
        <f t="shared" si="142"/>
        <v>1586.1899999999998</v>
      </c>
    </row>
    <row r="231" spans="1:53">
      <c r="A231" s="555" t="s">
        <v>325</v>
      </c>
      <c r="B231" s="556" t="s">
        <v>354</v>
      </c>
      <c r="C231" s="568"/>
      <c r="D231" s="557">
        <v>158769</v>
      </c>
      <c r="E231" s="561">
        <v>12</v>
      </c>
      <c r="F231" s="514" t="s">
        <v>41</v>
      </c>
      <c r="G231" s="515" t="s">
        <v>41</v>
      </c>
      <c r="H231" s="516"/>
      <c r="I231" s="519"/>
      <c r="J231" s="516">
        <v>15188</v>
      </c>
      <c r="K231" s="519"/>
      <c r="L231" s="516">
        <v>6115</v>
      </c>
      <c r="M231" s="519"/>
      <c r="N231" s="516">
        <v>15907</v>
      </c>
      <c r="O231" s="519"/>
      <c r="P231" s="506">
        <f t="shared" si="125"/>
        <v>37210</v>
      </c>
      <c r="Q231" s="507">
        <f t="shared" si="126"/>
        <v>1240.3333333333333</v>
      </c>
      <c r="R231" s="508">
        <f t="shared" si="127"/>
        <v>0</v>
      </c>
      <c r="S231" s="509">
        <f t="shared" si="128"/>
        <v>0</v>
      </c>
      <c r="T231" s="516">
        <v>2807</v>
      </c>
      <c r="U231" s="833"/>
      <c r="V231" s="506">
        <f t="shared" si="129"/>
        <v>37210</v>
      </c>
      <c r="W231" s="510">
        <f t="shared" si="130"/>
        <v>0</v>
      </c>
      <c r="X231" s="517"/>
      <c r="Y231" s="519"/>
      <c r="Z231" s="516"/>
      <c r="AA231" s="519"/>
      <c r="AB231" s="516"/>
      <c r="AC231" s="519"/>
      <c r="AD231" s="516"/>
      <c r="AE231" s="519"/>
      <c r="AF231" s="506">
        <f t="shared" si="131"/>
        <v>0</v>
      </c>
      <c r="AG231" s="507">
        <f t="shared" si="132"/>
        <v>0</v>
      </c>
      <c r="AH231" s="508">
        <f t="shared" si="133"/>
        <v>0</v>
      </c>
      <c r="AI231" s="508">
        <f t="shared" si="134"/>
        <v>0</v>
      </c>
      <c r="AJ231" s="516"/>
      <c r="AK231" s="519"/>
      <c r="AL231" s="506">
        <f t="shared" si="135"/>
        <v>0</v>
      </c>
      <c r="AM231" s="509">
        <f t="shared" si="136"/>
        <v>0</v>
      </c>
      <c r="AN231" s="518"/>
      <c r="AO231" s="520"/>
      <c r="AP231" s="516"/>
      <c r="AQ231" s="520"/>
      <c r="AR231" s="516"/>
      <c r="AS231" s="520"/>
      <c r="AT231" s="516"/>
      <c r="AU231" s="520"/>
      <c r="AV231" s="506">
        <f t="shared" si="137"/>
        <v>0</v>
      </c>
      <c r="AW231" s="511">
        <f t="shared" si="138"/>
        <v>0</v>
      </c>
      <c r="AX231" s="508">
        <f t="shared" si="139"/>
        <v>0</v>
      </c>
      <c r="AY231" s="512">
        <f t="shared" si="140"/>
        <v>0</v>
      </c>
      <c r="AZ231" s="513">
        <f t="shared" si="141"/>
        <v>1240.3333333333333</v>
      </c>
      <c r="BA231" s="508">
        <f t="shared" si="142"/>
        <v>0</v>
      </c>
    </row>
    <row r="232" spans="1:53">
      <c r="A232" s="555" t="s">
        <v>325</v>
      </c>
      <c r="B232" s="556" t="s">
        <v>355</v>
      </c>
      <c r="C232" s="568"/>
      <c r="D232" s="557">
        <v>160667</v>
      </c>
      <c r="E232" s="561">
        <v>12</v>
      </c>
      <c r="F232" s="514" t="s">
        <v>41</v>
      </c>
      <c r="G232" s="515" t="s">
        <v>41</v>
      </c>
      <c r="H232" s="516"/>
      <c r="I232" s="519"/>
      <c r="J232" s="516">
        <v>25958.5</v>
      </c>
      <c r="K232" s="519">
        <v>26303.5</v>
      </c>
      <c r="L232" s="516">
        <v>7698.5</v>
      </c>
      <c r="M232" s="519">
        <v>5296</v>
      </c>
      <c r="N232" s="516">
        <v>27292</v>
      </c>
      <c r="O232" s="559">
        <v>23479</v>
      </c>
      <c r="P232" s="506">
        <f t="shared" si="125"/>
        <v>60949</v>
      </c>
      <c r="Q232" s="507">
        <f t="shared" si="126"/>
        <v>2031.6333333333334</v>
      </c>
      <c r="R232" s="508">
        <f t="shared" si="127"/>
        <v>55078.5</v>
      </c>
      <c r="S232" s="509">
        <f t="shared" si="128"/>
        <v>1835.95</v>
      </c>
      <c r="T232" s="516">
        <v>12471</v>
      </c>
      <c r="U232" s="833">
        <v>9223</v>
      </c>
      <c r="V232" s="506">
        <f t="shared" si="129"/>
        <v>60949</v>
      </c>
      <c r="W232" s="510">
        <f t="shared" si="130"/>
        <v>55078.5</v>
      </c>
      <c r="X232" s="517"/>
      <c r="Y232" s="519"/>
      <c r="Z232" s="516"/>
      <c r="AA232" s="519"/>
      <c r="AB232" s="516"/>
      <c r="AC232" s="519"/>
      <c r="AD232" s="516"/>
      <c r="AE232" s="519"/>
      <c r="AF232" s="506">
        <f t="shared" si="131"/>
        <v>0</v>
      </c>
      <c r="AG232" s="507">
        <f t="shared" si="132"/>
        <v>0</v>
      </c>
      <c r="AH232" s="508">
        <f t="shared" si="133"/>
        <v>0</v>
      </c>
      <c r="AI232" s="508">
        <f t="shared" si="134"/>
        <v>0</v>
      </c>
      <c r="AJ232" s="516"/>
      <c r="AK232" s="519"/>
      <c r="AL232" s="506">
        <f t="shared" si="135"/>
        <v>0</v>
      </c>
      <c r="AM232" s="509">
        <f t="shared" si="136"/>
        <v>0</v>
      </c>
      <c r="AN232" s="518"/>
      <c r="AO232" s="520"/>
      <c r="AP232" s="516"/>
      <c r="AQ232" s="520"/>
      <c r="AR232" s="516"/>
      <c r="AS232" s="520"/>
      <c r="AT232" s="516"/>
      <c r="AU232" s="520"/>
      <c r="AV232" s="506">
        <f t="shared" si="137"/>
        <v>0</v>
      </c>
      <c r="AW232" s="511">
        <f t="shared" si="138"/>
        <v>0</v>
      </c>
      <c r="AX232" s="508">
        <f t="shared" si="139"/>
        <v>0</v>
      </c>
      <c r="AY232" s="512">
        <f t="shared" si="140"/>
        <v>0</v>
      </c>
      <c r="AZ232" s="513">
        <f t="shared" si="141"/>
        <v>2031.6333333333334</v>
      </c>
      <c r="BA232" s="508">
        <f t="shared" si="142"/>
        <v>1835.95</v>
      </c>
    </row>
    <row r="233" spans="1:53">
      <c r="A233" s="555" t="s">
        <v>325</v>
      </c>
      <c r="B233" s="556" t="s">
        <v>356</v>
      </c>
      <c r="C233" s="568"/>
      <c r="D233" s="557">
        <v>160010</v>
      </c>
      <c r="E233" s="561">
        <v>12</v>
      </c>
      <c r="F233" s="514" t="s">
        <v>41</v>
      </c>
      <c r="G233" s="515" t="s">
        <v>41</v>
      </c>
      <c r="H233" s="516"/>
      <c r="I233" s="519"/>
      <c r="J233" s="516">
        <v>26921.5</v>
      </c>
      <c r="K233" s="519">
        <v>25389</v>
      </c>
      <c r="L233" s="516">
        <v>10637</v>
      </c>
      <c r="M233" s="519">
        <v>8298</v>
      </c>
      <c r="N233" s="516">
        <v>27743</v>
      </c>
      <c r="O233" s="559">
        <v>18412</v>
      </c>
      <c r="P233" s="506">
        <f t="shared" si="125"/>
        <v>65301.5</v>
      </c>
      <c r="Q233" s="507">
        <f t="shared" si="126"/>
        <v>2176.7166666666667</v>
      </c>
      <c r="R233" s="508">
        <f t="shared" si="127"/>
        <v>52099</v>
      </c>
      <c r="S233" s="509">
        <f t="shared" si="128"/>
        <v>1736.6333333333334</v>
      </c>
      <c r="T233" s="516">
        <v>7735</v>
      </c>
      <c r="U233" s="833">
        <v>7316</v>
      </c>
      <c r="V233" s="506">
        <f t="shared" si="129"/>
        <v>65301.5</v>
      </c>
      <c r="W233" s="510">
        <f t="shared" si="130"/>
        <v>52099</v>
      </c>
      <c r="X233" s="517"/>
      <c r="Y233" s="519"/>
      <c r="Z233" s="516"/>
      <c r="AA233" s="519"/>
      <c r="AB233" s="516"/>
      <c r="AC233" s="519"/>
      <c r="AD233" s="516"/>
      <c r="AE233" s="519"/>
      <c r="AF233" s="506">
        <f t="shared" si="131"/>
        <v>0</v>
      </c>
      <c r="AG233" s="507">
        <f t="shared" si="132"/>
        <v>0</v>
      </c>
      <c r="AH233" s="508">
        <f t="shared" si="133"/>
        <v>0</v>
      </c>
      <c r="AI233" s="508">
        <f t="shared" si="134"/>
        <v>0</v>
      </c>
      <c r="AJ233" s="516"/>
      <c r="AK233" s="519"/>
      <c r="AL233" s="506">
        <f t="shared" si="135"/>
        <v>0</v>
      </c>
      <c r="AM233" s="509">
        <f t="shared" si="136"/>
        <v>0</v>
      </c>
      <c r="AN233" s="518"/>
      <c r="AO233" s="520"/>
      <c r="AP233" s="516"/>
      <c r="AQ233" s="520"/>
      <c r="AR233" s="516"/>
      <c r="AS233" s="520"/>
      <c r="AT233" s="516"/>
      <c r="AU233" s="520"/>
      <c r="AV233" s="506">
        <f t="shared" si="137"/>
        <v>0</v>
      </c>
      <c r="AW233" s="511">
        <f t="shared" si="138"/>
        <v>0</v>
      </c>
      <c r="AX233" s="508">
        <f t="shared" si="139"/>
        <v>0</v>
      </c>
      <c r="AY233" s="512">
        <f t="shared" si="140"/>
        <v>0</v>
      </c>
      <c r="AZ233" s="513">
        <f t="shared" si="141"/>
        <v>2176.7166666666667</v>
      </c>
      <c r="BA233" s="508">
        <f t="shared" si="142"/>
        <v>1736.6333333333334</v>
      </c>
    </row>
    <row r="234" spans="1:53">
      <c r="A234" s="555" t="s">
        <v>325</v>
      </c>
      <c r="B234" s="556" t="s">
        <v>357</v>
      </c>
      <c r="C234" s="568"/>
      <c r="D234" s="557">
        <v>160913</v>
      </c>
      <c r="E234" s="561">
        <v>12</v>
      </c>
      <c r="F234" s="514" t="s">
        <v>41</v>
      </c>
      <c r="G234" s="515" t="s">
        <v>41</v>
      </c>
      <c r="H234" s="516"/>
      <c r="I234" s="519"/>
      <c r="J234" s="516">
        <v>22715</v>
      </c>
      <c r="K234" s="519">
        <v>21196</v>
      </c>
      <c r="L234" s="516">
        <v>4942</v>
      </c>
      <c r="M234" s="519">
        <v>4624.5</v>
      </c>
      <c r="N234" s="516">
        <v>23424</v>
      </c>
      <c r="O234" s="559">
        <v>37237</v>
      </c>
      <c r="P234" s="506">
        <f t="shared" si="125"/>
        <v>51081</v>
      </c>
      <c r="Q234" s="507">
        <f t="shared" si="126"/>
        <v>1702.7</v>
      </c>
      <c r="R234" s="508">
        <f t="shared" si="127"/>
        <v>63057.5</v>
      </c>
      <c r="S234" s="509">
        <f t="shared" si="128"/>
        <v>2101.9166666666665</v>
      </c>
      <c r="T234" s="516">
        <v>17017</v>
      </c>
      <c r="U234" s="833">
        <v>12077</v>
      </c>
      <c r="V234" s="506">
        <f t="shared" si="129"/>
        <v>51081</v>
      </c>
      <c r="W234" s="510">
        <f t="shared" si="130"/>
        <v>63057.5</v>
      </c>
      <c r="X234" s="517"/>
      <c r="Y234" s="519"/>
      <c r="Z234" s="516"/>
      <c r="AA234" s="559">
        <v>31464</v>
      </c>
      <c r="AB234" s="516"/>
      <c r="AC234" s="559">
        <v>15976</v>
      </c>
      <c r="AD234" s="516"/>
      <c r="AE234" s="559">
        <v>11561</v>
      </c>
      <c r="AF234" s="506">
        <f t="shared" si="131"/>
        <v>0</v>
      </c>
      <c r="AG234" s="507">
        <f t="shared" si="132"/>
        <v>0</v>
      </c>
      <c r="AH234" s="508">
        <f t="shared" si="133"/>
        <v>59001</v>
      </c>
      <c r="AI234" s="508">
        <f t="shared" si="134"/>
        <v>65.556666666666672</v>
      </c>
      <c r="AJ234" s="516"/>
      <c r="AK234" s="519"/>
      <c r="AL234" s="506">
        <f t="shared" si="135"/>
        <v>0</v>
      </c>
      <c r="AM234" s="509">
        <f t="shared" si="136"/>
        <v>0</v>
      </c>
      <c r="AN234" s="518"/>
      <c r="AO234" s="520"/>
      <c r="AP234" s="516"/>
      <c r="AQ234" s="520"/>
      <c r="AR234" s="516"/>
      <c r="AS234" s="520"/>
      <c r="AT234" s="516"/>
      <c r="AU234" s="520"/>
      <c r="AV234" s="506">
        <f t="shared" si="137"/>
        <v>0</v>
      </c>
      <c r="AW234" s="511">
        <f t="shared" si="138"/>
        <v>0</v>
      </c>
      <c r="AX234" s="508">
        <f t="shared" si="139"/>
        <v>0</v>
      </c>
      <c r="AY234" s="512">
        <f t="shared" si="140"/>
        <v>0</v>
      </c>
      <c r="AZ234" s="513">
        <f t="shared" si="141"/>
        <v>1702.7</v>
      </c>
      <c r="BA234" s="508">
        <f t="shared" si="142"/>
        <v>2167.4733333333334</v>
      </c>
    </row>
    <row r="235" spans="1:53">
      <c r="A235" s="549" t="s">
        <v>325</v>
      </c>
      <c r="B235" s="546" t="s">
        <v>358</v>
      </c>
      <c r="C235" s="548"/>
      <c r="D235" s="557">
        <v>160579</v>
      </c>
      <c r="E235" s="561">
        <v>12</v>
      </c>
      <c r="F235" s="514" t="s">
        <v>41</v>
      </c>
      <c r="G235" s="515" t="s">
        <v>41</v>
      </c>
      <c r="H235" s="516"/>
      <c r="I235" s="519"/>
      <c r="J235" s="516">
        <v>29361</v>
      </c>
      <c r="K235" s="519">
        <v>28256</v>
      </c>
      <c r="L235" s="516">
        <v>7631</v>
      </c>
      <c r="M235" s="519">
        <v>5669</v>
      </c>
      <c r="N235" s="516">
        <v>31326</v>
      </c>
      <c r="O235" s="559">
        <v>30015</v>
      </c>
      <c r="P235" s="506">
        <f t="shared" si="125"/>
        <v>68318</v>
      </c>
      <c r="Q235" s="507">
        <f t="shared" si="126"/>
        <v>2277.2666666666669</v>
      </c>
      <c r="R235" s="508">
        <f t="shared" si="127"/>
        <v>63940</v>
      </c>
      <c r="S235" s="509">
        <f t="shared" si="128"/>
        <v>2131.3333333333335</v>
      </c>
      <c r="T235" s="516">
        <v>4879</v>
      </c>
      <c r="U235" s="559">
        <v>3138</v>
      </c>
      <c r="V235" s="506">
        <f t="shared" si="129"/>
        <v>68318</v>
      </c>
      <c r="W235" s="510">
        <f t="shared" si="130"/>
        <v>63940</v>
      </c>
      <c r="X235" s="517"/>
      <c r="Y235" s="519"/>
      <c r="Z235" s="516"/>
      <c r="AA235" s="519"/>
      <c r="AB235" s="516"/>
      <c r="AC235" s="519"/>
      <c r="AD235" s="516"/>
      <c r="AE235" s="519"/>
      <c r="AF235" s="506">
        <f t="shared" si="131"/>
        <v>0</v>
      </c>
      <c r="AG235" s="507">
        <f t="shared" si="132"/>
        <v>0</v>
      </c>
      <c r="AH235" s="508">
        <f t="shared" si="133"/>
        <v>0</v>
      </c>
      <c r="AI235" s="508">
        <f t="shared" si="134"/>
        <v>0</v>
      </c>
      <c r="AJ235" s="516"/>
      <c r="AK235" s="519"/>
      <c r="AL235" s="506">
        <f t="shared" si="135"/>
        <v>0</v>
      </c>
      <c r="AM235" s="509">
        <f t="shared" si="136"/>
        <v>0</v>
      </c>
      <c r="AN235" s="518"/>
      <c r="AO235" s="520"/>
      <c r="AP235" s="516"/>
      <c r="AQ235" s="520"/>
      <c r="AR235" s="516"/>
      <c r="AS235" s="520"/>
      <c r="AT235" s="516"/>
      <c r="AU235" s="520"/>
      <c r="AV235" s="506">
        <f t="shared" si="137"/>
        <v>0</v>
      </c>
      <c r="AW235" s="511">
        <f t="shared" si="138"/>
        <v>0</v>
      </c>
      <c r="AX235" s="508">
        <f t="shared" si="139"/>
        <v>0</v>
      </c>
      <c r="AY235" s="512">
        <f t="shared" si="140"/>
        <v>0</v>
      </c>
      <c r="AZ235" s="513">
        <f t="shared" si="141"/>
        <v>2277.2666666666669</v>
      </c>
      <c r="BA235" s="508">
        <f t="shared" si="142"/>
        <v>2131.3333333333335</v>
      </c>
    </row>
    <row r="236" spans="1:53">
      <c r="A236" s="674" t="s">
        <v>825</v>
      </c>
      <c r="B236" s="675" t="s">
        <v>826</v>
      </c>
      <c r="C236" s="724"/>
      <c r="D236" s="689">
        <v>163286</v>
      </c>
      <c r="E236" s="725">
        <v>1</v>
      </c>
      <c r="F236" s="514" t="s">
        <v>41</v>
      </c>
      <c r="G236" s="515" t="s">
        <v>41</v>
      </c>
      <c r="H236" s="516">
        <v>12603</v>
      </c>
      <c r="I236" s="519">
        <v>12014</v>
      </c>
      <c r="J236" s="516">
        <v>369475</v>
      </c>
      <c r="K236" s="519">
        <v>366609</v>
      </c>
      <c r="L236" s="516">
        <v>38207</v>
      </c>
      <c r="M236" s="519">
        <v>36525</v>
      </c>
      <c r="N236" s="516">
        <v>379654</v>
      </c>
      <c r="O236" s="519">
        <v>375427</v>
      </c>
      <c r="P236" s="506">
        <f t="shared" si="125"/>
        <v>799939</v>
      </c>
      <c r="Q236" s="507">
        <f t="shared" si="126"/>
        <v>26664.633333333335</v>
      </c>
      <c r="R236" s="508">
        <f t="shared" si="127"/>
        <v>790575</v>
      </c>
      <c r="S236" s="509">
        <f t="shared" si="128"/>
        <v>26352.5</v>
      </c>
      <c r="T236" s="516"/>
      <c r="U236" s="519"/>
      <c r="V236" s="506">
        <f t="shared" si="129"/>
        <v>0</v>
      </c>
      <c r="W236" s="510">
        <f t="shared" si="130"/>
        <v>0</v>
      </c>
      <c r="X236" s="517"/>
      <c r="Y236" s="519"/>
      <c r="Z236" s="516"/>
      <c r="AA236" s="519"/>
      <c r="AB236" s="516"/>
      <c r="AC236" s="519"/>
      <c r="AD236" s="516"/>
      <c r="AE236" s="519"/>
      <c r="AF236" s="506">
        <f t="shared" si="131"/>
        <v>0</v>
      </c>
      <c r="AG236" s="507">
        <f t="shared" si="132"/>
        <v>0</v>
      </c>
      <c r="AH236" s="508">
        <f t="shared" si="133"/>
        <v>0</v>
      </c>
      <c r="AI236" s="508">
        <f t="shared" si="134"/>
        <v>0</v>
      </c>
      <c r="AJ236" s="516"/>
      <c r="AK236" s="519"/>
      <c r="AL236" s="506">
        <f t="shared" si="135"/>
        <v>0</v>
      </c>
      <c r="AM236" s="509">
        <f t="shared" si="136"/>
        <v>0</v>
      </c>
      <c r="AN236" s="518">
        <v>2517</v>
      </c>
      <c r="AO236" s="520">
        <v>2737</v>
      </c>
      <c r="AP236" s="516">
        <v>68369</v>
      </c>
      <c r="AQ236" s="520">
        <v>69061</v>
      </c>
      <c r="AR236" s="516">
        <v>12990</v>
      </c>
      <c r="AS236" s="520">
        <v>11552</v>
      </c>
      <c r="AT236" s="516">
        <v>74997</v>
      </c>
      <c r="AU236" s="520">
        <v>75812</v>
      </c>
      <c r="AV236" s="506">
        <f t="shared" si="137"/>
        <v>158873</v>
      </c>
      <c r="AW236" s="511">
        <f t="shared" si="138"/>
        <v>6619.708333333333</v>
      </c>
      <c r="AX236" s="508">
        <f t="shared" si="139"/>
        <v>159162</v>
      </c>
      <c r="AY236" s="512">
        <f t="shared" si="140"/>
        <v>6631.75</v>
      </c>
      <c r="AZ236" s="513">
        <f t="shared" si="141"/>
        <v>33284.341666666667</v>
      </c>
      <c r="BA236" s="508">
        <f t="shared" si="142"/>
        <v>32984.25</v>
      </c>
    </row>
    <row r="237" spans="1:53">
      <c r="A237" s="674" t="s">
        <v>825</v>
      </c>
      <c r="B237" s="677" t="s">
        <v>827</v>
      </c>
      <c r="C237" s="726"/>
      <c r="D237" s="689">
        <v>163453</v>
      </c>
      <c r="E237" s="687">
        <v>2</v>
      </c>
      <c r="F237" s="514" t="s">
        <v>41</v>
      </c>
      <c r="G237" s="515" t="s">
        <v>41</v>
      </c>
      <c r="H237" s="516">
        <v>1117</v>
      </c>
      <c r="I237" s="519">
        <v>1605</v>
      </c>
      <c r="J237" s="516">
        <v>91176</v>
      </c>
      <c r="K237" s="519">
        <v>85647</v>
      </c>
      <c r="L237" s="516">
        <v>7556</v>
      </c>
      <c r="M237" s="519">
        <v>7402</v>
      </c>
      <c r="N237" s="516">
        <v>91204</v>
      </c>
      <c r="O237" s="519">
        <v>91104</v>
      </c>
      <c r="P237" s="506">
        <f t="shared" si="125"/>
        <v>191053</v>
      </c>
      <c r="Q237" s="507">
        <f t="shared" si="126"/>
        <v>6368.4333333333334</v>
      </c>
      <c r="R237" s="508">
        <f t="shared" si="127"/>
        <v>185758</v>
      </c>
      <c r="S237" s="509">
        <f t="shared" si="128"/>
        <v>6191.9333333333334</v>
      </c>
      <c r="T237" s="516"/>
      <c r="U237" s="519"/>
      <c r="V237" s="506">
        <f t="shared" si="129"/>
        <v>0</v>
      </c>
      <c r="W237" s="510">
        <f t="shared" si="130"/>
        <v>0</v>
      </c>
      <c r="X237" s="517"/>
      <c r="Y237" s="519"/>
      <c r="Z237" s="516"/>
      <c r="AA237" s="519"/>
      <c r="AB237" s="516"/>
      <c r="AC237" s="519"/>
      <c r="AD237" s="516"/>
      <c r="AE237" s="519"/>
      <c r="AF237" s="506">
        <f t="shared" si="131"/>
        <v>0</v>
      </c>
      <c r="AG237" s="507">
        <f t="shared" si="132"/>
        <v>0</v>
      </c>
      <c r="AH237" s="508">
        <f t="shared" si="133"/>
        <v>0</v>
      </c>
      <c r="AI237" s="508">
        <f t="shared" si="134"/>
        <v>0</v>
      </c>
      <c r="AJ237" s="516"/>
      <c r="AK237" s="519"/>
      <c r="AL237" s="506">
        <f t="shared" si="135"/>
        <v>0</v>
      </c>
      <c r="AM237" s="509">
        <f t="shared" si="136"/>
        <v>0</v>
      </c>
      <c r="AN237" s="518">
        <v>36</v>
      </c>
      <c r="AO237" s="520">
        <v>0</v>
      </c>
      <c r="AP237" s="516">
        <v>9482</v>
      </c>
      <c r="AQ237" s="520">
        <v>10811</v>
      </c>
      <c r="AR237" s="516">
        <v>869</v>
      </c>
      <c r="AS237" s="520">
        <v>987</v>
      </c>
      <c r="AT237" s="516">
        <v>10296</v>
      </c>
      <c r="AU237" s="520">
        <v>10400</v>
      </c>
      <c r="AV237" s="506">
        <f t="shared" si="137"/>
        <v>20683</v>
      </c>
      <c r="AW237" s="511">
        <f t="shared" si="138"/>
        <v>861.79166666666663</v>
      </c>
      <c r="AX237" s="508">
        <f t="shared" si="139"/>
        <v>22198</v>
      </c>
      <c r="AY237" s="512">
        <f t="shared" si="140"/>
        <v>924.91666666666663</v>
      </c>
      <c r="AZ237" s="513">
        <f t="shared" si="141"/>
        <v>7230.2250000000004</v>
      </c>
      <c r="BA237" s="508">
        <f t="shared" si="142"/>
        <v>7116.85</v>
      </c>
    </row>
    <row r="238" spans="1:53">
      <c r="A238" s="674" t="s">
        <v>825</v>
      </c>
      <c r="B238" s="675" t="s">
        <v>828</v>
      </c>
      <c r="C238" s="724"/>
      <c r="D238" s="689">
        <v>163268</v>
      </c>
      <c r="E238" s="725">
        <v>2</v>
      </c>
      <c r="F238" s="514" t="s">
        <v>41</v>
      </c>
      <c r="G238" s="515" t="s">
        <v>41</v>
      </c>
      <c r="H238" s="516">
        <v>4810</v>
      </c>
      <c r="I238" s="519">
        <v>5052.5</v>
      </c>
      <c r="J238" s="516">
        <v>132978.5</v>
      </c>
      <c r="K238" s="519">
        <v>137076.5</v>
      </c>
      <c r="L238" s="516">
        <v>16631.5</v>
      </c>
      <c r="M238" s="519">
        <v>18224.5</v>
      </c>
      <c r="N238" s="516">
        <v>143350</v>
      </c>
      <c r="O238" s="519">
        <v>147568.5</v>
      </c>
      <c r="P238" s="506">
        <f t="shared" si="125"/>
        <v>297770</v>
      </c>
      <c r="Q238" s="507">
        <f t="shared" si="126"/>
        <v>9925.6666666666661</v>
      </c>
      <c r="R238" s="508">
        <f t="shared" si="127"/>
        <v>307922</v>
      </c>
      <c r="S238" s="509">
        <f t="shared" si="128"/>
        <v>10264.066666666668</v>
      </c>
      <c r="T238" s="516"/>
      <c r="U238" s="519"/>
      <c r="V238" s="506">
        <f t="shared" si="129"/>
        <v>0</v>
      </c>
      <c r="W238" s="510">
        <f t="shared" si="130"/>
        <v>0</v>
      </c>
      <c r="X238" s="517"/>
      <c r="Y238" s="519"/>
      <c r="Z238" s="516"/>
      <c r="AA238" s="519"/>
      <c r="AB238" s="516"/>
      <c r="AC238" s="519"/>
      <c r="AD238" s="516"/>
      <c r="AE238" s="519"/>
      <c r="AF238" s="506">
        <f t="shared" si="131"/>
        <v>0</v>
      </c>
      <c r="AG238" s="507">
        <f t="shared" si="132"/>
        <v>0</v>
      </c>
      <c r="AH238" s="508">
        <f t="shared" si="133"/>
        <v>0</v>
      </c>
      <c r="AI238" s="508">
        <f t="shared" si="134"/>
        <v>0</v>
      </c>
      <c r="AJ238" s="516"/>
      <c r="AK238" s="519"/>
      <c r="AL238" s="506">
        <f t="shared" si="135"/>
        <v>0</v>
      </c>
      <c r="AM238" s="509">
        <f t="shared" si="136"/>
        <v>0</v>
      </c>
      <c r="AN238" s="518">
        <v>73</v>
      </c>
      <c r="AO238" s="520">
        <v>116</v>
      </c>
      <c r="AP238" s="516">
        <v>15580</v>
      </c>
      <c r="AQ238" s="520">
        <v>15328</v>
      </c>
      <c r="AR238" s="516">
        <v>2673</v>
      </c>
      <c r="AS238" s="520">
        <v>2998</v>
      </c>
      <c r="AT238" s="516">
        <v>15512</v>
      </c>
      <c r="AU238" s="520">
        <v>15972</v>
      </c>
      <c r="AV238" s="506">
        <f t="shared" si="137"/>
        <v>33838</v>
      </c>
      <c r="AW238" s="511">
        <f t="shared" si="138"/>
        <v>1409.9166666666667</v>
      </c>
      <c r="AX238" s="508">
        <f t="shared" si="139"/>
        <v>34414</v>
      </c>
      <c r="AY238" s="512">
        <f t="shared" si="140"/>
        <v>1433.9166666666667</v>
      </c>
      <c r="AZ238" s="513">
        <f t="shared" si="141"/>
        <v>11335.583333333332</v>
      </c>
      <c r="BA238" s="508">
        <f t="shared" si="142"/>
        <v>11697.983333333334</v>
      </c>
    </row>
    <row r="239" spans="1:53">
      <c r="A239" s="674" t="s">
        <v>825</v>
      </c>
      <c r="B239" s="675" t="s">
        <v>829</v>
      </c>
      <c r="C239" s="724"/>
      <c r="D239" s="689">
        <v>164076</v>
      </c>
      <c r="E239" s="725">
        <v>3</v>
      </c>
      <c r="F239" s="514" t="s">
        <v>41</v>
      </c>
      <c r="G239" s="515" t="s">
        <v>41</v>
      </c>
      <c r="H239" s="516">
        <v>7090</v>
      </c>
      <c r="I239" s="519">
        <v>7039</v>
      </c>
      <c r="J239" s="516">
        <v>230185.5</v>
      </c>
      <c r="K239" s="519">
        <v>235082</v>
      </c>
      <c r="L239" s="516">
        <v>25979</v>
      </c>
      <c r="M239" s="519">
        <v>26279</v>
      </c>
      <c r="N239" s="516">
        <v>243052</v>
      </c>
      <c r="O239" s="519">
        <v>247841</v>
      </c>
      <c r="P239" s="506">
        <f t="shared" si="125"/>
        <v>506306.5</v>
      </c>
      <c r="Q239" s="507">
        <f t="shared" si="126"/>
        <v>16876.883333333335</v>
      </c>
      <c r="R239" s="508">
        <f t="shared" si="127"/>
        <v>516241</v>
      </c>
      <c r="S239" s="509">
        <f t="shared" si="128"/>
        <v>17208.033333333333</v>
      </c>
      <c r="T239" s="516"/>
      <c r="U239" s="519"/>
      <c r="V239" s="506">
        <f t="shared" si="129"/>
        <v>0</v>
      </c>
      <c r="W239" s="510">
        <f t="shared" si="130"/>
        <v>0</v>
      </c>
      <c r="X239" s="517"/>
      <c r="Y239" s="519"/>
      <c r="Z239" s="516"/>
      <c r="AA239" s="519"/>
      <c r="AB239" s="516"/>
      <c r="AC239" s="519"/>
      <c r="AD239" s="516"/>
      <c r="AE239" s="519"/>
      <c r="AF239" s="506">
        <f t="shared" si="131"/>
        <v>0</v>
      </c>
      <c r="AG239" s="507">
        <f t="shared" si="132"/>
        <v>0</v>
      </c>
      <c r="AH239" s="508">
        <f t="shared" si="133"/>
        <v>0</v>
      </c>
      <c r="AI239" s="508">
        <f t="shared" si="134"/>
        <v>0</v>
      </c>
      <c r="AJ239" s="516"/>
      <c r="AK239" s="519"/>
      <c r="AL239" s="506">
        <f t="shared" si="135"/>
        <v>0</v>
      </c>
      <c r="AM239" s="509">
        <f t="shared" si="136"/>
        <v>0</v>
      </c>
      <c r="AN239" s="518">
        <v>1279</v>
      </c>
      <c r="AO239" s="520">
        <v>1310</v>
      </c>
      <c r="AP239" s="516">
        <v>23762.5</v>
      </c>
      <c r="AQ239" s="520">
        <v>22968</v>
      </c>
      <c r="AR239" s="516">
        <v>9276</v>
      </c>
      <c r="AS239" s="520">
        <v>9348</v>
      </c>
      <c r="AT239" s="516">
        <v>23201.5</v>
      </c>
      <c r="AU239" s="520">
        <v>23222</v>
      </c>
      <c r="AV239" s="506">
        <f t="shared" si="137"/>
        <v>57519</v>
      </c>
      <c r="AW239" s="511">
        <f t="shared" si="138"/>
        <v>2396.625</v>
      </c>
      <c r="AX239" s="508">
        <f t="shared" si="139"/>
        <v>56848</v>
      </c>
      <c r="AY239" s="512">
        <f t="shared" si="140"/>
        <v>2368.6666666666665</v>
      </c>
      <c r="AZ239" s="513">
        <f t="shared" si="141"/>
        <v>19273.508333333335</v>
      </c>
      <c r="BA239" s="508">
        <f t="shared" si="142"/>
        <v>19576.7</v>
      </c>
    </row>
    <row r="240" spans="1:53">
      <c r="A240" s="674" t="s">
        <v>825</v>
      </c>
      <c r="B240" s="675" t="s">
        <v>830</v>
      </c>
      <c r="C240" s="724"/>
      <c r="D240" s="689">
        <v>162007</v>
      </c>
      <c r="E240" s="725">
        <v>4</v>
      </c>
      <c r="F240" s="514" t="s">
        <v>41</v>
      </c>
      <c r="G240" s="515" t="s">
        <v>41</v>
      </c>
      <c r="H240" s="516">
        <v>1098</v>
      </c>
      <c r="I240" s="519">
        <v>1311</v>
      </c>
      <c r="J240" s="516">
        <v>55954</v>
      </c>
      <c r="K240" s="519">
        <v>54894</v>
      </c>
      <c r="L240" s="516">
        <v>6095</v>
      </c>
      <c r="M240" s="519">
        <v>5391</v>
      </c>
      <c r="N240" s="516">
        <v>59470</v>
      </c>
      <c r="O240" s="519">
        <v>56623</v>
      </c>
      <c r="P240" s="506">
        <f t="shared" si="125"/>
        <v>122617</v>
      </c>
      <c r="Q240" s="507">
        <f t="shared" si="126"/>
        <v>4087.2333333333331</v>
      </c>
      <c r="R240" s="508">
        <f t="shared" si="127"/>
        <v>118219</v>
      </c>
      <c r="S240" s="509">
        <f t="shared" si="128"/>
        <v>3940.6333333333332</v>
      </c>
      <c r="T240" s="516"/>
      <c r="U240" s="519"/>
      <c r="V240" s="506">
        <f t="shared" si="129"/>
        <v>0</v>
      </c>
      <c r="W240" s="510">
        <f t="shared" si="130"/>
        <v>0</v>
      </c>
      <c r="X240" s="517"/>
      <c r="Y240" s="519"/>
      <c r="Z240" s="516"/>
      <c r="AA240" s="519"/>
      <c r="AB240" s="516"/>
      <c r="AC240" s="519"/>
      <c r="AD240" s="516"/>
      <c r="AE240" s="519"/>
      <c r="AF240" s="506">
        <f t="shared" si="131"/>
        <v>0</v>
      </c>
      <c r="AG240" s="507">
        <f t="shared" si="132"/>
        <v>0</v>
      </c>
      <c r="AH240" s="508">
        <f t="shared" si="133"/>
        <v>0</v>
      </c>
      <c r="AI240" s="508">
        <f t="shared" si="134"/>
        <v>0</v>
      </c>
      <c r="AJ240" s="516"/>
      <c r="AK240" s="519"/>
      <c r="AL240" s="506">
        <f t="shared" si="135"/>
        <v>0</v>
      </c>
      <c r="AM240" s="509">
        <f t="shared" si="136"/>
        <v>0</v>
      </c>
      <c r="AN240" s="518">
        <v>225</v>
      </c>
      <c r="AO240" s="520">
        <v>159</v>
      </c>
      <c r="AP240" s="516">
        <v>7000</v>
      </c>
      <c r="AQ240" s="520">
        <v>7065</v>
      </c>
      <c r="AR240" s="516">
        <v>1138</v>
      </c>
      <c r="AS240" s="520">
        <v>1096</v>
      </c>
      <c r="AT240" s="516">
        <v>7603</v>
      </c>
      <c r="AU240" s="520">
        <v>7507</v>
      </c>
      <c r="AV240" s="506">
        <f t="shared" si="137"/>
        <v>15966</v>
      </c>
      <c r="AW240" s="511">
        <f t="shared" si="138"/>
        <v>665.25</v>
      </c>
      <c r="AX240" s="508">
        <f t="shared" si="139"/>
        <v>15827</v>
      </c>
      <c r="AY240" s="512">
        <f t="shared" si="140"/>
        <v>659.45833333333337</v>
      </c>
      <c r="AZ240" s="513">
        <f t="shared" si="141"/>
        <v>4752.4833333333336</v>
      </c>
      <c r="BA240" s="508">
        <f t="shared" si="142"/>
        <v>4600.0916666666662</v>
      </c>
    </row>
    <row r="241" spans="1:53">
      <c r="A241" s="674" t="s">
        <v>825</v>
      </c>
      <c r="B241" s="675" t="s">
        <v>832</v>
      </c>
      <c r="C241" s="724"/>
      <c r="D241" s="689">
        <v>162584</v>
      </c>
      <c r="E241" s="725">
        <v>4</v>
      </c>
      <c r="F241" s="514" t="s">
        <v>41</v>
      </c>
      <c r="G241" s="515" t="s">
        <v>41</v>
      </c>
      <c r="H241" s="516">
        <v>2341</v>
      </c>
      <c r="I241" s="519">
        <v>2314</v>
      </c>
      <c r="J241" s="516">
        <v>63707.5</v>
      </c>
      <c r="K241" s="519">
        <v>61273</v>
      </c>
      <c r="L241" s="516">
        <v>4869</v>
      </c>
      <c r="M241" s="519">
        <v>5228</v>
      </c>
      <c r="N241" s="516">
        <v>66062.5</v>
      </c>
      <c r="O241" s="519">
        <v>64609.5</v>
      </c>
      <c r="P241" s="506">
        <f t="shared" si="125"/>
        <v>136980</v>
      </c>
      <c r="Q241" s="507">
        <f t="shared" si="126"/>
        <v>4566</v>
      </c>
      <c r="R241" s="508">
        <f t="shared" si="127"/>
        <v>133424.5</v>
      </c>
      <c r="S241" s="509">
        <f t="shared" si="128"/>
        <v>4447.4833333333336</v>
      </c>
      <c r="T241" s="516"/>
      <c r="U241" s="519"/>
      <c r="V241" s="506">
        <f t="shared" si="129"/>
        <v>0</v>
      </c>
      <c r="W241" s="510">
        <f t="shared" si="130"/>
        <v>0</v>
      </c>
      <c r="X241" s="517"/>
      <c r="Y241" s="519"/>
      <c r="Z241" s="516"/>
      <c r="AA241" s="519"/>
      <c r="AB241" s="516"/>
      <c r="AC241" s="519"/>
      <c r="AD241" s="516"/>
      <c r="AE241" s="519"/>
      <c r="AF241" s="506">
        <f t="shared" si="131"/>
        <v>0</v>
      </c>
      <c r="AG241" s="507">
        <f t="shared" si="132"/>
        <v>0</v>
      </c>
      <c r="AH241" s="508">
        <f t="shared" si="133"/>
        <v>0</v>
      </c>
      <c r="AI241" s="508">
        <f t="shared" si="134"/>
        <v>0</v>
      </c>
      <c r="AJ241" s="516"/>
      <c r="AK241" s="519"/>
      <c r="AL241" s="506">
        <f t="shared" si="135"/>
        <v>0</v>
      </c>
      <c r="AM241" s="509">
        <f t="shared" si="136"/>
        <v>0</v>
      </c>
      <c r="AN241" s="518">
        <v>435</v>
      </c>
      <c r="AO241" s="520">
        <v>351</v>
      </c>
      <c r="AP241" s="516">
        <v>4102</v>
      </c>
      <c r="AQ241" s="520">
        <v>4320.5</v>
      </c>
      <c r="AR241" s="516">
        <v>1979</v>
      </c>
      <c r="AS241" s="520">
        <v>2555</v>
      </c>
      <c r="AT241" s="516">
        <v>4398.5</v>
      </c>
      <c r="AU241" s="520">
        <v>5184</v>
      </c>
      <c r="AV241" s="506">
        <f t="shared" si="137"/>
        <v>10914.5</v>
      </c>
      <c r="AW241" s="511">
        <f t="shared" si="138"/>
        <v>454.77083333333331</v>
      </c>
      <c r="AX241" s="508">
        <f t="shared" si="139"/>
        <v>12410.5</v>
      </c>
      <c r="AY241" s="512">
        <f t="shared" si="140"/>
        <v>517.10416666666663</v>
      </c>
      <c r="AZ241" s="513">
        <f t="shared" si="141"/>
        <v>5020.770833333333</v>
      </c>
      <c r="BA241" s="508">
        <f t="shared" si="142"/>
        <v>4964.5875000000005</v>
      </c>
    </row>
    <row r="242" spans="1:53">
      <c r="A242" s="674" t="s">
        <v>825</v>
      </c>
      <c r="B242" s="675" t="s">
        <v>833</v>
      </c>
      <c r="C242" s="724"/>
      <c r="D242" s="689">
        <v>163851</v>
      </c>
      <c r="E242" s="725">
        <v>4</v>
      </c>
      <c r="F242" s="514" t="s">
        <v>41</v>
      </c>
      <c r="G242" s="515" t="s">
        <v>41</v>
      </c>
      <c r="H242" s="516">
        <v>6016</v>
      </c>
      <c r="I242" s="519">
        <v>6633</v>
      </c>
      <c r="J242" s="516">
        <v>105704</v>
      </c>
      <c r="K242" s="519">
        <v>109873</v>
      </c>
      <c r="L242" s="516">
        <v>6776</v>
      </c>
      <c r="M242" s="519">
        <v>6883</v>
      </c>
      <c r="N242" s="516">
        <v>113357</v>
      </c>
      <c r="O242" s="519">
        <v>114315</v>
      </c>
      <c r="P242" s="506">
        <f t="shared" si="125"/>
        <v>231853</v>
      </c>
      <c r="Q242" s="507">
        <f t="shared" si="126"/>
        <v>7728.4333333333334</v>
      </c>
      <c r="R242" s="508">
        <f t="shared" si="127"/>
        <v>237704</v>
      </c>
      <c r="S242" s="509">
        <f t="shared" si="128"/>
        <v>7923.4666666666662</v>
      </c>
      <c r="T242" s="516"/>
      <c r="U242" s="519"/>
      <c r="V242" s="506">
        <f t="shared" si="129"/>
        <v>0</v>
      </c>
      <c r="W242" s="510">
        <f t="shared" si="130"/>
        <v>0</v>
      </c>
      <c r="X242" s="517"/>
      <c r="Y242" s="519"/>
      <c r="Z242" s="516"/>
      <c r="AA242" s="519"/>
      <c r="AB242" s="516"/>
      <c r="AC242" s="519"/>
      <c r="AD242" s="516"/>
      <c r="AE242" s="519"/>
      <c r="AF242" s="506">
        <f t="shared" si="131"/>
        <v>0</v>
      </c>
      <c r="AG242" s="507">
        <f t="shared" si="132"/>
        <v>0</v>
      </c>
      <c r="AH242" s="508">
        <f t="shared" si="133"/>
        <v>0</v>
      </c>
      <c r="AI242" s="508">
        <f t="shared" si="134"/>
        <v>0</v>
      </c>
      <c r="AJ242" s="516"/>
      <c r="AK242" s="519"/>
      <c r="AL242" s="506">
        <f t="shared" si="135"/>
        <v>0</v>
      </c>
      <c r="AM242" s="509">
        <f t="shared" si="136"/>
        <v>0</v>
      </c>
      <c r="AN242" s="518">
        <v>358</v>
      </c>
      <c r="AO242" s="520">
        <v>393</v>
      </c>
      <c r="AP242" s="516">
        <v>4679</v>
      </c>
      <c r="AQ242" s="520">
        <v>4622</v>
      </c>
      <c r="AR242" s="516">
        <v>1523</v>
      </c>
      <c r="AS242" s="520">
        <v>1491</v>
      </c>
      <c r="AT242" s="516">
        <v>5008</v>
      </c>
      <c r="AU242" s="520">
        <v>4873</v>
      </c>
      <c r="AV242" s="506">
        <f t="shared" si="137"/>
        <v>11568</v>
      </c>
      <c r="AW242" s="511">
        <f t="shared" si="138"/>
        <v>482</v>
      </c>
      <c r="AX242" s="508">
        <f t="shared" si="139"/>
        <v>11379</v>
      </c>
      <c r="AY242" s="512">
        <f t="shared" si="140"/>
        <v>474.125</v>
      </c>
      <c r="AZ242" s="513">
        <f t="shared" si="141"/>
        <v>8210.4333333333343</v>
      </c>
      <c r="BA242" s="508">
        <f t="shared" si="142"/>
        <v>8397.5916666666672</v>
      </c>
    </row>
    <row r="243" spans="1:53">
      <c r="A243" s="674" t="s">
        <v>825</v>
      </c>
      <c r="B243" s="675" t="s">
        <v>834</v>
      </c>
      <c r="C243" s="724" t="s">
        <v>823</v>
      </c>
      <c r="D243" s="689">
        <v>161873</v>
      </c>
      <c r="E243" s="725">
        <v>4</v>
      </c>
      <c r="F243" s="514" t="s">
        <v>41</v>
      </c>
      <c r="G243" s="515" t="s">
        <v>41</v>
      </c>
      <c r="H243" s="516">
        <v>45</v>
      </c>
      <c r="I243" s="519">
        <v>51</v>
      </c>
      <c r="J243" s="516">
        <v>32299</v>
      </c>
      <c r="K243" s="519">
        <v>32983</v>
      </c>
      <c r="L243" s="516">
        <v>4338</v>
      </c>
      <c r="M243" s="519">
        <v>4313</v>
      </c>
      <c r="N243" s="516">
        <v>34822</v>
      </c>
      <c r="O243" s="519">
        <v>36346</v>
      </c>
      <c r="P243" s="506">
        <f t="shared" si="125"/>
        <v>71504</v>
      </c>
      <c r="Q243" s="507">
        <f t="shared" si="126"/>
        <v>2383.4666666666667</v>
      </c>
      <c r="R243" s="508">
        <f t="shared" si="127"/>
        <v>73693</v>
      </c>
      <c r="S243" s="509">
        <f t="shared" si="128"/>
        <v>2456.4333333333334</v>
      </c>
      <c r="T243" s="516"/>
      <c r="U243" s="519"/>
      <c r="V243" s="506">
        <f t="shared" si="129"/>
        <v>0</v>
      </c>
      <c r="W243" s="510">
        <f t="shared" si="130"/>
        <v>0</v>
      </c>
      <c r="X243" s="517"/>
      <c r="Y243" s="519"/>
      <c r="Z243" s="516"/>
      <c r="AA243" s="519"/>
      <c r="AB243" s="516"/>
      <c r="AC243" s="519"/>
      <c r="AD243" s="516"/>
      <c r="AE243" s="519"/>
      <c r="AF243" s="506">
        <f t="shared" si="131"/>
        <v>0</v>
      </c>
      <c r="AG243" s="507">
        <f t="shared" si="132"/>
        <v>0</v>
      </c>
      <c r="AH243" s="508">
        <f t="shared" si="133"/>
        <v>0</v>
      </c>
      <c r="AI243" s="508">
        <f t="shared" si="134"/>
        <v>0</v>
      </c>
      <c r="AJ243" s="516"/>
      <c r="AK243" s="519"/>
      <c r="AL243" s="506">
        <f t="shared" si="135"/>
        <v>0</v>
      </c>
      <c r="AM243" s="509">
        <f t="shared" si="136"/>
        <v>0</v>
      </c>
      <c r="AN243" s="518">
        <v>45</v>
      </c>
      <c r="AO243" s="520">
        <v>27</v>
      </c>
      <c r="AP243" s="516">
        <v>25269</v>
      </c>
      <c r="AQ243" s="520">
        <v>25069</v>
      </c>
      <c r="AR243" s="516">
        <v>4847</v>
      </c>
      <c r="AS243" s="520">
        <v>4576</v>
      </c>
      <c r="AT243" s="516">
        <v>26381</v>
      </c>
      <c r="AU243" s="520">
        <v>26178</v>
      </c>
      <c r="AV243" s="506">
        <f t="shared" si="137"/>
        <v>56542</v>
      </c>
      <c r="AW243" s="511">
        <f t="shared" si="138"/>
        <v>2355.9166666666665</v>
      </c>
      <c r="AX243" s="508">
        <f t="shared" si="139"/>
        <v>55850</v>
      </c>
      <c r="AY243" s="512">
        <f t="shared" si="140"/>
        <v>2327.0833333333335</v>
      </c>
      <c r="AZ243" s="513">
        <f t="shared" si="141"/>
        <v>4739.3833333333332</v>
      </c>
      <c r="BA243" s="508">
        <f t="shared" si="142"/>
        <v>4783.5166666666664</v>
      </c>
    </row>
    <row r="244" spans="1:53">
      <c r="A244" s="674" t="s">
        <v>825</v>
      </c>
      <c r="B244" s="675" t="s">
        <v>835</v>
      </c>
      <c r="C244" s="724"/>
      <c r="D244" s="689">
        <v>163338</v>
      </c>
      <c r="E244" s="725">
        <v>4</v>
      </c>
      <c r="F244" s="514" t="s">
        <v>41</v>
      </c>
      <c r="G244" s="515" t="s">
        <v>41</v>
      </c>
      <c r="H244" s="516">
        <v>1412.5</v>
      </c>
      <c r="I244" s="519">
        <v>1432.5</v>
      </c>
      <c r="J244" s="516">
        <v>52785</v>
      </c>
      <c r="K244" s="519">
        <v>50953</v>
      </c>
      <c r="L244" s="516">
        <v>4186</v>
      </c>
      <c r="M244" s="519">
        <v>4366</v>
      </c>
      <c r="N244" s="516">
        <v>55688</v>
      </c>
      <c r="O244" s="519">
        <v>53763</v>
      </c>
      <c r="P244" s="506">
        <f t="shared" si="125"/>
        <v>114071.5</v>
      </c>
      <c r="Q244" s="507">
        <f t="shared" si="126"/>
        <v>3802.3833333333332</v>
      </c>
      <c r="R244" s="508">
        <f t="shared" si="127"/>
        <v>110514.5</v>
      </c>
      <c r="S244" s="509">
        <f t="shared" si="128"/>
        <v>3683.8166666666666</v>
      </c>
      <c r="T244" s="516"/>
      <c r="U244" s="519"/>
      <c r="V244" s="506">
        <f t="shared" si="129"/>
        <v>0</v>
      </c>
      <c r="W244" s="510">
        <f t="shared" si="130"/>
        <v>0</v>
      </c>
      <c r="X244" s="517"/>
      <c r="Y244" s="519"/>
      <c r="Z244" s="516"/>
      <c r="AA244" s="519"/>
      <c r="AB244" s="516"/>
      <c r="AC244" s="519"/>
      <c r="AD244" s="516"/>
      <c r="AE244" s="519"/>
      <c r="AF244" s="506">
        <f t="shared" si="131"/>
        <v>0</v>
      </c>
      <c r="AG244" s="507">
        <f t="shared" si="132"/>
        <v>0</v>
      </c>
      <c r="AH244" s="508">
        <f t="shared" si="133"/>
        <v>0</v>
      </c>
      <c r="AI244" s="508">
        <f t="shared" si="134"/>
        <v>0</v>
      </c>
      <c r="AJ244" s="516"/>
      <c r="AK244" s="519"/>
      <c r="AL244" s="506">
        <f t="shared" si="135"/>
        <v>0</v>
      </c>
      <c r="AM244" s="509">
        <f t="shared" si="136"/>
        <v>0</v>
      </c>
      <c r="AN244" s="518">
        <v>292</v>
      </c>
      <c r="AO244" s="520">
        <v>341</v>
      </c>
      <c r="AP244" s="516">
        <v>5190</v>
      </c>
      <c r="AQ244" s="520">
        <v>6952</v>
      </c>
      <c r="AR244" s="516">
        <v>1261</v>
      </c>
      <c r="AS244" s="520">
        <v>1334</v>
      </c>
      <c r="AT244" s="516">
        <v>7285.5</v>
      </c>
      <c r="AU244" s="520">
        <v>7648.5</v>
      </c>
      <c r="AV244" s="506">
        <f t="shared" si="137"/>
        <v>14028.5</v>
      </c>
      <c r="AW244" s="511">
        <f t="shared" si="138"/>
        <v>584.52083333333337</v>
      </c>
      <c r="AX244" s="508">
        <f t="shared" si="139"/>
        <v>16275.5</v>
      </c>
      <c r="AY244" s="512">
        <f t="shared" si="140"/>
        <v>678.14583333333337</v>
      </c>
      <c r="AZ244" s="513">
        <f t="shared" si="141"/>
        <v>4386.9041666666662</v>
      </c>
      <c r="BA244" s="508">
        <f t="shared" si="142"/>
        <v>4361.9624999999996</v>
      </c>
    </row>
    <row r="245" spans="1:53">
      <c r="A245" s="674" t="s">
        <v>825</v>
      </c>
      <c r="B245" s="677" t="s">
        <v>831</v>
      </c>
      <c r="C245" s="731" t="s">
        <v>853</v>
      </c>
      <c r="D245" s="689">
        <v>162283</v>
      </c>
      <c r="E245" s="732">
        <v>5</v>
      </c>
      <c r="F245" s="514" t="s">
        <v>41</v>
      </c>
      <c r="G245" s="515" t="s">
        <v>41</v>
      </c>
      <c r="H245" s="516">
        <v>858</v>
      </c>
      <c r="I245" s="519">
        <v>431</v>
      </c>
      <c r="J245" s="516">
        <v>41129</v>
      </c>
      <c r="K245" s="519">
        <v>38483</v>
      </c>
      <c r="L245" s="516">
        <v>6593</v>
      </c>
      <c r="M245" s="519">
        <v>5144</v>
      </c>
      <c r="N245" s="516">
        <v>42997</v>
      </c>
      <c r="O245" s="519">
        <v>41635</v>
      </c>
      <c r="P245" s="506">
        <f t="shared" si="125"/>
        <v>91577</v>
      </c>
      <c r="Q245" s="507">
        <f t="shared" si="126"/>
        <v>3052.5666666666666</v>
      </c>
      <c r="R245" s="508">
        <f t="shared" si="127"/>
        <v>85693</v>
      </c>
      <c r="S245" s="509">
        <f t="shared" si="128"/>
        <v>2856.4333333333334</v>
      </c>
      <c r="T245" s="516"/>
      <c r="U245" s="519"/>
      <c r="V245" s="506">
        <f t="shared" si="129"/>
        <v>0</v>
      </c>
      <c r="W245" s="510">
        <f t="shared" si="130"/>
        <v>0</v>
      </c>
      <c r="X245" s="517"/>
      <c r="Y245" s="519"/>
      <c r="Z245" s="516"/>
      <c r="AA245" s="519"/>
      <c r="AB245" s="516"/>
      <c r="AC245" s="519"/>
      <c r="AD245" s="516"/>
      <c r="AE245" s="519"/>
      <c r="AF245" s="506">
        <f t="shared" si="131"/>
        <v>0</v>
      </c>
      <c r="AG245" s="507">
        <f t="shared" si="132"/>
        <v>0</v>
      </c>
      <c r="AH245" s="508">
        <f t="shared" si="133"/>
        <v>0</v>
      </c>
      <c r="AI245" s="508">
        <f t="shared" si="134"/>
        <v>0</v>
      </c>
      <c r="AJ245" s="516"/>
      <c r="AK245" s="519"/>
      <c r="AL245" s="506">
        <f t="shared" si="135"/>
        <v>0</v>
      </c>
      <c r="AM245" s="509">
        <f t="shared" si="136"/>
        <v>0</v>
      </c>
      <c r="AN245" s="518">
        <v>150</v>
      </c>
      <c r="AO245" s="520">
        <v>56</v>
      </c>
      <c r="AP245" s="516">
        <v>3230</v>
      </c>
      <c r="AQ245" s="520">
        <v>3169</v>
      </c>
      <c r="AR245" s="516">
        <v>577</v>
      </c>
      <c r="AS245" s="520">
        <v>335</v>
      </c>
      <c r="AT245" s="516">
        <v>2909</v>
      </c>
      <c r="AU245" s="520">
        <v>2705</v>
      </c>
      <c r="AV245" s="506">
        <f t="shared" si="137"/>
        <v>6866</v>
      </c>
      <c r="AW245" s="511">
        <f t="shared" si="138"/>
        <v>286.08333333333331</v>
      </c>
      <c r="AX245" s="508">
        <f t="shared" si="139"/>
        <v>6265</v>
      </c>
      <c r="AY245" s="512">
        <f t="shared" si="140"/>
        <v>261.04166666666669</v>
      </c>
      <c r="AZ245" s="513">
        <f t="shared" si="141"/>
        <v>3338.65</v>
      </c>
      <c r="BA245" s="508">
        <f t="shared" si="142"/>
        <v>3117.4749999999999</v>
      </c>
    </row>
    <row r="246" spans="1:53">
      <c r="A246" s="674" t="s">
        <v>825</v>
      </c>
      <c r="B246" s="677" t="s">
        <v>836</v>
      </c>
      <c r="C246" s="724"/>
      <c r="D246" s="689">
        <v>163912</v>
      </c>
      <c r="E246" s="725">
        <v>6</v>
      </c>
      <c r="F246" s="514" t="s">
        <v>41</v>
      </c>
      <c r="G246" s="515" t="s">
        <v>41</v>
      </c>
      <c r="H246" s="516">
        <v>0</v>
      </c>
      <c r="I246" s="519"/>
      <c r="J246" s="516">
        <v>30983.5</v>
      </c>
      <c r="K246" s="519">
        <v>31178</v>
      </c>
      <c r="L246" s="516">
        <v>1368</v>
      </c>
      <c r="M246" s="519">
        <v>538</v>
      </c>
      <c r="N246" s="516">
        <v>32801</v>
      </c>
      <c r="O246" s="519">
        <v>31951</v>
      </c>
      <c r="P246" s="506">
        <f t="shared" si="125"/>
        <v>65152.5</v>
      </c>
      <c r="Q246" s="507">
        <f t="shared" si="126"/>
        <v>2171.75</v>
      </c>
      <c r="R246" s="508">
        <f t="shared" si="127"/>
        <v>63667</v>
      </c>
      <c r="S246" s="509">
        <f t="shared" si="128"/>
        <v>2122.2333333333331</v>
      </c>
      <c r="T246" s="516"/>
      <c r="U246" s="519"/>
      <c r="V246" s="506">
        <f t="shared" si="129"/>
        <v>0</v>
      </c>
      <c r="W246" s="510">
        <f t="shared" si="130"/>
        <v>0</v>
      </c>
      <c r="X246" s="517"/>
      <c r="Y246" s="519"/>
      <c r="Z246" s="516"/>
      <c r="AA246" s="519"/>
      <c r="AB246" s="516"/>
      <c r="AC246" s="519"/>
      <c r="AD246" s="516"/>
      <c r="AE246" s="519"/>
      <c r="AF246" s="506">
        <f t="shared" si="131"/>
        <v>0</v>
      </c>
      <c r="AG246" s="507">
        <f t="shared" si="132"/>
        <v>0</v>
      </c>
      <c r="AH246" s="508">
        <f t="shared" si="133"/>
        <v>0</v>
      </c>
      <c r="AI246" s="508">
        <f t="shared" si="134"/>
        <v>0</v>
      </c>
      <c r="AJ246" s="516"/>
      <c r="AK246" s="519"/>
      <c r="AL246" s="506">
        <f t="shared" si="135"/>
        <v>0</v>
      </c>
      <c r="AM246" s="509">
        <f t="shared" si="136"/>
        <v>0</v>
      </c>
      <c r="AN246" s="518">
        <v>0</v>
      </c>
      <c r="AO246" s="520"/>
      <c r="AP246" s="516">
        <v>640</v>
      </c>
      <c r="AQ246" s="520">
        <v>545</v>
      </c>
      <c r="AR246" s="516">
        <v>433</v>
      </c>
      <c r="AS246" s="520">
        <v>85</v>
      </c>
      <c r="AT246" s="516">
        <v>504</v>
      </c>
      <c r="AU246" s="520">
        <v>503</v>
      </c>
      <c r="AV246" s="506">
        <f t="shared" si="137"/>
        <v>1577</v>
      </c>
      <c r="AW246" s="511">
        <f t="shared" si="138"/>
        <v>65.708333333333329</v>
      </c>
      <c r="AX246" s="508">
        <f t="shared" si="139"/>
        <v>1133</v>
      </c>
      <c r="AY246" s="512">
        <f t="shared" si="140"/>
        <v>47.208333333333336</v>
      </c>
      <c r="AZ246" s="513">
        <f t="shared" si="141"/>
        <v>2237.4583333333335</v>
      </c>
      <c r="BA246" s="508">
        <f t="shared" si="142"/>
        <v>2169.4416666666666</v>
      </c>
    </row>
    <row r="247" spans="1:53">
      <c r="A247" s="674" t="s">
        <v>825</v>
      </c>
      <c r="B247" s="675" t="s">
        <v>837</v>
      </c>
      <c r="C247" s="724"/>
      <c r="D247" s="689">
        <v>161767</v>
      </c>
      <c r="E247" s="678">
        <v>8</v>
      </c>
      <c r="F247" s="514" t="s">
        <v>41</v>
      </c>
      <c r="G247" s="515" t="s">
        <v>41</v>
      </c>
      <c r="H247" s="516">
        <v>3846</v>
      </c>
      <c r="I247" s="519">
        <v>4135</v>
      </c>
      <c r="J247" s="516">
        <v>139707</v>
      </c>
      <c r="K247" s="519">
        <v>137168.5</v>
      </c>
      <c r="L247" s="516">
        <v>35448</v>
      </c>
      <c r="M247" s="519">
        <v>34122.5</v>
      </c>
      <c r="N247" s="516">
        <v>152723</v>
      </c>
      <c r="O247" s="519">
        <v>148857</v>
      </c>
      <c r="P247" s="506">
        <f t="shared" si="125"/>
        <v>331724</v>
      </c>
      <c r="Q247" s="507">
        <f t="shared" si="126"/>
        <v>11057.466666666667</v>
      </c>
      <c r="R247" s="508">
        <f t="shared" si="127"/>
        <v>324283</v>
      </c>
      <c r="S247" s="509">
        <f t="shared" si="128"/>
        <v>10809.433333333332</v>
      </c>
      <c r="T247" s="516"/>
      <c r="U247" s="519"/>
      <c r="V247" s="506">
        <f t="shared" si="129"/>
        <v>0</v>
      </c>
      <c r="W247" s="510">
        <f t="shared" si="130"/>
        <v>0</v>
      </c>
      <c r="X247" s="517"/>
      <c r="Y247" s="519"/>
      <c r="Z247" s="516"/>
      <c r="AA247" s="519"/>
      <c r="AB247" s="516"/>
      <c r="AC247" s="519"/>
      <c r="AD247" s="516"/>
      <c r="AE247" s="519"/>
      <c r="AF247" s="506">
        <f t="shared" si="131"/>
        <v>0</v>
      </c>
      <c r="AG247" s="507">
        <f t="shared" si="132"/>
        <v>0</v>
      </c>
      <c r="AH247" s="508">
        <f t="shared" si="133"/>
        <v>0</v>
      </c>
      <c r="AI247" s="508">
        <f t="shared" si="134"/>
        <v>0</v>
      </c>
      <c r="AJ247" s="516"/>
      <c r="AK247" s="519"/>
      <c r="AL247" s="506">
        <f t="shared" si="135"/>
        <v>0</v>
      </c>
      <c r="AM247" s="509">
        <f t="shared" si="136"/>
        <v>0</v>
      </c>
      <c r="AN247" s="518"/>
      <c r="AO247" s="520"/>
      <c r="AP247" s="516"/>
      <c r="AQ247" s="520"/>
      <c r="AR247" s="516"/>
      <c r="AS247" s="520"/>
      <c r="AT247" s="516"/>
      <c r="AU247" s="520"/>
      <c r="AV247" s="506">
        <f t="shared" si="137"/>
        <v>0</v>
      </c>
      <c r="AW247" s="511">
        <f t="shared" si="138"/>
        <v>0</v>
      </c>
      <c r="AX247" s="508">
        <f t="shared" si="139"/>
        <v>0</v>
      </c>
      <c r="AY247" s="512">
        <f t="shared" si="140"/>
        <v>0</v>
      </c>
      <c r="AZ247" s="513">
        <f t="shared" si="141"/>
        <v>11057.466666666667</v>
      </c>
      <c r="BA247" s="508">
        <f t="shared" si="142"/>
        <v>10809.433333333332</v>
      </c>
    </row>
    <row r="248" spans="1:53">
      <c r="A248" s="674" t="s">
        <v>825</v>
      </c>
      <c r="B248" s="677" t="s">
        <v>838</v>
      </c>
      <c r="C248" s="726"/>
      <c r="D248" s="689">
        <v>162122</v>
      </c>
      <c r="E248" s="687">
        <v>8</v>
      </c>
      <c r="F248" s="514" t="s">
        <v>41</v>
      </c>
      <c r="G248" s="515" t="s">
        <v>41</v>
      </c>
      <c r="H248" s="516">
        <v>0</v>
      </c>
      <c r="I248" s="519"/>
      <c r="J248" s="516">
        <v>72079</v>
      </c>
      <c r="K248" s="519">
        <v>74859</v>
      </c>
      <c r="L248" s="516">
        <v>16515</v>
      </c>
      <c r="M248" s="519">
        <v>16741</v>
      </c>
      <c r="N248" s="516">
        <v>81013</v>
      </c>
      <c r="O248" s="519">
        <v>80518</v>
      </c>
      <c r="P248" s="506">
        <f t="shared" si="125"/>
        <v>169607</v>
      </c>
      <c r="Q248" s="507">
        <f t="shared" si="126"/>
        <v>5653.5666666666666</v>
      </c>
      <c r="R248" s="508">
        <f t="shared" si="127"/>
        <v>172118</v>
      </c>
      <c r="S248" s="509">
        <f t="shared" si="128"/>
        <v>5737.2666666666664</v>
      </c>
      <c r="T248" s="516"/>
      <c r="U248" s="519"/>
      <c r="V248" s="506">
        <f t="shared" si="129"/>
        <v>0</v>
      </c>
      <c r="W248" s="510">
        <f t="shared" si="130"/>
        <v>0</v>
      </c>
      <c r="X248" s="517"/>
      <c r="Y248" s="519"/>
      <c r="Z248" s="516"/>
      <c r="AA248" s="519"/>
      <c r="AB248" s="516"/>
      <c r="AC248" s="519"/>
      <c r="AD248" s="516"/>
      <c r="AE248" s="519"/>
      <c r="AF248" s="506">
        <f t="shared" si="131"/>
        <v>0</v>
      </c>
      <c r="AG248" s="507">
        <f t="shared" si="132"/>
        <v>0</v>
      </c>
      <c r="AH248" s="508">
        <f t="shared" si="133"/>
        <v>0</v>
      </c>
      <c r="AI248" s="508">
        <f t="shared" si="134"/>
        <v>0</v>
      </c>
      <c r="AJ248" s="516"/>
      <c r="AK248" s="519"/>
      <c r="AL248" s="506">
        <f t="shared" si="135"/>
        <v>0</v>
      </c>
      <c r="AM248" s="509">
        <f t="shared" si="136"/>
        <v>0</v>
      </c>
      <c r="AN248" s="518"/>
      <c r="AO248" s="520"/>
      <c r="AP248" s="516"/>
      <c r="AQ248" s="520"/>
      <c r="AR248" s="516"/>
      <c r="AS248" s="520"/>
      <c r="AT248" s="516"/>
      <c r="AU248" s="520"/>
      <c r="AV248" s="506">
        <f t="shared" si="137"/>
        <v>0</v>
      </c>
      <c r="AW248" s="511">
        <f t="shared" si="138"/>
        <v>0</v>
      </c>
      <c r="AX248" s="508">
        <f t="shared" si="139"/>
        <v>0</v>
      </c>
      <c r="AY248" s="512">
        <f t="shared" si="140"/>
        <v>0</v>
      </c>
      <c r="AZ248" s="513">
        <f t="shared" si="141"/>
        <v>5653.5666666666666</v>
      </c>
      <c r="BA248" s="508">
        <f t="shared" si="142"/>
        <v>5737.2666666666664</v>
      </c>
    </row>
    <row r="249" spans="1:53">
      <c r="A249" s="674" t="s">
        <v>825</v>
      </c>
      <c r="B249" s="675" t="s">
        <v>839</v>
      </c>
      <c r="C249" s="724"/>
      <c r="D249" s="689">
        <v>434672</v>
      </c>
      <c r="E249" s="678">
        <v>8</v>
      </c>
      <c r="F249" s="514" t="s">
        <v>41</v>
      </c>
      <c r="G249" s="515" t="s">
        <v>41</v>
      </c>
      <c r="H249" s="516">
        <v>9757</v>
      </c>
      <c r="I249" s="519">
        <v>11107</v>
      </c>
      <c r="J249" s="516">
        <v>200719.5</v>
      </c>
      <c r="K249" s="519">
        <v>198161</v>
      </c>
      <c r="L249" s="516">
        <v>44985.5</v>
      </c>
      <c r="M249" s="519">
        <v>40957.5</v>
      </c>
      <c r="N249" s="516">
        <v>227945.5</v>
      </c>
      <c r="O249" s="519">
        <v>217863.5</v>
      </c>
      <c r="P249" s="506">
        <f t="shared" si="125"/>
        <v>483407.5</v>
      </c>
      <c r="Q249" s="507">
        <f t="shared" si="126"/>
        <v>16113.583333333334</v>
      </c>
      <c r="R249" s="508">
        <f t="shared" si="127"/>
        <v>468089</v>
      </c>
      <c r="S249" s="509">
        <f t="shared" si="128"/>
        <v>15602.966666666667</v>
      </c>
      <c r="T249" s="516"/>
      <c r="U249" s="519"/>
      <c r="V249" s="506">
        <f t="shared" si="129"/>
        <v>0</v>
      </c>
      <c r="W249" s="510">
        <f t="shared" si="130"/>
        <v>0</v>
      </c>
      <c r="X249" s="517"/>
      <c r="Y249" s="519"/>
      <c r="Z249" s="516"/>
      <c r="AA249" s="519"/>
      <c r="AB249" s="516"/>
      <c r="AC249" s="519"/>
      <c r="AD249" s="516"/>
      <c r="AE249" s="519"/>
      <c r="AF249" s="506">
        <f t="shared" si="131"/>
        <v>0</v>
      </c>
      <c r="AG249" s="507">
        <f t="shared" si="132"/>
        <v>0</v>
      </c>
      <c r="AH249" s="508">
        <f t="shared" si="133"/>
        <v>0</v>
      </c>
      <c r="AI249" s="508">
        <f t="shared" si="134"/>
        <v>0</v>
      </c>
      <c r="AJ249" s="516"/>
      <c r="AK249" s="519"/>
      <c r="AL249" s="506">
        <f t="shared" si="135"/>
        <v>0</v>
      </c>
      <c r="AM249" s="509">
        <f t="shared" si="136"/>
        <v>0</v>
      </c>
      <c r="AN249" s="518"/>
      <c r="AO249" s="520"/>
      <c r="AP249" s="516"/>
      <c r="AQ249" s="520"/>
      <c r="AR249" s="516"/>
      <c r="AS249" s="520"/>
      <c r="AT249" s="516"/>
      <c r="AU249" s="520"/>
      <c r="AV249" s="506">
        <f t="shared" si="137"/>
        <v>0</v>
      </c>
      <c r="AW249" s="511">
        <f t="shared" si="138"/>
        <v>0</v>
      </c>
      <c r="AX249" s="508">
        <f t="shared" si="139"/>
        <v>0</v>
      </c>
      <c r="AY249" s="512">
        <f t="shared" si="140"/>
        <v>0</v>
      </c>
      <c r="AZ249" s="513">
        <f t="shared" si="141"/>
        <v>16113.583333333334</v>
      </c>
      <c r="BA249" s="508">
        <f t="shared" si="142"/>
        <v>15602.966666666667</v>
      </c>
    </row>
    <row r="250" spans="1:53">
      <c r="A250" s="674" t="s">
        <v>825</v>
      </c>
      <c r="B250" s="677" t="s">
        <v>840</v>
      </c>
      <c r="C250" s="726"/>
      <c r="D250" s="689">
        <v>162779</v>
      </c>
      <c r="E250" s="687">
        <v>8</v>
      </c>
      <c r="F250" s="514" t="s">
        <v>41</v>
      </c>
      <c r="G250" s="515" t="s">
        <v>41</v>
      </c>
      <c r="H250" s="516">
        <v>6247</v>
      </c>
      <c r="I250" s="519">
        <v>6540</v>
      </c>
      <c r="J250" s="516">
        <v>77777</v>
      </c>
      <c r="K250" s="519">
        <v>79799</v>
      </c>
      <c r="L250" s="516">
        <v>18888</v>
      </c>
      <c r="M250" s="519">
        <v>19276</v>
      </c>
      <c r="N250" s="516">
        <v>88315</v>
      </c>
      <c r="O250" s="519">
        <v>88831</v>
      </c>
      <c r="P250" s="506">
        <f t="shared" si="125"/>
        <v>191227</v>
      </c>
      <c r="Q250" s="507">
        <f t="shared" si="126"/>
        <v>6374.2333333333336</v>
      </c>
      <c r="R250" s="508">
        <f t="shared" si="127"/>
        <v>194446</v>
      </c>
      <c r="S250" s="509">
        <f t="shared" si="128"/>
        <v>6481.5333333333338</v>
      </c>
      <c r="T250" s="516"/>
      <c r="U250" s="519"/>
      <c r="V250" s="506">
        <f t="shared" si="129"/>
        <v>0</v>
      </c>
      <c r="W250" s="510">
        <f t="shared" si="130"/>
        <v>0</v>
      </c>
      <c r="X250" s="517"/>
      <c r="Y250" s="519"/>
      <c r="Z250" s="516"/>
      <c r="AA250" s="519"/>
      <c r="AB250" s="516"/>
      <c r="AC250" s="519"/>
      <c r="AD250" s="516"/>
      <c r="AE250" s="519"/>
      <c r="AF250" s="506">
        <f t="shared" si="131"/>
        <v>0</v>
      </c>
      <c r="AG250" s="507">
        <f t="shared" si="132"/>
        <v>0</v>
      </c>
      <c r="AH250" s="508">
        <f t="shared" si="133"/>
        <v>0</v>
      </c>
      <c r="AI250" s="508">
        <f t="shared" si="134"/>
        <v>0</v>
      </c>
      <c r="AJ250" s="516"/>
      <c r="AK250" s="519"/>
      <c r="AL250" s="506">
        <f t="shared" si="135"/>
        <v>0</v>
      </c>
      <c r="AM250" s="509">
        <f t="shared" si="136"/>
        <v>0</v>
      </c>
      <c r="AN250" s="518"/>
      <c r="AO250" s="520"/>
      <c r="AP250" s="516"/>
      <c r="AQ250" s="520"/>
      <c r="AR250" s="516"/>
      <c r="AS250" s="520"/>
      <c r="AT250" s="516"/>
      <c r="AU250" s="520"/>
      <c r="AV250" s="506">
        <f t="shared" si="137"/>
        <v>0</v>
      </c>
      <c r="AW250" s="511">
        <f t="shared" si="138"/>
        <v>0</v>
      </c>
      <c r="AX250" s="508">
        <f t="shared" si="139"/>
        <v>0</v>
      </c>
      <c r="AY250" s="512">
        <f t="shared" si="140"/>
        <v>0</v>
      </c>
      <c r="AZ250" s="513">
        <f t="shared" si="141"/>
        <v>6374.2333333333336</v>
      </c>
      <c r="BA250" s="508">
        <f t="shared" si="142"/>
        <v>6481.5333333333338</v>
      </c>
    </row>
    <row r="251" spans="1:53" ht="15.75" customHeight="1">
      <c r="A251" s="674" t="s">
        <v>825</v>
      </c>
      <c r="B251" s="675" t="s">
        <v>841</v>
      </c>
      <c r="C251" s="724"/>
      <c r="D251" s="689">
        <v>163426</v>
      </c>
      <c r="E251" s="678">
        <v>8</v>
      </c>
      <c r="F251" s="514" t="s">
        <v>41</v>
      </c>
      <c r="G251" s="515" t="s">
        <v>41</v>
      </c>
      <c r="H251" s="516">
        <v>4081</v>
      </c>
      <c r="I251" s="519">
        <v>4482</v>
      </c>
      <c r="J251" s="516">
        <v>224555</v>
      </c>
      <c r="K251" s="519">
        <v>302180.2</v>
      </c>
      <c r="L251" s="516">
        <v>63899</v>
      </c>
      <c r="M251" s="519">
        <v>163984.6</v>
      </c>
      <c r="N251" s="516">
        <v>246464</v>
      </c>
      <c r="O251" s="519">
        <v>315400.7</v>
      </c>
      <c r="P251" s="506">
        <f t="shared" si="125"/>
        <v>538999</v>
      </c>
      <c r="Q251" s="507">
        <f t="shared" si="126"/>
        <v>17966.633333333335</v>
      </c>
      <c r="R251" s="508">
        <f t="shared" si="127"/>
        <v>786047.5</v>
      </c>
      <c r="S251" s="509">
        <f t="shared" si="128"/>
        <v>26201.583333333332</v>
      </c>
      <c r="T251" s="516"/>
      <c r="U251" s="519"/>
      <c r="V251" s="506">
        <f t="shared" si="129"/>
        <v>0</v>
      </c>
      <c r="W251" s="510">
        <f t="shared" si="130"/>
        <v>0</v>
      </c>
      <c r="X251" s="517"/>
      <c r="Y251" s="519"/>
      <c r="Z251" s="516"/>
      <c r="AA251" s="519"/>
      <c r="AB251" s="516"/>
      <c r="AC251" s="519"/>
      <c r="AD251" s="516"/>
      <c r="AE251" s="519"/>
      <c r="AF251" s="506">
        <f t="shared" si="131"/>
        <v>0</v>
      </c>
      <c r="AG251" s="507">
        <f t="shared" si="132"/>
        <v>0</v>
      </c>
      <c r="AH251" s="508">
        <f t="shared" si="133"/>
        <v>0</v>
      </c>
      <c r="AI251" s="508">
        <f t="shared" si="134"/>
        <v>0</v>
      </c>
      <c r="AJ251" s="516"/>
      <c r="AK251" s="519"/>
      <c r="AL251" s="506">
        <f t="shared" si="135"/>
        <v>0</v>
      </c>
      <c r="AM251" s="509">
        <f t="shared" si="136"/>
        <v>0</v>
      </c>
      <c r="AN251" s="518"/>
      <c r="AO251" s="520"/>
      <c r="AP251" s="516"/>
      <c r="AQ251" s="520"/>
      <c r="AR251" s="516"/>
      <c r="AS251" s="520"/>
      <c r="AT251" s="516"/>
      <c r="AU251" s="520"/>
      <c r="AV251" s="506">
        <f t="shared" si="137"/>
        <v>0</v>
      </c>
      <c r="AW251" s="511">
        <f t="shared" si="138"/>
        <v>0</v>
      </c>
      <c r="AX251" s="508">
        <f t="shared" si="139"/>
        <v>0</v>
      </c>
      <c r="AY251" s="512">
        <f t="shared" si="140"/>
        <v>0</v>
      </c>
      <c r="AZ251" s="513">
        <f t="shared" si="141"/>
        <v>17966.633333333335</v>
      </c>
      <c r="BA251" s="508">
        <f t="shared" si="142"/>
        <v>26201.583333333332</v>
      </c>
    </row>
    <row r="252" spans="1:53" ht="15.75" customHeight="1">
      <c r="A252" s="674" t="s">
        <v>825</v>
      </c>
      <c r="B252" s="675" t="s">
        <v>842</v>
      </c>
      <c r="C252" s="724"/>
      <c r="D252" s="689">
        <v>163657</v>
      </c>
      <c r="E252" s="678">
        <v>8</v>
      </c>
      <c r="F252" s="514" t="s">
        <v>41</v>
      </c>
      <c r="G252" s="515" t="s">
        <v>41</v>
      </c>
      <c r="H252" s="516">
        <v>0</v>
      </c>
      <c r="I252" s="519"/>
      <c r="J252" s="516">
        <v>164335</v>
      </c>
      <c r="K252" s="519">
        <v>165584</v>
      </c>
      <c r="L252" s="516">
        <v>59441</v>
      </c>
      <c r="M252" s="519">
        <v>52135</v>
      </c>
      <c r="N252" s="516">
        <v>167408</v>
      </c>
      <c r="O252" s="519">
        <v>161132</v>
      </c>
      <c r="P252" s="506">
        <f t="shared" si="125"/>
        <v>391184</v>
      </c>
      <c r="Q252" s="507">
        <f t="shared" si="126"/>
        <v>13039.466666666667</v>
      </c>
      <c r="R252" s="508">
        <f t="shared" si="127"/>
        <v>378851</v>
      </c>
      <c r="S252" s="509">
        <f t="shared" si="128"/>
        <v>12628.366666666667</v>
      </c>
      <c r="T252" s="516"/>
      <c r="U252" s="519"/>
      <c r="V252" s="506">
        <f t="shared" si="129"/>
        <v>0</v>
      </c>
      <c r="W252" s="510">
        <f t="shared" si="130"/>
        <v>0</v>
      </c>
      <c r="X252" s="517"/>
      <c r="Y252" s="519"/>
      <c r="Z252" s="516"/>
      <c r="AA252" s="519"/>
      <c r="AB252" s="516"/>
      <c r="AC252" s="519"/>
      <c r="AD252" s="516"/>
      <c r="AE252" s="519"/>
      <c r="AF252" s="506">
        <f t="shared" si="131"/>
        <v>0</v>
      </c>
      <c r="AG252" s="507">
        <f t="shared" si="132"/>
        <v>0</v>
      </c>
      <c r="AH252" s="508">
        <f t="shared" si="133"/>
        <v>0</v>
      </c>
      <c r="AI252" s="508">
        <f t="shared" si="134"/>
        <v>0</v>
      </c>
      <c r="AJ252" s="516"/>
      <c r="AK252" s="519"/>
      <c r="AL252" s="506">
        <f t="shared" si="135"/>
        <v>0</v>
      </c>
      <c r="AM252" s="509">
        <f t="shared" si="136"/>
        <v>0</v>
      </c>
      <c r="AN252" s="518"/>
      <c r="AO252" s="520"/>
      <c r="AP252" s="516"/>
      <c r="AQ252" s="520"/>
      <c r="AR252" s="516"/>
      <c r="AS252" s="520"/>
      <c r="AT252" s="516"/>
      <c r="AU252" s="520"/>
      <c r="AV252" s="506">
        <f t="shared" si="137"/>
        <v>0</v>
      </c>
      <c r="AW252" s="511">
        <f t="shared" si="138"/>
        <v>0</v>
      </c>
      <c r="AX252" s="508">
        <f t="shared" si="139"/>
        <v>0</v>
      </c>
      <c r="AY252" s="512">
        <f t="shared" si="140"/>
        <v>0</v>
      </c>
      <c r="AZ252" s="513">
        <f t="shared" si="141"/>
        <v>13039.466666666667</v>
      </c>
      <c r="BA252" s="508">
        <f t="shared" si="142"/>
        <v>12628.366666666667</v>
      </c>
    </row>
    <row r="253" spans="1:53" ht="15.75" customHeight="1">
      <c r="A253" s="674" t="s">
        <v>825</v>
      </c>
      <c r="B253" s="675" t="s">
        <v>843</v>
      </c>
      <c r="C253" s="724"/>
      <c r="D253" s="727">
        <v>161688</v>
      </c>
      <c r="E253" s="728">
        <v>9</v>
      </c>
      <c r="F253" s="514" t="s">
        <v>41</v>
      </c>
      <c r="G253" s="515" t="s">
        <v>41</v>
      </c>
      <c r="H253" s="516">
        <v>0</v>
      </c>
      <c r="I253" s="519"/>
      <c r="J253" s="516">
        <v>36965</v>
      </c>
      <c r="K253" s="519">
        <v>34173</v>
      </c>
      <c r="L253" s="516">
        <v>5220</v>
      </c>
      <c r="M253" s="519">
        <v>5196</v>
      </c>
      <c r="N253" s="516">
        <v>37813</v>
      </c>
      <c r="O253" s="519">
        <v>36258</v>
      </c>
      <c r="P253" s="506">
        <f t="shared" si="125"/>
        <v>79998</v>
      </c>
      <c r="Q253" s="507">
        <f t="shared" si="126"/>
        <v>2666.6</v>
      </c>
      <c r="R253" s="508">
        <f t="shared" si="127"/>
        <v>75627</v>
      </c>
      <c r="S253" s="509">
        <f t="shared" si="128"/>
        <v>2520.9</v>
      </c>
      <c r="T253" s="516"/>
      <c r="U253" s="519"/>
      <c r="V253" s="506">
        <f t="shared" si="129"/>
        <v>0</v>
      </c>
      <c r="W253" s="510">
        <f t="shared" si="130"/>
        <v>0</v>
      </c>
      <c r="X253" s="517"/>
      <c r="Y253" s="519"/>
      <c r="Z253" s="516"/>
      <c r="AA253" s="519"/>
      <c r="AB253" s="516"/>
      <c r="AC253" s="519"/>
      <c r="AD253" s="516"/>
      <c r="AE253" s="519"/>
      <c r="AF253" s="506">
        <f t="shared" si="131"/>
        <v>0</v>
      </c>
      <c r="AG253" s="507">
        <f t="shared" si="132"/>
        <v>0</v>
      </c>
      <c r="AH253" s="508">
        <f t="shared" si="133"/>
        <v>0</v>
      </c>
      <c r="AI253" s="508">
        <f t="shared" si="134"/>
        <v>0</v>
      </c>
      <c r="AJ253" s="516"/>
      <c r="AK253" s="519"/>
      <c r="AL253" s="506">
        <f t="shared" si="135"/>
        <v>0</v>
      </c>
      <c r="AM253" s="509">
        <f t="shared" si="136"/>
        <v>0</v>
      </c>
      <c r="AN253" s="518"/>
      <c r="AO253" s="520"/>
      <c r="AP253" s="516"/>
      <c r="AQ253" s="520"/>
      <c r="AR253" s="516"/>
      <c r="AS253" s="520"/>
      <c r="AT253" s="516"/>
      <c r="AU253" s="520"/>
      <c r="AV253" s="506">
        <f t="shared" si="137"/>
        <v>0</v>
      </c>
      <c r="AW253" s="511">
        <f t="shared" si="138"/>
        <v>0</v>
      </c>
      <c r="AX253" s="508">
        <f t="shared" si="139"/>
        <v>0</v>
      </c>
      <c r="AY253" s="512">
        <f t="shared" si="140"/>
        <v>0</v>
      </c>
      <c r="AZ253" s="513">
        <f t="shared" si="141"/>
        <v>2666.6</v>
      </c>
      <c r="BA253" s="508">
        <f t="shared" si="142"/>
        <v>2520.9</v>
      </c>
    </row>
    <row r="254" spans="1:53" ht="15.75" customHeight="1">
      <c r="A254" s="674" t="s">
        <v>825</v>
      </c>
      <c r="B254" s="675" t="s">
        <v>844</v>
      </c>
      <c r="C254" s="724"/>
      <c r="D254" s="689">
        <v>161864</v>
      </c>
      <c r="E254" s="678">
        <v>9</v>
      </c>
      <c r="F254" s="514" t="s">
        <v>41</v>
      </c>
      <c r="G254" s="515" t="s">
        <v>41</v>
      </c>
      <c r="H254" s="516">
        <v>2197</v>
      </c>
      <c r="I254" s="519">
        <v>1619</v>
      </c>
      <c r="J254" s="516">
        <v>67223</v>
      </c>
      <c r="K254" s="519">
        <v>44922</v>
      </c>
      <c r="L254" s="516">
        <v>13362</v>
      </c>
      <c r="M254" s="519">
        <v>8584</v>
      </c>
      <c r="N254" s="516">
        <v>68377</v>
      </c>
      <c r="O254" s="519">
        <v>50293</v>
      </c>
      <c r="P254" s="506">
        <f t="shared" si="125"/>
        <v>151159</v>
      </c>
      <c r="Q254" s="507">
        <f t="shared" si="126"/>
        <v>5038.6333333333332</v>
      </c>
      <c r="R254" s="508">
        <f t="shared" si="127"/>
        <v>105418</v>
      </c>
      <c r="S254" s="509">
        <f t="shared" si="128"/>
        <v>3513.9333333333334</v>
      </c>
      <c r="T254" s="516"/>
      <c r="U254" s="519"/>
      <c r="V254" s="506">
        <f t="shared" si="129"/>
        <v>0</v>
      </c>
      <c r="W254" s="510">
        <f t="shared" si="130"/>
        <v>0</v>
      </c>
      <c r="X254" s="517"/>
      <c r="Y254" s="519"/>
      <c r="Z254" s="516"/>
      <c r="AA254" s="519"/>
      <c r="AB254" s="516"/>
      <c r="AC254" s="519"/>
      <c r="AD254" s="516"/>
      <c r="AE254" s="519"/>
      <c r="AF254" s="506">
        <f t="shared" si="131"/>
        <v>0</v>
      </c>
      <c r="AG254" s="507">
        <f t="shared" si="132"/>
        <v>0</v>
      </c>
      <c r="AH254" s="508">
        <f t="shared" si="133"/>
        <v>0</v>
      </c>
      <c r="AI254" s="508">
        <f t="shared" si="134"/>
        <v>0</v>
      </c>
      <c r="AJ254" s="516"/>
      <c r="AK254" s="519"/>
      <c r="AL254" s="506">
        <f t="shared" si="135"/>
        <v>0</v>
      </c>
      <c r="AM254" s="509">
        <f t="shared" si="136"/>
        <v>0</v>
      </c>
      <c r="AN254" s="518"/>
      <c r="AO254" s="520"/>
      <c r="AP254" s="516"/>
      <c r="AQ254" s="520"/>
      <c r="AR254" s="516"/>
      <c r="AS254" s="520"/>
      <c r="AT254" s="516"/>
      <c r="AU254" s="520"/>
      <c r="AV254" s="506">
        <f t="shared" si="137"/>
        <v>0</v>
      </c>
      <c r="AW254" s="511">
        <f t="shared" si="138"/>
        <v>0</v>
      </c>
      <c r="AX254" s="508">
        <f t="shared" si="139"/>
        <v>0</v>
      </c>
      <c r="AY254" s="512">
        <f t="shared" si="140"/>
        <v>0</v>
      </c>
      <c r="AZ254" s="513">
        <f t="shared" si="141"/>
        <v>5038.6333333333332</v>
      </c>
      <c r="BA254" s="508">
        <f t="shared" si="142"/>
        <v>3513.9333333333334</v>
      </c>
    </row>
    <row r="255" spans="1:53" ht="15.75" customHeight="1">
      <c r="A255" s="674" t="s">
        <v>825</v>
      </c>
      <c r="B255" s="729" t="s">
        <v>845</v>
      </c>
      <c r="C255" s="730"/>
      <c r="D255" s="686">
        <v>405872</v>
      </c>
      <c r="E255" s="678">
        <v>9</v>
      </c>
      <c r="F255" s="514" t="s">
        <v>41</v>
      </c>
      <c r="G255" s="515" t="s">
        <v>41</v>
      </c>
      <c r="H255" s="516">
        <v>1916.5</v>
      </c>
      <c r="I255" s="519">
        <v>2066.5</v>
      </c>
      <c r="J255" s="516">
        <v>35060</v>
      </c>
      <c r="K255" s="519">
        <v>33666</v>
      </c>
      <c r="L255" s="516">
        <v>6582</v>
      </c>
      <c r="M255" s="519">
        <v>9631.5</v>
      </c>
      <c r="N255" s="516">
        <v>38335</v>
      </c>
      <c r="O255" s="519">
        <v>38552</v>
      </c>
      <c r="P255" s="506">
        <f t="shared" si="125"/>
        <v>81893.5</v>
      </c>
      <c r="Q255" s="507">
        <f t="shared" si="126"/>
        <v>2729.7833333333333</v>
      </c>
      <c r="R255" s="508">
        <f t="shared" si="127"/>
        <v>83916</v>
      </c>
      <c r="S255" s="509">
        <f t="shared" si="128"/>
        <v>2797.2</v>
      </c>
      <c r="T255" s="516"/>
      <c r="U255" s="519"/>
      <c r="V255" s="506">
        <f t="shared" si="129"/>
        <v>0</v>
      </c>
      <c r="W255" s="510">
        <f t="shared" si="130"/>
        <v>0</v>
      </c>
      <c r="X255" s="517"/>
      <c r="Y255" s="519"/>
      <c r="Z255" s="516"/>
      <c r="AA255" s="519"/>
      <c r="AB255" s="516"/>
      <c r="AC255" s="519"/>
      <c r="AD255" s="516"/>
      <c r="AE255" s="519"/>
      <c r="AF255" s="506">
        <f t="shared" si="131"/>
        <v>0</v>
      </c>
      <c r="AG255" s="507">
        <f t="shared" si="132"/>
        <v>0</v>
      </c>
      <c r="AH255" s="508">
        <f t="shared" si="133"/>
        <v>0</v>
      </c>
      <c r="AI255" s="508">
        <f t="shared" si="134"/>
        <v>0</v>
      </c>
      <c r="AJ255" s="516"/>
      <c r="AK255" s="519"/>
      <c r="AL255" s="506">
        <f t="shared" si="135"/>
        <v>0</v>
      </c>
      <c r="AM255" s="509">
        <f t="shared" si="136"/>
        <v>0</v>
      </c>
      <c r="AN255" s="518"/>
      <c r="AO255" s="520"/>
      <c r="AP255" s="516"/>
      <c r="AQ255" s="520"/>
      <c r="AR255" s="516"/>
      <c r="AS255" s="520"/>
      <c r="AT255" s="516"/>
      <c r="AU255" s="520"/>
      <c r="AV255" s="506">
        <f t="shared" si="137"/>
        <v>0</v>
      </c>
      <c r="AW255" s="511">
        <f t="shared" si="138"/>
        <v>0</v>
      </c>
      <c r="AX255" s="508">
        <f t="shared" si="139"/>
        <v>0</v>
      </c>
      <c r="AY255" s="512">
        <f t="shared" si="140"/>
        <v>0</v>
      </c>
      <c r="AZ255" s="513">
        <f t="shared" si="141"/>
        <v>2729.7833333333333</v>
      </c>
      <c r="BA255" s="508">
        <f t="shared" si="142"/>
        <v>2797.2</v>
      </c>
    </row>
    <row r="256" spans="1:53" ht="15.75" customHeight="1">
      <c r="A256" s="674" t="s">
        <v>825</v>
      </c>
      <c r="B256" s="675" t="s">
        <v>846</v>
      </c>
      <c r="C256" s="724"/>
      <c r="D256" s="689">
        <v>162557</v>
      </c>
      <c r="E256" s="678">
        <v>9</v>
      </c>
      <c r="F256" s="514" t="s">
        <v>41</v>
      </c>
      <c r="G256" s="515" t="s">
        <v>41</v>
      </c>
      <c r="H256" s="516">
        <v>2549</v>
      </c>
      <c r="I256" s="519">
        <v>1892</v>
      </c>
      <c r="J256" s="516">
        <v>53146</v>
      </c>
      <c r="K256" s="519">
        <v>52773</v>
      </c>
      <c r="L256" s="516">
        <v>12954</v>
      </c>
      <c r="M256" s="519">
        <v>11702</v>
      </c>
      <c r="N256" s="516">
        <v>55561</v>
      </c>
      <c r="O256" s="519">
        <v>54083</v>
      </c>
      <c r="P256" s="506">
        <f t="shared" si="125"/>
        <v>124210</v>
      </c>
      <c r="Q256" s="507">
        <f t="shared" si="126"/>
        <v>4140.333333333333</v>
      </c>
      <c r="R256" s="508">
        <f t="shared" si="127"/>
        <v>120450</v>
      </c>
      <c r="S256" s="509">
        <f t="shared" si="128"/>
        <v>4015</v>
      </c>
      <c r="T256" s="516"/>
      <c r="U256" s="519"/>
      <c r="V256" s="506">
        <f t="shared" si="129"/>
        <v>0</v>
      </c>
      <c r="W256" s="510">
        <f t="shared" si="130"/>
        <v>0</v>
      </c>
      <c r="X256" s="517"/>
      <c r="Y256" s="519"/>
      <c r="Z256" s="516"/>
      <c r="AA256" s="519"/>
      <c r="AB256" s="516"/>
      <c r="AC256" s="519"/>
      <c r="AD256" s="516"/>
      <c r="AE256" s="519"/>
      <c r="AF256" s="506">
        <f t="shared" si="131"/>
        <v>0</v>
      </c>
      <c r="AG256" s="507">
        <f t="shared" si="132"/>
        <v>0</v>
      </c>
      <c r="AH256" s="508">
        <f t="shared" si="133"/>
        <v>0</v>
      </c>
      <c r="AI256" s="508">
        <f t="shared" si="134"/>
        <v>0</v>
      </c>
      <c r="AJ256" s="516"/>
      <c r="AK256" s="519"/>
      <c r="AL256" s="506">
        <f t="shared" si="135"/>
        <v>0</v>
      </c>
      <c r="AM256" s="509">
        <f t="shared" si="136"/>
        <v>0</v>
      </c>
      <c r="AN256" s="518"/>
      <c r="AO256" s="520"/>
      <c r="AP256" s="516"/>
      <c r="AQ256" s="520"/>
      <c r="AR256" s="516"/>
      <c r="AS256" s="520"/>
      <c r="AT256" s="516"/>
      <c r="AU256" s="520"/>
      <c r="AV256" s="506">
        <f t="shared" si="137"/>
        <v>0</v>
      </c>
      <c r="AW256" s="511">
        <f t="shared" si="138"/>
        <v>0</v>
      </c>
      <c r="AX256" s="508">
        <f t="shared" si="139"/>
        <v>0</v>
      </c>
      <c r="AY256" s="512">
        <f t="shared" si="140"/>
        <v>0</v>
      </c>
      <c r="AZ256" s="513">
        <f t="shared" si="141"/>
        <v>4140.333333333333</v>
      </c>
      <c r="BA256" s="508">
        <f t="shared" si="142"/>
        <v>4015</v>
      </c>
    </row>
    <row r="257" spans="1:53" ht="15.75" customHeight="1">
      <c r="A257" s="674" t="s">
        <v>825</v>
      </c>
      <c r="B257" s="675" t="s">
        <v>847</v>
      </c>
      <c r="C257" s="724"/>
      <c r="D257" s="727">
        <v>162690</v>
      </c>
      <c r="E257" s="678">
        <v>9</v>
      </c>
      <c r="F257" s="514" t="s">
        <v>41</v>
      </c>
      <c r="G257" s="515" t="s">
        <v>41</v>
      </c>
      <c r="H257" s="516">
        <v>0</v>
      </c>
      <c r="I257" s="519"/>
      <c r="J257" s="516">
        <v>39049</v>
      </c>
      <c r="K257" s="519">
        <v>40067</v>
      </c>
      <c r="L257" s="516">
        <v>12662</v>
      </c>
      <c r="M257" s="519">
        <v>12217</v>
      </c>
      <c r="N257" s="516">
        <v>43297</v>
      </c>
      <c r="O257" s="519">
        <v>43516</v>
      </c>
      <c r="P257" s="506">
        <f t="shared" si="125"/>
        <v>95008</v>
      </c>
      <c r="Q257" s="507">
        <f t="shared" si="126"/>
        <v>3166.9333333333334</v>
      </c>
      <c r="R257" s="508">
        <f t="shared" si="127"/>
        <v>95800</v>
      </c>
      <c r="S257" s="509">
        <f t="shared" si="128"/>
        <v>3193.3333333333335</v>
      </c>
      <c r="T257" s="516"/>
      <c r="U257" s="519"/>
      <c r="V257" s="506">
        <f t="shared" si="129"/>
        <v>0</v>
      </c>
      <c r="W257" s="510">
        <f t="shared" si="130"/>
        <v>0</v>
      </c>
      <c r="X257" s="517"/>
      <c r="Y257" s="519"/>
      <c r="Z257" s="516"/>
      <c r="AA257" s="519"/>
      <c r="AB257" s="516"/>
      <c r="AC257" s="519"/>
      <c r="AD257" s="516"/>
      <c r="AE257" s="519"/>
      <c r="AF257" s="506">
        <f t="shared" si="131"/>
        <v>0</v>
      </c>
      <c r="AG257" s="507">
        <f t="shared" si="132"/>
        <v>0</v>
      </c>
      <c r="AH257" s="508">
        <f t="shared" si="133"/>
        <v>0</v>
      </c>
      <c r="AI257" s="508">
        <f t="shared" si="134"/>
        <v>0</v>
      </c>
      <c r="AJ257" s="516"/>
      <c r="AK257" s="519"/>
      <c r="AL257" s="506">
        <f t="shared" si="135"/>
        <v>0</v>
      </c>
      <c r="AM257" s="509">
        <f t="shared" si="136"/>
        <v>0</v>
      </c>
      <c r="AN257" s="518"/>
      <c r="AO257" s="520"/>
      <c r="AP257" s="516"/>
      <c r="AQ257" s="520"/>
      <c r="AR257" s="516"/>
      <c r="AS257" s="520"/>
      <c r="AT257" s="516"/>
      <c r="AU257" s="520"/>
      <c r="AV257" s="506">
        <f t="shared" si="137"/>
        <v>0</v>
      </c>
      <c r="AW257" s="511">
        <f t="shared" si="138"/>
        <v>0</v>
      </c>
      <c r="AX257" s="508">
        <f t="shared" si="139"/>
        <v>0</v>
      </c>
      <c r="AY257" s="512">
        <f t="shared" si="140"/>
        <v>0</v>
      </c>
      <c r="AZ257" s="513">
        <f t="shared" si="141"/>
        <v>3166.9333333333334</v>
      </c>
      <c r="BA257" s="508">
        <f t="shared" si="142"/>
        <v>3193.3333333333335</v>
      </c>
    </row>
    <row r="258" spans="1:53" ht="15.75" customHeight="1">
      <c r="A258" s="674" t="s">
        <v>825</v>
      </c>
      <c r="B258" s="675" t="s">
        <v>848</v>
      </c>
      <c r="C258" s="724"/>
      <c r="D258" s="689">
        <v>162706</v>
      </c>
      <c r="E258" s="678">
        <v>9</v>
      </c>
      <c r="F258" s="514" t="s">
        <v>41</v>
      </c>
      <c r="G258" s="515" t="s">
        <v>41</v>
      </c>
      <c r="H258" s="516">
        <v>2192</v>
      </c>
      <c r="I258" s="519">
        <v>2342</v>
      </c>
      <c r="J258" s="516">
        <v>57089.5</v>
      </c>
      <c r="K258" s="519">
        <v>56942</v>
      </c>
      <c r="L258" s="516">
        <v>11772</v>
      </c>
      <c r="M258" s="519">
        <v>12123</v>
      </c>
      <c r="N258" s="516">
        <v>63740.5</v>
      </c>
      <c r="O258" s="519">
        <v>64055.5</v>
      </c>
      <c r="P258" s="506">
        <f t="shared" si="125"/>
        <v>134794</v>
      </c>
      <c r="Q258" s="507">
        <f t="shared" si="126"/>
        <v>4493.1333333333332</v>
      </c>
      <c r="R258" s="508">
        <f t="shared" si="127"/>
        <v>135462.5</v>
      </c>
      <c r="S258" s="509">
        <f t="shared" si="128"/>
        <v>4515.416666666667</v>
      </c>
      <c r="T258" s="516"/>
      <c r="U258" s="519"/>
      <c r="V258" s="506">
        <f t="shared" si="129"/>
        <v>0</v>
      </c>
      <c r="W258" s="510">
        <f t="shared" si="130"/>
        <v>0</v>
      </c>
      <c r="X258" s="517"/>
      <c r="Y258" s="519"/>
      <c r="Z258" s="516"/>
      <c r="AA258" s="519"/>
      <c r="AB258" s="516"/>
      <c r="AC258" s="519"/>
      <c r="AD258" s="516"/>
      <c r="AE258" s="519"/>
      <c r="AF258" s="506">
        <f t="shared" si="131"/>
        <v>0</v>
      </c>
      <c r="AG258" s="507">
        <f t="shared" si="132"/>
        <v>0</v>
      </c>
      <c r="AH258" s="508">
        <f t="shared" si="133"/>
        <v>0</v>
      </c>
      <c r="AI258" s="508">
        <f t="shared" si="134"/>
        <v>0</v>
      </c>
      <c r="AJ258" s="516"/>
      <c r="AK258" s="519"/>
      <c r="AL258" s="506">
        <f t="shared" si="135"/>
        <v>0</v>
      </c>
      <c r="AM258" s="509">
        <f t="shared" si="136"/>
        <v>0</v>
      </c>
      <c r="AN258" s="518"/>
      <c r="AO258" s="520"/>
      <c r="AP258" s="516"/>
      <c r="AQ258" s="520"/>
      <c r="AR258" s="516"/>
      <c r="AS258" s="520"/>
      <c r="AT258" s="516"/>
      <c r="AU258" s="520"/>
      <c r="AV258" s="506">
        <f t="shared" si="137"/>
        <v>0</v>
      </c>
      <c r="AW258" s="511">
        <f t="shared" si="138"/>
        <v>0</v>
      </c>
      <c r="AX258" s="508">
        <f t="shared" si="139"/>
        <v>0</v>
      </c>
      <c r="AY258" s="512">
        <f t="shared" si="140"/>
        <v>0</v>
      </c>
      <c r="AZ258" s="513">
        <f t="shared" si="141"/>
        <v>4493.1333333333332</v>
      </c>
      <c r="BA258" s="508">
        <f t="shared" si="142"/>
        <v>4515.416666666667</v>
      </c>
    </row>
    <row r="259" spans="1:53" ht="15.75" customHeight="1">
      <c r="A259" s="674" t="s">
        <v>825</v>
      </c>
      <c r="B259" s="729" t="s">
        <v>849</v>
      </c>
      <c r="C259" s="730"/>
      <c r="D259" s="686">
        <v>164313</v>
      </c>
      <c r="E259" s="678">
        <v>9</v>
      </c>
      <c r="F259" s="514" t="s">
        <v>41</v>
      </c>
      <c r="G259" s="515" t="s">
        <v>41</v>
      </c>
      <c r="H259" s="516">
        <v>0</v>
      </c>
      <c r="I259" s="519"/>
      <c r="J259" s="516">
        <v>32278</v>
      </c>
      <c r="K259" s="519">
        <v>31440</v>
      </c>
      <c r="L259" s="516">
        <v>8106</v>
      </c>
      <c r="M259" s="519">
        <v>6593</v>
      </c>
      <c r="N259" s="516">
        <v>36516</v>
      </c>
      <c r="O259" s="519">
        <v>33457.5</v>
      </c>
      <c r="P259" s="506">
        <f t="shared" si="125"/>
        <v>76900</v>
      </c>
      <c r="Q259" s="507">
        <f t="shared" si="126"/>
        <v>2563.3333333333335</v>
      </c>
      <c r="R259" s="508">
        <f t="shared" si="127"/>
        <v>71490.5</v>
      </c>
      <c r="S259" s="509">
        <f t="shared" si="128"/>
        <v>2383.0166666666669</v>
      </c>
      <c r="T259" s="516"/>
      <c r="U259" s="519"/>
      <c r="V259" s="506">
        <f t="shared" si="129"/>
        <v>0</v>
      </c>
      <c r="W259" s="510">
        <f t="shared" si="130"/>
        <v>0</v>
      </c>
      <c r="X259" s="517"/>
      <c r="Y259" s="519"/>
      <c r="Z259" s="516"/>
      <c r="AA259" s="519"/>
      <c r="AB259" s="516"/>
      <c r="AC259" s="519"/>
      <c r="AD259" s="516"/>
      <c r="AE259" s="519"/>
      <c r="AF259" s="506">
        <f t="shared" si="131"/>
        <v>0</v>
      </c>
      <c r="AG259" s="507">
        <f t="shared" si="132"/>
        <v>0</v>
      </c>
      <c r="AH259" s="508">
        <f t="shared" si="133"/>
        <v>0</v>
      </c>
      <c r="AI259" s="508">
        <f t="shared" si="134"/>
        <v>0</v>
      </c>
      <c r="AJ259" s="516"/>
      <c r="AK259" s="519"/>
      <c r="AL259" s="506">
        <f t="shared" si="135"/>
        <v>0</v>
      </c>
      <c r="AM259" s="509">
        <f t="shared" si="136"/>
        <v>0</v>
      </c>
      <c r="AN259" s="518"/>
      <c r="AO259" s="520"/>
      <c r="AP259" s="516"/>
      <c r="AQ259" s="520"/>
      <c r="AR259" s="516"/>
      <c r="AS259" s="520"/>
      <c r="AT259" s="516"/>
      <c r="AU259" s="520"/>
      <c r="AV259" s="506">
        <f t="shared" si="137"/>
        <v>0</v>
      </c>
      <c r="AW259" s="511">
        <f t="shared" si="138"/>
        <v>0</v>
      </c>
      <c r="AX259" s="508">
        <f t="shared" si="139"/>
        <v>0</v>
      </c>
      <c r="AY259" s="512">
        <f t="shared" si="140"/>
        <v>0</v>
      </c>
      <c r="AZ259" s="513">
        <f t="shared" si="141"/>
        <v>2563.3333333333335</v>
      </c>
      <c r="BA259" s="508">
        <f t="shared" si="142"/>
        <v>2383.0166666666669</v>
      </c>
    </row>
    <row r="260" spans="1:53" ht="15.75" customHeight="1">
      <c r="A260" s="674" t="s">
        <v>825</v>
      </c>
      <c r="B260" s="675" t="s">
        <v>850</v>
      </c>
      <c r="C260" s="724"/>
      <c r="D260" s="689">
        <v>162104</v>
      </c>
      <c r="E260" s="678">
        <v>10</v>
      </c>
      <c r="F260" s="514" t="s">
        <v>41</v>
      </c>
      <c r="G260" s="515" t="s">
        <v>41</v>
      </c>
      <c r="H260" s="516">
        <v>0</v>
      </c>
      <c r="I260" s="519"/>
      <c r="J260" s="516">
        <v>21166</v>
      </c>
      <c r="K260" s="519">
        <v>21772</v>
      </c>
      <c r="L260" s="516">
        <v>3584</v>
      </c>
      <c r="M260" s="519">
        <v>3982</v>
      </c>
      <c r="N260" s="516">
        <v>24301</v>
      </c>
      <c r="O260" s="519">
        <v>25100</v>
      </c>
      <c r="P260" s="506">
        <f t="shared" si="125"/>
        <v>49051</v>
      </c>
      <c r="Q260" s="507">
        <f t="shared" si="126"/>
        <v>1635.0333333333333</v>
      </c>
      <c r="R260" s="508">
        <f t="shared" si="127"/>
        <v>50854</v>
      </c>
      <c r="S260" s="509">
        <f t="shared" si="128"/>
        <v>1695.1333333333334</v>
      </c>
      <c r="T260" s="516"/>
      <c r="U260" s="519"/>
      <c r="V260" s="506">
        <f t="shared" si="129"/>
        <v>0</v>
      </c>
      <c r="W260" s="510">
        <f t="shared" si="130"/>
        <v>0</v>
      </c>
      <c r="X260" s="517"/>
      <c r="Y260" s="519"/>
      <c r="Z260" s="516"/>
      <c r="AA260" s="519"/>
      <c r="AB260" s="516"/>
      <c r="AC260" s="519"/>
      <c r="AD260" s="516"/>
      <c r="AE260" s="519"/>
      <c r="AF260" s="506">
        <f t="shared" si="131"/>
        <v>0</v>
      </c>
      <c r="AG260" s="507">
        <f t="shared" si="132"/>
        <v>0</v>
      </c>
      <c r="AH260" s="508">
        <f t="shared" si="133"/>
        <v>0</v>
      </c>
      <c r="AI260" s="508">
        <f t="shared" si="134"/>
        <v>0</v>
      </c>
      <c r="AJ260" s="516"/>
      <c r="AK260" s="519"/>
      <c r="AL260" s="506">
        <f t="shared" si="135"/>
        <v>0</v>
      </c>
      <c r="AM260" s="509">
        <f t="shared" si="136"/>
        <v>0</v>
      </c>
      <c r="AN260" s="518"/>
      <c r="AO260" s="520"/>
      <c r="AP260" s="516"/>
      <c r="AQ260" s="520"/>
      <c r="AR260" s="516"/>
      <c r="AS260" s="520"/>
      <c r="AT260" s="516"/>
      <c r="AU260" s="520"/>
      <c r="AV260" s="506">
        <f t="shared" si="137"/>
        <v>0</v>
      </c>
      <c r="AW260" s="511">
        <f t="shared" si="138"/>
        <v>0</v>
      </c>
      <c r="AX260" s="508">
        <f t="shared" si="139"/>
        <v>0</v>
      </c>
      <c r="AY260" s="512">
        <f t="shared" si="140"/>
        <v>0</v>
      </c>
      <c r="AZ260" s="513">
        <f t="shared" si="141"/>
        <v>1635.0333333333333</v>
      </c>
      <c r="BA260" s="508">
        <f t="shared" si="142"/>
        <v>1695.1333333333334</v>
      </c>
    </row>
    <row r="261" spans="1:53" ht="15.75" customHeight="1">
      <c r="A261" s="674" t="s">
        <v>825</v>
      </c>
      <c r="B261" s="675" t="s">
        <v>851</v>
      </c>
      <c r="C261" s="724"/>
      <c r="D261" s="689">
        <v>162168</v>
      </c>
      <c r="E261" s="678">
        <v>10</v>
      </c>
      <c r="F261" s="514" t="s">
        <v>41</v>
      </c>
      <c r="G261" s="515" t="s">
        <v>41</v>
      </c>
      <c r="H261" s="516">
        <v>0</v>
      </c>
      <c r="I261" s="519"/>
      <c r="J261" s="516">
        <v>24227</v>
      </c>
      <c r="K261" s="519">
        <v>23661</v>
      </c>
      <c r="L261" s="516">
        <v>2920</v>
      </c>
      <c r="M261" s="519">
        <v>2911</v>
      </c>
      <c r="N261" s="516">
        <v>25825</v>
      </c>
      <c r="O261" s="519">
        <v>23263</v>
      </c>
      <c r="P261" s="506">
        <f t="shared" si="125"/>
        <v>52972</v>
      </c>
      <c r="Q261" s="507">
        <f t="shared" si="126"/>
        <v>1765.7333333333333</v>
      </c>
      <c r="R261" s="508">
        <f t="shared" si="127"/>
        <v>49835</v>
      </c>
      <c r="S261" s="509">
        <f t="shared" si="128"/>
        <v>1661.1666666666667</v>
      </c>
      <c r="T261" s="516"/>
      <c r="U261" s="519"/>
      <c r="V261" s="506">
        <f t="shared" si="129"/>
        <v>0</v>
      </c>
      <c r="W261" s="510">
        <f t="shared" si="130"/>
        <v>0</v>
      </c>
      <c r="X261" s="517"/>
      <c r="Y261" s="519"/>
      <c r="Z261" s="516"/>
      <c r="AA261" s="519"/>
      <c r="AB261" s="516"/>
      <c r="AC261" s="519"/>
      <c r="AD261" s="516"/>
      <c r="AE261" s="519"/>
      <c r="AF261" s="506">
        <f t="shared" si="131"/>
        <v>0</v>
      </c>
      <c r="AG261" s="507">
        <f t="shared" si="132"/>
        <v>0</v>
      </c>
      <c r="AH261" s="508">
        <f t="shared" si="133"/>
        <v>0</v>
      </c>
      <c r="AI261" s="508">
        <f t="shared" si="134"/>
        <v>0</v>
      </c>
      <c r="AJ261" s="516"/>
      <c r="AK261" s="519"/>
      <c r="AL261" s="506">
        <f t="shared" si="135"/>
        <v>0</v>
      </c>
      <c r="AM261" s="509">
        <f t="shared" si="136"/>
        <v>0</v>
      </c>
      <c r="AN261" s="518"/>
      <c r="AO261" s="520"/>
      <c r="AP261" s="516"/>
      <c r="AQ261" s="520"/>
      <c r="AR261" s="516"/>
      <c r="AS261" s="520"/>
      <c r="AT261" s="516"/>
      <c r="AU261" s="520"/>
      <c r="AV261" s="506">
        <f t="shared" si="137"/>
        <v>0</v>
      </c>
      <c r="AW261" s="511">
        <f t="shared" si="138"/>
        <v>0</v>
      </c>
      <c r="AX261" s="508">
        <f t="shared" si="139"/>
        <v>0</v>
      </c>
      <c r="AY261" s="512">
        <f t="shared" si="140"/>
        <v>0</v>
      </c>
      <c r="AZ261" s="513">
        <f t="shared" si="141"/>
        <v>1765.7333333333333</v>
      </c>
      <c r="BA261" s="508">
        <f t="shared" si="142"/>
        <v>1661.1666666666667</v>
      </c>
    </row>
    <row r="262" spans="1:53" ht="15.75" customHeight="1">
      <c r="A262" s="674" t="s">
        <v>825</v>
      </c>
      <c r="B262" s="675" t="s">
        <v>852</v>
      </c>
      <c r="C262" s="724"/>
      <c r="D262" s="689">
        <v>162609</v>
      </c>
      <c r="E262" s="678">
        <v>10</v>
      </c>
      <c r="F262" s="514" t="s">
        <v>41</v>
      </c>
      <c r="G262" s="515" t="s">
        <v>41</v>
      </c>
      <c r="H262" s="516">
        <v>131</v>
      </c>
      <c r="I262" s="519">
        <v>138</v>
      </c>
      <c r="J262" s="516">
        <v>10179.25</v>
      </c>
      <c r="K262" s="519">
        <v>10167</v>
      </c>
      <c r="L262" s="516">
        <v>594</v>
      </c>
      <c r="M262" s="519">
        <v>617</v>
      </c>
      <c r="N262" s="516">
        <v>12941.5</v>
      </c>
      <c r="O262" s="519">
        <v>10956</v>
      </c>
      <c r="P262" s="506">
        <f t="shared" si="125"/>
        <v>23845.75</v>
      </c>
      <c r="Q262" s="507">
        <f t="shared" si="126"/>
        <v>794.85833333333335</v>
      </c>
      <c r="R262" s="508">
        <f t="shared" si="127"/>
        <v>21878</v>
      </c>
      <c r="S262" s="509">
        <f t="shared" si="128"/>
        <v>729.26666666666665</v>
      </c>
      <c r="T262" s="516"/>
      <c r="U262" s="519"/>
      <c r="V262" s="506">
        <f t="shared" si="129"/>
        <v>0</v>
      </c>
      <c r="W262" s="510">
        <f t="shared" si="130"/>
        <v>0</v>
      </c>
      <c r="X262" s="517"/>
      <c r="Y262" s="519"/>
      <c r="Z262" s="516"/>
      <c r="AA262" s="519"/>
      <c r="AB262" s="516"/>
      <c r="AC262" s="519"/>
      <c r="AD262" s="516"/>
      <c r="AE262" s="519"/>
      <c r="AF262" s="506">
        <f t="shared" si="131"/>
        <v>0</v>
      </c>
      <c r="AG262" s="507">
        <f t="shared" si="132"/>
        <v>0</v>
      </c>
      <c r="AH262" s="508">
        <f t="shared" si="133"/>
        <v>0</v>
      </c>
      <c r="AI262" s="508">
        <f t="shared" si="134"/>
        <v>0</v>
      </c>
      <c r="AJ262" s="516"/>
      <c r="AK262" s="519"/>
      <c r="AL262" s="506">
        <f t="shared" si="135"/>
        <v>0</v>
      </c>
      <c r="AM262" s="509">
        <f t="shared" si="136"/>
        <v>0</v>
      </c>
      <c r="AN262" s="518"/>
      <c r="AO262" s="520"/>
      <c r="AP262" s="516"/>
      <c r="AQ262" s="520"/>
      <c r="AR262" s="516"/>
      <c r="AS262" s="520"/>
      <c r="AT262" s="516"/>
      <c r="AU262" s="520"/>
      <c r="AV262" s="506">
        <f t="shared" si="137"/>
        <v>0</v>
      </c>
      <c r="AW262" s="511">
        <f t="shared" si="138"/>
        <v>0</v>
      </c>
      <c r="AX262" s="508">
        <f t="shared" si="139"/>
        <v>0</v>
      </c>
      <c r="AY262" s="512">
        <f t="shared" si="140"/>
        <v>0</v>
      </c>
      <c r="AZ262" s="513">
        <f t="shared" si="141"/>
        <v>794.85833333333335</v>
      </c>
      <c r="BA262" s="508">
        <f t="shared" si="142"/>
        <v>729.26666666666665</v>
      </c>
    </row>
    <row r="263" spans="1:53" ht="15.75" customHeight="1">
      <c r="A263" s="594" t="s">
        <v>420</v>
      </c>
      <c r="B263" s="595" t="s">
        <v>421</v>
      </c>
      <c r="C263" s="596"/>
      <c r="D263" s="597">
        <v>176080</v>
      </c>
      <c r="E263" s="597">
        <v>1</v>
      </c>
      <c r="F263" s="514" t="s">
        <v>41</v>
      </c>
      <c r="G263" s="515" t="s">
        <v>41</v>
      </c>
      <c r="H263" s="516"/>
      <c r="I263" s="519"/>
      <c r="J263" s="516">
        <v>189437</v>
      </c>
      <c r="K263" s="519">
        <v>196347</v>
      </c>
      <c r="L263" s="516">
        <v>38934</v>
      </c>
      <c r="M263" s="519">
        <v>36323</v>
      </c>
      <c r="N263" s="516">
        <v>213629</v>
      </c>
      <c r="O263" s="519">
        <v>216576</v>
      </c>
      <c r="P263" s="506">
        <f t="shared" si="125"/>
        <v>442000</v>
      </c>
      <c r="Q263" s="507">
        <f t="shared" si="126"/>
        <v>14733.333333333334</v>
      </c>
      <c r="R263" s="508">
        <f t="shared" si="127"/>
        <v>449246</v>
      </c>
      <c r="S263" s="509">
        <f t="shared" si="128"/>
        <v>14974.866666666667</v>
      </c>
      <c r="T263" s="516"/>
      <c r="U263" s="519"/>
      <c r="V263" s="506">
        <f t="shared" si="129"/>
        <v>0</v>
      </c>
      <c r="W263" s="510">
        <f t="shared" si="130"/>
        <v>0</v>
      </c>
      <c r="X263" s="517"/>
      <c r="Y263" s="519"/>
      <c r="Z263" s="516"/>
      <c r="AA263" s="519"/>
      <c r="AB263" s="516"/>
      <c r="AC263" s="519"/>
      <c r="AD263" s="516"/>
      <c r="AE263" s="519"/>
      <c r="AF263" s="506">
        <f t="shared" si="131"/>
        <v>0</v>
      </c>
      <c r="AG263" s="507">
        <f t="shared" si="132"/>
        <v>0</v>
      </c>
      <c r="AH263" s="508">
        <f t="shared" si="133"/>
        <v>0</v>
      </c>
      <c r="AI263" s="508">
        <f t="shared" si="134"/>
        <v>0</v>
      </c>
      <c r="AJ263" s="516"/>
      <c r="AK263" s="519"/>
      <c r="AL263" s="506">
        <f t="shared" si="135"/>
        <v>0</v>
      </c>
      <c r="AM263" s="509">
        <f t="shared" si="136"/>
        <v>0</v>
      </c>
      <c r="AN263" s="518"/>
      <c r="AO263" s="520"/>
      <c r="AP263" s="516">
        <v>25491</v>
      </c>
      <c r="AQ263" s="520">
        <v>24919</v>
      </c>
      <c r="AR263" s="516">
        <v>13236</v>
      </c>
      <c r="AS263" s="520">
        <v>12620</v>
      </c>
      <c r="AT263" s="516">
        <v>25947</v>
      </c>
      <c r="AU263" s="520">
        <v>24917</v>
      </c>
      <c r="AV263" s="506">
        <f t="shared" si="137"/>
        <v>64674</v>
      </c>
      <c r="AW263" s="511">
        <f t="shared" si="138"/>
        <v>2694.75</v>
      </c>
      <c r="AX263" s="508">
        <f t="shared" si="139"/>
        <v>62456</v>
      </c>
      <c r="AY263" s="512">
        <f t="shared" si="140"/>
        <v>2602.3333333333335</v>
      </c>
      <c r="AZ263" s="513">
        <f t="shared" si="141"/>
        <v>17428.083333333336</v>
      </c>
      <c r="BA263" s="508">
        <f t="shared" si="142"/>
        <v>17577.2</v>
      </c>
    </row>
    <row r="264" spans="1:53" ht="15" customHeight="1">
      <c r="A264" s="594" t="s">
        <v>420</v>
      </c>
      <c r="B264" s="595" t="s">
        <v>422</v>
      </c>
      <c r="C264" s="598" t="s">
        <v>359</v>
      </c>
      <c r="D264" s="597">
        <v>176372</v>
      </c>
      <c r="E264" s="597">
        <v>1</v>
      </c>
      <c r="F264" s="514" t="s">
        <v>41</v>
      </c>
      <c r="G264" s="515" t="s">
        <v>41</v>
      </c>
      <c r="H264" s="516"/>
      <c r="I264" s="519"/>
      <c r="J264" s="516">
        <v>147446</v>
      </c>
      <c r="K264" s="519">
        <v>150178</v>
      </c>
      <c r="L264" s="516">
        <v>33772</v>
      </c>
      <c r="M264" s="519">
        <v>30038</v>
      </c>
      <c r="N264" s="516">
        <v>167105</v>
      </c>
      <c r="O264" s="519">
        <v>170608</v>
      </c>
      <c r="P264" s="506">
        <f t="shared" si="125"/>
        <v>348323</v>
      </c>
      <c r="Q264" s="507">
        <f t="shared" si="126"/>
        <v>11610.766666666666</v>
      </c>
      <c r="R264" s="508">
        <f t="shared" si="127"/>
        <v>350824</v>
      </c>
      <c r="S264" s="509">
        <f t="shared" si="128"/>
        <v>11694.133333333333</v>
      </c>
      <c r="T264" s="516"/>
      <c r="U264" s="519"/>
      <c r="V264" s="506">
        <f t="shared" si="129"/>
        <v>0</v>
      </c>
      <c r="W264" s="510">
        <f t="shared" si="130"/>
        <v>0</v>
      </c>
      <c r="X264" s="517"/>
      <c r="Y264" s="519"/>
      <c r="Z264" s="516"/>
      <c r="AA264" s="519"/>
      <c r="AB264" s="516"/>
      <c r="AC264" s="519"/>
      <c r="AD264" s="516"/>
      <c r="AE264" s="519"/>
      <c r="AF264" s="506">
        <f t="shared" si="131"/>
        <v>0</v>
      </c>
      <c r="AG264" s="507">
        <f t="shared" si="132"/>
        <v>0</v>
      </c>
      <c r="AH264" s="508">
        <f t="shared" si="133"/>
        <v>0</v>
      </c>
      <c r="AI264" s="508">
        <f t="shared" si="134"/>
        <v>0</v>
      </c>
      <c r="AJ264" s="516"/>
      <c r="AK264" s="519"/>
      <c r="AL264" s="506">
        <f t="shared" si="135"/>
        <v>0</v>
      </c>
      <c r="AM264" s="509">
        <f t="shared" si="136"/>
        <v>0</v>
      </c>
      <c r="AN264" s="518"/>
      <c r="AO264" s="520"/>
      <c r="AP264" s="516">
        <v>22878</v>
      </c>
      <c r="AQ264" s="520">
        <v>21686</v>
      </c>
      <c r="AR264" s="516">
        <v>12659</v>
      </c>
      <c r="AS264" s="520">
        <v>11229</v>
      </c>
      <c r="AT264" s="516">
        <v>23037</v>
      </c>
      <c r="AU264" s="520">
        <v>21913</v>
      </c>
      <c r="AV264" s="506">
        <f t="shared" si="137"/>
        <v>58574</v>
      </c>
      <c r="AW264" s="511">
        <f t="shared" si="138"/>
        <v>2440.5833333333335</v>
      </c>
      <c r="AX264" s="508">
        <f t="shared" si="139"/>
        <v>54828</v>
      </c>
      <c r="AY264" s="512">
        <f t="shared" si="140"/>
        <v>2284.5</v>
      </c>
      <c r="AZ264" s="513">
        <f t="shared" si="141"/>
        <v>14051.35</v>
      </c>
      <c r="BA264" s="508">
        <f t="shared" si="142"/>
        <v>13978.633333333333</v>
      </c>
    </row>
    <row r="265" spans="1:53" ht="15" customHeight="1">
      <c r="A265" s="594" t="s">
        <v>420</v>
      </c>
      <c r="B265" s="595" t="s">
        <v>423</v>
      </c>
      <c r="C265" s="596"/>
      <c r="D265" s="597">
        <v>175856</v>
      </c>
      <c r="E265" s="597">
        <v>2</v>
      </c>
      <c r="F265" s="514" t="s">
        <v>41</v>
      </c>
      <c r="G265" s="515" t="s">
        <v>41</v>
      </c>
      <c r="H265" s="516"/>
      <c r="I265" s="519"/>
      <c r="J265" s="516">
        <v>72271.5</v>
      </c>
      <c r="K265" s="519">
        <v>75959.5</v>
      </c>
      <c r="L265" s="516">
        <v>20164</v>
      </c>
      <c r="M265" s="519">
        <v>13757</v>
      </c>
      <c r="N265" s="516">
        <v>78970</v>
      </c>
      <c r="O265" s="519">
        <v>75741</v>
      </c>
      <c r="P265" s="506">
        <f t="shared" si="125"/>
        <v>171405.5</v>
      </c>
      <c r="Q265" s="507">
        <f t="shared" si="126"/>
        <v>5713.5166666666664</v>
      </c>
      <c r="R265" s="508">
        <f t="shared" si="127"/>
        <v>165457.5</v>
      </c>
      <c r="S265" s="509">
        <f t="shared" si="128"/>
        <v>5515.25</v>
      </c>
      <c r="T265" s="516"/>
      <c r="U265" s="519"/>
      <c r="V265" s="506">
        <f t="shared" si="129"/>
        <v>0</v>
      </c>
      <c r="W265" s="510">
        <f t="shared" si="130"/>
        <v>0</v>
      </c>
      <c r="X265" s="517"/>
      <c r="Y265" s="519"/>
      <c r="Z265" s="516"/>
      <c r="AA265" s="519"/>
      <c r="AB265" s="516"/>
      <c r="AC265" s="519"/>
      <c r="AD265" s="516"/>
      <c r="AE265" s="519"/>
      <c r="AF265" s="506">
        <f t="shared" si="131"/>
        <v>0</v>
      </c>
      <c r="AG265" s="507">
        <f t="shared" si="132"/>
        <v>0</v>
      </c>
      <c r="AH265" s="508">
        <f t="shared" si="133"/>
        <v>0</v>
      </c>
      <c r="AI265" s="508">
        <f t="shared" si="134"/>
        <v>0</v>
      </c>
      <c r="AJ265" s="516"/>
      <c r="AK265" s="519"/>
      <c r="AL265" s="506">
        <f t="shared" si="135"/>
        <v>0</v>
      </c>
      <c r="AM265" s="509">
        <f t="shared" si="136"/>
        <v>0</v>
      </c>
      <c r="AN265" s="518"/>
      <c r="AO265" s="520"/>
      <c r="AP265" s="516">
        <v>13962</v>
      </c>
      <c r="AQ265" s="520">
        <v>13819.5</v>
      </c>
      <c r="AR265" s="516">
        <v>6313</v>
      </c>
      <c r="AS265" s="520">
        <v>5530.5</v>
      </c>
      <c r="AT265" s="516">
        <v>13886</v>
      </c>
      <c r="AU265" s="520">
        <v>14254</v>
      </c>
      <c r="AV265" s="506">
        <f t="shared" si="137"/>
        <v>34161</v>
      </c>
      <c r="AW265" s="511">
        <f t="shared" si="138"/>
        <v>1423.375</v>
      </c>
      <c r="AX265" s="508">
        <f t="shared" si="139"/>
        <v>33604</v>
      </c>
      <c r="AY265" s="512">
        <f t="shared" si="140"/>
        <v>1400.1666666666667</v>
      </c>
      <c r="AZ265" s="513">
        <f t="shared" si="141"/>
        <v>7136.8916666666664</v>
      </c>
      <c r="BA265" s="508">
        <f t="shared" si="142"/>
        <v>6915.416666666667</v>
      </c>
    </row>
    <row r="266" spans="1:53" ht="15.75" customHeight="1">
      <c r="A266" s="594" t="s">
        <v>420</v>
      </c>
      <c r="B266" s="595" t="s">
        <v>424</v>
      </c>
      <c r="C266" s="598"/>
      <c r="D266" s="597">
        <v>176017</v>
      </c>
      <c r="E266" s="597">
        <v>2</v>
      </c>
      <c r="F266" s="514" t="s">
        <v>41</v>
      </c>
      <c r="G266" s="515" t="s">
        <v>41</v>
      </c>
      <c r="H266" s="516"/>
      <c r="I266" s="519"/>
      <c r="J266" s="516">
        <v>188344</v>
      </c>
      <c r="K266" s="519">
        <v>202880</v>
      </c>
      <c r="L266" s="516">
        <v>47586</v>
      </c>
      <c r="M266" s="519">
        <v>43436</v>
      </c>
      <c r="N266" s="516">
        <v>206970</v>
      </c>
      <c r="O266" s="519">
        <v>216740</v>
      </c>
      <c r="P266" s="506">
        <f t="shared" si="125"/>
        <v>442900</v>
      </c>
      <c r="Q266" s="507">
        <f t="shared" si="126"/>
        <v>14763.333333333334</v>
      </c>
      <c r="R266" s="508">
        <f t="shared" si="127"/>
        <v>463056</v>
      </c>
      <c r="S266" s="509">
        <f t="shared" si="128"/>
        <v>15435.2</v>
      </c>
      <c r="T266" s="516"/>
      <c r="U266" s="519"/>
      <c r="V266" s="506">
        <f t="shared" si="129"/>
        <v>0</v>
      </c>
      <c r="W266" s="510">
        <f t="shared" si="130"/>
        <v>0</v>
      </c>
      <c r="X266" s="517"/>
      <c r="Y266" s="519"/>
      <c r="Z266" s="516"/>
      <c r="AA266" s="519"/>
      <c r="AB266" s="516"/>
      <c r="AC266" s="519"/>
      <c r="AD266" s="617"/>
      <c r="AE266" s="618"/>
      <c r="AF266" s="506">
        <f t="shared" si="131"/>
        <v>0</v>
      </c>
      <c r="AG266" s="507">
        <f t="shared" si="132"/>
        <v>0</v>
      </c>
      <c r="AH266" s="508">
        <f t="shared" si="133"/>
        <v>0</v>
      </c>
      <c r="AI266" s="508">
        <f t="shared" si="134"/>
        <v>0</v>
      </c>
      <c r="AJ266" s="516"/>
      <c r="AK266" s="519"/>
      <c r="AL266" s="506">
        <f t="shared" si="135"/>
        <v>0</v>
      </c>
      <c r="AM266" s="509">
        <f t="shared" si="136"/>
        <v>0</v>
      </c>
      <c r="AN266" s="518"/>
      <c r="AO266" s="520"/>
      <c r="AP266" s="516">
        <v>24242</v>
      </c>
      <c r="AQ266" s="520">
        <v>24706</v>
      </c>
      <c r="AR266" s="516">
        <v>9101</v>
      </c>
      <c r="AS266" s="520">
        <v>9335</v>
      </c>
      <c r="AT266" s="516">
        <v>25424</v>
      </c>
      <c r="AU266" s="520">
        <v>24013</v>
      </c>
      <c r="AV266" s="506">
        <f t="shared" si="137"/>
        <v>58767</v>
      </c>
      <c r="AW266" s="511">
        <f t="shared" si="138"/>
        <v>2448.625</v>
      </c>
      <c r="AX266" s="508">
        <f t="shared" si="139"/>
        <v>58054</v>
      </c>
      <c r="AY266" s="512">
        <f t="shared" si="140"/>
        <v>2418.9166666666665</v>
      </c>
      <c r="AZ266" s="513">
        <f t="shared" si="141"/>
        <v>17211.958333333336</v>
      </c>
      <c r="BA266" s="508">
        <f t="shared" si="142"/>
        <v>17854.116666666669</v>
      </c>
    </row>
    <row r="267" spans="1:53" ht="15.75" customHeight="1">
      <c r="A267" s="594" t="s">
        <v>420</v>
      </c>
      <c r="B267" s="595" t="s">
        <v>425</v>
      </c>
      <c r="C267" s="596"/>
      <c r="D267" s="597">
        <v>175342</v>
      </c>
      <c r="E267" s="597">
        <v>4</v>
      </c>
      <c r="F267" s="514" t="s">
        <v>41</v>
      </c>
      <c r="G267" s="515" t="s">
        <v>41</v>
      </c>
      <c r="H267" s="516"/>
      <c r="I267" s="519"/>
      <c r="J267" s="516">
        <v>38675</v>
      </c>
      <c r="K267" s="519">
        <v>39157</v>
      </c>
      <c r="L267" s="516">
        <v>12594</v>
      </c>
      <c r="M267" s="519">
        <v>8426</v>
      </c>
      <c r="N267" s="516">
        <v>43097</v>
      </c>
      <c r="O267" s="519">
        <v>42493</v>
      </c>
      <c r="P267" s="506">
        <f t="shared" si="125"/>
        <v>94366</v>
      </c>
      <c r="Q267" s="507">
        <f t="shared" si="126"/>
        <v>3145.5333333333333</v>
      </c>
      <c r="R267" s="508">
        <f t="shared" si="127"/>
        <v>90076</v>
      </c>
      <c r="S267" s="509">
        <f t="shared" si="128"/>
        <v>3002.5333333333333</v>
      </c>
      <c r="T267" s="516"/>
      <c r="U267" s="519"/>
      <c r="V267" s="506">
        <f t="shared" si="129"/>
        <v>0</v>
      </c>
      <c r="W267" s="510">
        <f t="shared" si="130"/>
        <v>0</v>
      </c>
      <c r="X267" s="517"/>
      <c r="Y267" s="519"/>
      <c r="Z267" s="516"/>
      <c r="AA267" s="519"/>
      <c r="AB267" s="516"/>
      <c r="AC267" s="519"/>
      <c r="AD267" s="617"/>
      <c r="AE267" s="618"/>
      <c r="AF267" s="506">
        <f t="shared" si="131"/>
        <v>0</v>
      </c>
      <c r="AG267" s="507">
        <f t="shared" si="132"/>
        <v>0</v>
      </c>
      <c r="AH267" s="508">
        <f t="shared" si="133"/>
        <v>0</v>
      </c>
      <c r="AI267" s="508">
        <f t="shared" si="134"/>
        <v>0</v>
      </c>
      <c r="AJ267" s="516"/>
      <c r="AK267" s="519"/>
      <c r="AL267" s="506">
        <f t="shared" si="135"/>
        <v>0</v>
      </c>
      <c r="AM267" s="509">
        <f t="shared" si="136"/>
        <v>0</v>
      </c>
      <c r="AN267" s="518"/>
      <c r="AO267" s="520"/>
      <c r="AP267" s="516">
        <v>4948</v>
      </c>
      <c r="AQ267" s="520">
        <v>4792</v>
      </c>
      <c r="AR267" s="516">
        <v>3011</v>
      </c>
      <c r="AS267" s="520">
        <v>1993</v>
      </c>
      <c r="AT267" s="516">
        <v>4928</v>
      </c>
      <c r="AU267" s="520">
        <v>5133</v>
      </c>
      <c r="AV267" s="506">
        <f t="shared" si="137"/>
        <v>12887</v>
      </c>
      <c r="AW267" s="511">
        <f t="shared" si="138"/>
        <v>536.95833333333337</v>
      </c>
      <c r="AX267" s="508">
        <f t="shared" si="139"/>
        <v>11918</v>
      </c>
      <c r="AY267" s="512">
        <f t="shared" si="140"/>
        <v>496.58333333333331</v>
      </c>
      <c r="AZ267" s="513">
        <f t="shared" si="141"/>
        <v>3682.4916666666668</v>
      </c>
      <c r="BA267" s="508">
        <f t="shared" si="142"/>
        <v>3499.1166666666668</v>
      </c>
    </row>
    <row r="268" spans="1:53" ht="15.75" customHeight="1">
      <c r="A268" s="594" t="s">
        <v>420</v>
      </c>
      <c r="B268" s="595" t="s">
        <v>426</v>
      </c>
      <c r="C268" s="596"/>
      <c r="D268" s="597">
        <v>175616</v>
      </c>
      <c r="E268" s="597">
        <v>4</v>
      </c>
      <c r="F268" s="514" t="s">
        <v>41</v>
      </c>
      <c r="G268" s="515" t="s">
        <v>41</v>
      </c>
      <c r="H268" s="516"/>
      <c r="I268" s="519"/>
      <c r="J268" s="516">
        <v>33006</v>
      </c>
      <c r="K268" s="519">
        <v>32117</v>
      </c>
      <c r="L268" s="516">
        <v>6548</v>
      </c>
      <c r="M268" s="519">
        <v>5632</v>
      </c>
      <c r="N268" s="516">
        <v>35560</v>
      </c>
      <c r="O268" s="519">
        <v>33378</v>
      </c>
      <c r="P268" s="506">
        <f t="shared" si="125"/>
        <v>75114</v>
      </c>
      <c r="Q268" s="507">
        <f t="shared" si="126"/>
        <v>2503.8000000000002</v>
      </c>
      <c r="R268" s="508">
        <f t="shared" si="127"/>
        <v>71127</v>
      </c>
      <c r="S268" s="509">
        <f t="shared" si="128"/>
        <v>2370.9</v>
      </c>
      <c r="T268" s="516"/>
      <c r="U268" s="519"/>
      <c r="V268" s="506">
        <f t="shared" si="129"/>
        <v>0</v>
      </c>
      <c r="W268" s="510">
        <f t="shared" si="130"/>
        <v>0</v>
      </c>
      <c r="X268" s="517"/>
      <c r="Y268" s="519"/>
      <c r="Z268" s="516"/>
      <c r="AA268" s="519"/>
      <c r="AB268" s="516"/>
      <c r="AC268" s="519"/>
      <c r="AD268" s="617"/>
      <c r="AE268" s="618"/>
      <c r="AF268" s="506">
        <f t="shared" si="131"/>
        <v>0</v>
      </c>
      <c r="AG268" s="507">
        <f t="shared" si="132"/>
        <v>0</v>
      </c>
      <c r="AH268" s="508">
        <f t="shared" si="133"/>
        <v>0</v>
      </c>
      <c r="AI268" s="508">
        <f t="shared" si="134"/>
        <v>0</v>
      </c>
      <c r="AJ268" s="516"/>
      <c r="AK268" s="519"/>
      <c r="AL268" s="506">
        <f t="shared" si="135"/>
        <v>0</v>
      </c>
      <c r="AM268" s="509">
        <f t="shared" si="136"/>
        <v>0</v>
      </c>
      <c r="AN268" s="518"/>
      <c r="AO268" s="520"/>
      <c r="AP268" s="516">
        <v>5602</v>
      </c>
      <c r="AQ268" s="520">
        <v>5212</v>
      </c>
      <c r="AR268" s="516">
        <v>4045</v>
      </c>
      <c r="AS268" s="520">
        <v>8143</v>
      </c>
      <c r="AT268" s="516">
        <v>13204</v>
      </c>
      <c r="AU268" s="520">
        <v>15237</v>
      </c>
      <c r="AV268" s="506">
        <f t="shared" si="137"/>
        <v>22851</v>
      </c>
      <c r="AW268" s="511">
        <f t="shared" si="138"/>
        <v>952.125</v>
      </c>
      <c r="AX268" s="508">
        <f t="shared" si="139"/>
        <v>28592</v>
      </c>
      <c r="AY268" s="512">
        <f t="shared" si="140"/>
        <v>1191.3333333333333</v>
      </c>
      <c r="AZ268" s="513">
        <f t="shared" si="141"/>
        <v>3455.9250000000002</v>
      </c>
      <c r="BA268" s="508">
        <f t="shared" si="142"/>
        <v>3562.2333333333336</v>
      </c>
    </row>
    <row r="269" spans="1:53" ht="15.75" customHeight="1">
      <c r="A269" s="594" t="s">
        <v>420</v>
      </c>
      <c r="B269" s="595" t="s">
        <v>427</v>
      </c>
      <c r="C269" s="596"/>
      <c r="D269" s="597">
        <v>176044</v>
      </c>
      <c r="E269" s="597">
        <v>4</v>
      </c>
      <c r="F269" s="514" t="s">
        <v>41</v>
      </c>
      <c r="G269" s="515" t="s">
        <v>41</v>
      </c>
      <c r="H269" s="516"/>
      <c r="I269" s="519"/>
      <c r="J269" s="516">
        <v>26801</v>
      </c>
      <c r="K269" s="519">
        <v>25107</v>
      </c>
      <c r="L269" s="516">
        <v>8986</v>
      </c>
      <c r="M269" s="519">
        <v>5353</v>
      </c>
      <c r="N269" s="516">
        <v>26495</v>
      </c>
      <c r="O269" s="519">
        <v>25041</v>
      </c>
      <c r="P269" s="506">
        <f t="shared" si="125"/>
        <v>62282</v>
      </c>
      <c r="Q269" s="507">
        <f t="shared" si="126"/>
        <v>2076.0666666666666</v>
      </c>
      <c r="R269" s="508">
        <f t="shared" si="127"/>
        <v>55501</v>
      </c>
      <c r="S269" s="509">
        <f t="shared" si="128"/>
        <v>1850.0333333333333</v>
      </c>
      <c r="T269" s="516"/>
      <c r="U269" s="519"/>
      <c r="V269" s="506">
        <f t="shared" si="129"/>
        <v>0</v>
      </c>
      <c r="W269" s="510">
        <f t="shared" si="130"/>
        <v>0</v>
      </c>
      <c r="X269" s="517"/>
      <c r="Y269" s="519"/>
      <c r="Z269" s="516"/>
      <c r="AA269" s="519"/>
      <c r="AB269" s="516"/>
      <c r="AC269" s="519"/>
      <c r="AD269" s="617"/>
      <c r="AE269" s="618"/>
      <c r="AF269" s="506">
        <f t="shared" si="131"/>
        <v>0</v>
      </c>
      <c r="AG269" s="507">
        <f t="shared" si="132"/>
        <v>0</v>
      </c>
      <c r="AH269" s="508">
        <f t="shared" si="133"/>
        <v>0</v>
      </c>
      <c r="AI269" s="508">
        <f t="shared" si="134"/>
        <v>0</v>
      </c>
      <c r="AJ269" s="516"/>
      <c r="AK269" s="519"/>
      <c r="AL269" s="506">
        <f t="shared" si="135"/>
        <v>0</v>
      </c>
      <c r="AM269" s="509">
        <f t="shared" si="136"/>
        <v>0</v>
      </c>
      <c r="AN269" s="518"/>
      <c r="AO269" s="520"/>
      <c r="AP269" s="516">
        <v>2846</v>
      </c>
      <c r="AQ269" s="520">
        <v>2487</v>
      </c>
      <c r="AR269" s="516">
        <v>831</v>
      </c>
      <c r="AS269" s="520">
        <v>327</v>
      </c>
      <c r="AT269" s="516">
        <v>2584</v>
      </c>
      <c r="AU269" s="520">
        <v>2121</v>
      </c>
      <c r="AV269" s="506">
        <f t="shared" si="137"/>
        <v>6261</v>
      </c>
      <c r="AW269" s="511">
        <f t="shared" si="138"/>
        <v>260.875</v>
      </c>
      <c r="AX269" s="508">
        <f t="shared" si="139"/>
        <v>4935</v>
      </c>
      <c r="AY269" s="512">
        <f t="shared" si="140"/>
        <v>205.625</v>
      </c>
      <c r="AZ269" s="513">
        <f t="shared" si="141"/>
        <v>2336.9416666666666</v>
      </c>
      <c r="BA269" s="508">
        <f t="shared" si="142"/>
        <v>2055.6583333333333</v>
      </c>
    </row>
    <row r="270" spans="1:53" ht="15.75" customHeight="1">
      <c r="A270" s="594" t="s">
        <v>420</v>
      </c>
      <c r="B270" s="595" t="s">
        <v>428</v>
      </c>
      <c r="C270" s="596"/>
      <c r="D270" s="597">
        <v>176035</v>
      </c>
      <c r="E270" s="597">
        <v>5</v>
      </c>
      <c r="F270" s="514" t="s">
        <v>41</v>
      </c>
      <c r="G270" s="515" t="s">
        <v>41</v>
      </c>
      <c r="H270" s="516"/>
      <c r="I270" s="519"/>
      <c r="J270" s="516">
        <v>27625</v>
      </c>
      <c r="K270" s="519">
        <v>28031</v>
      </c>
      <c r="L270" s="516">
        <v>10363</v>
      </c>
      <c r="M270" s="519">
        <v>9827</v>
      </c>
      <c r="N270" s="516">
        <v>29636</v>
      </c>
      <c r="O270" s="519">
        <v>30461</v>
      </c>
      <c r="P270" s="506">
        <f t="shared" si="125"/>
        <v>67624</v>
      </c>
      <c r="Q270" s="507">
        <f t="shared" si="126"/>
        <v>2254.1333333333332</v>
      </c>
      <c r="R270" s="508">
        <f t="shared" si="127"/>
        <v>68319</v>
      </c>
      <c r="S270" s="509">
        <f t="shared" si="128"/>
        <v>2277.3000000000002</v>
      </c>
      <c r="T270" s="516"/>
      <c r="U270" s="519"/>
      <c r="V270" s="506">
        <f t="shared" si="129"/>
        <v>0</v>
      </c>
      <c r="W270" s="510">
        <f t="shared" si="130"/>
        <v>0</v>
      </c>
      <c r="X270" s="517"/>
      <c r="Y270" s="519"/>
      <c r="Z270" s="516"/>
      <c r="AA270" s="519"/>
      <c r="AB270" s="516"/>
      <c r="AC270" s="519"/>
      <c r="AD270" s="617"/>
      <c r="AE270" s="618"/>
      <c r="AF270" s="506">
        <f t="shared" si="131"/>
        <v>0</v>
      </c>
      <c r="AG270" s="507">
        <f t="shared" si="132"/>
        <v>0</v>
      </c>
      <c r="AH270" s="508">
        <f t="shared" si="133"/>
        <v>0</v>
      </c>
      <c r="AI270" s="508">
        <f t="shared" si="134"/>
        <v>0</v>
      </c>
      <c r="AJ270" s="516"/>
      <c r="AK270" s="519"/>
      <c r="AL270" s="506">
        <f t="shared" si="135"/>
        <v>0</v>
      </c>
      <c r="AM270" s="509">
        <f t="shared" si="136"/>
        <v>0</v>
      </c>
      <c r="AN270" s="518"/>
      <c r="AO270" s="520"/>
      <c r="AP270" s="516">
        <v>1434</v>
      </c>
      <c r="AQ270" s="520">
        <v>1462</v>
      </c>
      <c r="AR270" s="516">
        <v>1316</v>
      </c>
      <c r="AS270" s="520">
        <v>1155</v>
      </c>
      <c r="AT270" s="516">
        <v>1510</v>
      </c>
      <c r="AU270" s="520">
        <v>1277</v>
      </c>
      <c r="AV270" s="506">
        <f t="shared" si="137"/>
        <v>4260</v>
      </c>
      <c r="AW270" s="511">
        <f t="shared" si="138"/>
        <v>177.5</v>
      </c>
      <c r="AX270" s="508">
        <f t="shared" si="139"/>
        <v>3894</v>
      </c>
      <c r="AY270" s="512">
        <f t="shared" si="140"/>
        <v>162.25</v>
      </c>
      <c r="AZ270" s="513">
        <f t="shared" si="141"/>
        <v>2431.6333333333332</v>
      </c>
      <c r="BA270" s="508">
        <f t="shared" si="142"/>
        <v>2439.5500000000002</v>
      </c>
    </row>
    <row r="271" spans="1:53" ht="15.75" customHeight="1">
      <c r="A271" s="825" t="s">
        <v>420</v>
      </c>
      <c r="B271" s="826" t="s">
        <v>965</v>
      </c>
      <c r="C271" s="788"/>
      <c r="D271" s="786">
        <v>175786</v>
      </c>
      <c r="E271" s="827">
        <v>8</v>
      </c>
      <c r="F271" s="514" t="s">
        <v>41</v>
      </c>
      <c r="G271" s="515" t="s">
        <v>41</v>
      </c>
      <c r="H271" s="516"/>
      <c r="I271" s="519"/>
      <c r="J271" s="828">
        <v>141793</v>
      </c>
      <c r="K271" s="519">
        <v>129154</v>
      </c>
      <c r="L271" s="516">
        <v>43282</v>
      </c>
      <c r="M271" s="559">
        <v>24981</v>
      </c>
      <c r="N271" s="516">
        <v>153821</v>
      </c>
      <c r="O271" s="559">
        <v>143145</v>
      </c>
      <c r="P271" s="506">
        <f t="shared" si="125"/>
        <v>338896</v>
      </c>
      <c r="Q271" s="507">
        <f t="shared" si="126"/>
        <v>11296.533333333333</v>
      </c>
      <c r="R271" s="508">
        <f t="shared" si="127"/>
        <v>297280</v>
      </c>
      <c r="S271" s="509">
        <f t="shared" si="128"/>
        <v>9909.3333333333339</v>
      </c>
      <c r="T271" s="516">
        <v>3123</v>
      </c>
      <c r="U271" s="559">
        <v>6408</v>
      </c>
      <c r="V271" s="506">
        <f t="shared" si="129"/>
        <v>338896</v>
      </c>
      <c r="W271" s="510">
        <f t="shared" si="130"/>
        <v>297280</v>
      </c>
      <c r="X271" s="517"/>
      <c r="Y271" s="519"/>
      <c r="Z271" s="516"/>
      <c r="AA271" s="519"/>
      <c r="AB271" s="516"/>
      <c r="AC271" s="519"/>
      <c r="AD271" s="516"/>
      <c r="AE271" s="519"/>
      <c r="AF271" s="506">
        <f t="shared" si="131"/>
        <v>0</v>
      </c>
      <c r="AG271" s="507">
        <f t="shared" si="132"/>
        <v>0</v>
      </c>
      <c r="AH271" s="508">
        <f t="shared" si="133"/>
        <v>0</v>
      </c>
      <c r="AI271" s="508">
        <f t="shared" si="134"/>
        <v>0</v>
      </c>
      <c r="AJ271" s="516"/>
      <c r="AK271" s="519"/>
      <c r="AL271" s="506">
        <f t="shared" si="135"/>
        <v>0</v>
      </c>
      <c r="AM271" s="509">
        <f t="shared" si="136"/>
        <v>0</v>
      </c>
      <c r="AN271" s="518"/>
      <c r="AO271" s="520"/>
      <c r="AP271" s="516"/>
      <c r="AQ271" s="520"/>
      <c r="AR271" s="516"/>
      <c r="AS271" s="520"/>
      <c r="AT271" s="516"/>
      <c r="AU271" s="520"/>
      <c r="AV271" s="506">
        <f t="shared" si="137"/>
        <v>0</v>
      </c>
      <c r="AW271" s="511">
        <f t="shared" si="138"/>
        <v>0</v>
      </c>
      <c r="AX271" s="508">
        <f t="shared" si="139"/>
        <v>0</v>
      </c>
      <c r="AY271" s="512">
        <f t="shared" si="140"/>
        <v>0</v>
      </c>
      <c r="AZ271" s="513">
        <f t="shared" si="141"/>
        <v>11296.533333333333</v>
      </c>
      <c r="BA271" s="508">
        <f t="shared" si="142"/>
        <v>9909.3333333333339</v>
      </c>
    </row>
    <row r="272" spans="1:53" ht="15.75" customHeight="1">
      <c r="A272" s="825" t="s">
        <v>420</v>
      </c>
      <c r="B272" s="790" t="s">
        <v>966</v>
      </c>
      <c r="C272" s="788"/>
      <c r="D272" s="786">
        <v>175829</v>
      </c>
      <c r="E272" s="791">
        <v>8</v>
      </c>
      <c r="F272" s="514" t="s">
        <v>41</v>
      </c>
      <c r="G272" s="515" t="s">
        <v>41</v>
      </c>
      <c r="H272" s="516"/>
      <c r="I272" s="519"/>
      <c r="J272" s="828">
        <v>91528</v>
      </c>
      <c r="K272" s="519">
        <v>77365</v>
      </c>
      <c r="L272" s="516">
        <v>21793</v>
      </c>
      <c r="M272" s="559">
        <v>10862</v>
      </c>
      <c r="N272" s="516">
        <v>90765</v>
      </c>
      <c r="O272" s="559">
        <v>78218</v>
      </c>
      <c r="P272" s="506">
        <f t="shared" si="125"/>
        <v>204086</v>
      </c>
      <c r="Q272" s="507">
        <f t="shared" si="126"/>
        <v>6802.8666666666668</v>
      </c>
      <c r="R272" s="508">
        <f t="shared" si="127"/>
        <v>166445</v>
      </c>
      <c r="S272" s="509">
        <f t="shared" si="128"/>
        <v>5548.166666666667</v>
      </c>
      <c r="T272" s="516">
        <v>1042</v>
      </c>
      <c r="U272" s="559">
        <v>1187</v>
      </c>
      <c r="V272" s="506">
        <f t="shared" si="129"/>
        <v>204086</v>
      </c>
      <c r="W272" s="510">
        <f t="shared" si="130"/>
        <v>166445</v>
      </c>
      <c r="X272" s="517"/>
      <c r="Y272" s="519"/>
      <c r="Z272" s="516"/>
      <c r="AA272" s="519"/>
      <c r="AB272" s="516"/>
      <c r="AC272" s="519"/>
      <c r="AD272" s="516"/>
      <c r="AE272" s="519"/>
      <c r="AF272" s="506">
        <f t="shared" si="131"/>
        <v>0</v>
      </c>
      <c r="AG272" s="507">
        <f t="shared" si="132"/>
        <v>0</v>
      </c>
      <c r="AH272" s="508">
        <f t="shared" si="133"/>
        <v>0</v>
      </c>
      <c r="AI272" s="508">
        <f t="shared" si="134"/>
        <v>0</v>
      </c>
      <c r="AJ272" s="516"/>
      <c r="AK272" s="519"/>
      <c r="AL272" s="506">
        <f t="shared" si="135"/>
        <v>0</v>
      </c>
      <c r="AM272" s="509">
        <f t="shared" si="136"/>
        <v>0</v>
      </c>
      <c r="AN272" s="518"/>
      <c r="AO272" s="520"/>
      <c r="AP272" s="516"/>
      <c r="AQ272" s="520"/>
      <c r="AR272" s="516"/>
      <c r="AS272" s="520"/>
      <c r="AT272" s="516"/>
      <c r="AU272" s="520"/>
      <c r="AV272" s="506">
        <f t="shared" si="137"/>
        <v>0</v>
      </c>
      <c r="AW272" s="511">
        <f t="shared" si="138"/>
        <v>0</v>
      </c>
      <c r="AX272" s="508">
        <f t="shared" si="139"/>
        <v>0</v>
      </c>
      <c r="AY272" s="512">
        <f t="shared" si="140"/>
        <v>0</v>
      </c>
      <c r="AZ272" s="513">
        <f t="shared" si="141"/>
        <v>6802.8666666666668</v>
      </c>
      <c r="BA272" s="508">
        <f t="shared" si="142"/>
        <v>5548.166666666667</v>
      </c>
    </row>
    <row r="273" spans="1:53" ht="15.75" customHeight="1">
      <c r="A273" s="825" t="s">
        <v>420</v>
      </c>
      <c r="B273" s="790" t="s">
        <v>967</v>
      </c>
      <c r="C273" s="788"/>
      <c r="D273" s="786">
        <v>176071</v>
      </c>
      <c r="E273" s="827">
        <v>8</v>
      </c>
      <c r="F273" s="514" t="s">
        <v>41</v>
      </c>
      <c r="G273" s="515" t="s">
        <v>41</v>
      </c>
      <c r="H273" s="829">
        <v>525</v>
      </c>
      <c r="I273" s="618">
        <v>231</v>
      </c>
      <c r="J273" s="828">
        <v>108752</v>
      </c>
      <c r="K273" s="519">
        <v>109179</v>
      </c>
      <c r="L273" s="516">
        <v>26834</v>
      </c>
      <c r="M273" s="559">
        <v>24710</v>
      </c>
      <c r="N273" s="516">
        <v>118350</v>
      </c>
      <c r="O273" s="559">
        <v>118537</v>
      </c>
      <c r="P273" s="506">
        <f t="shared" si="125"/>
        <v>254461</v>
      </c>
      <c r="Q273" s="507">
        <f t="shared" si="126"/>
        <v>8482.0333333333328</v>
      </c>
      <c r="R273" s="508">
        <f t="shared" si="127"/>
        <v>252657</v>
      </c>
      <c r="S273" s="509">
        <f t="shared" si="128"/>
        <v>8421.9</v>
      </c>
      <c r="T273" s="516">
        <v>1594</v>
      </c>
      <c r="U273" s="559">
        <v>2157</v>
      </c>
      <c r="V273" s="506">
        <f t="shared" si="129"/>
        <v>254461</v>
      </c>
      <c r="W273" s="510">
        <f t="shared" si="130"/>
        <v>252657</v>
      </c>
      <c r="X273" s="517"/>
      <c r="Y273" s="519"/>
      <c r="Z273" s="516"/>
      <c r="AA273" s="519"/>
      <c r="AB273" s="516"/>
      <c r="AC273" s="519"/>
      <c r="AD273" s="516"/>
      <c r="AE273" s="519"/>
      <c r="AF273" s="506">
        <f t="shared" si="131"/>
        <v>0</v>
      </c>
      <c r="AG273" s="507">
        <f t="shared" si="132"/>
        <v>0</v>
      </c>
      <c r="AH273" s="508">
        <f t="shared" si="133"/>
        <v>0</v>
      </c>
      <c r="AI273" s="508">
        <f t="shared" si="134"/>
        <v>0</v>
      </c>
      <c r="AJ273" s="516"/>
      <c r="AK273" s="519"/>
      <c r="AL273" s="506">
        <f t="shared" si="135"/>
        <v>0</v>
      </c>
      <c r="AM273" s="509">
        <f t="shared" si="136"/>
        <v>0</v>
      </c>
      <c r="AN273" s="518"/>
      <c r="AO273" s="520"/>
      <c r="AP273" s="516"/>
      <c r="AQ273" s="520"/>
      <c r="AR273" s="516"/>
      <c r="AS273" s="520"/>
      <c r="AT273" s="516"/>
      <c r="AU273" s="520"/>
      <c r="AV273" s="506">
        <f t="shared" si="137"/>
        <v>0</v>
      </c>
      <c r="AW273" s="511">
        <f t="shared" si="138"/>
        <v>0</v>
      </c>
      <c r="AX273" s="508">
        <f t="shared" si="139"/>
        <v>0</v>
      </c>
      <c r="AY273" s="512">
        <f t="shared" si="140"/>
        <v>0</v>
      </c>
      <c r="AZ273" s="513">
        <f t="shared" si="141"/>
        <v>8482.0333333333328</v>
      </c>
      <c r="BA273" s="508">
        <f t="shared" si="142"/>
        <v>8421.9</v>
      </c>
    </row>
    <row r="274" spans="1:53" ht="15.75" customHeight="1">
      <c r="A274" s="825" t="s">
        <v>420</v>
      </c>
      <c r="B274" s="790" t="s">
        <v>968</v>
      </c>
      <c r="C274" s="788"/>
      <c r="D274" s="786">
        <v>176178</v>
      </c>
      <c r="E274" s="827">
        <v>8</v>
      </c>
      <c r="F274" s="514" t="s">
        <v>41</v>
      </c>
      <c r="G274" s="515" t="s">
        <v>41</v>
      </c>
      <c r="H274" s="516"/>
      <c r="I274" s="519"/>
      <c r="J274" s="828">
        <v>95084</v>
      </c>
      <c r="K274" s="519">
        <v>92151</v>
      </c>
      <c r="L274" s="516">
        <v>22602</v>
      </c>
      <c r="M274" s="559">
        <v>16932</v>
      </c>
      <c r="N274" s="516">
        <v>97598</v>
      </c>
      <c r="O274" s="559">
        <v>96143</v>
      </c>
      <c r="P274" s="506">
        <f t="shared" ref="P274:P287" si="143">SUM(H274,J274,L274,N274)</f>
        <v>215284</v>
      </c>
      <c r="Q274" s="507">
        <f t="shared" ref="Q274:Q287" si="144">+P274/30</f>
        <v>7176.1333333333332</v>
      </c>
      <c r="R274" s="508">
        <f t="shared" ref="R274:R287" si="145">SUM(I274,K274,M274,O274)</f>
        <v>205226</v>
      </c>
      <c r="S274" s="509">
        <f t="shared" ref="S274:S287" si="146">+R274/30</f>
        <v>6840.8666666666668</v>
      </c>
      <c r="T274" s="516">
        <v>2002</v>
      </c>
      <c r="U274" s="559">
        <v>1327</v>
      </c>
      <c r="V274" s="506">
        <f t="shared" ref="V274:V287" si="147">IF(ISBLANK(T274),0,P274)</f>
        <v>215284</v>
      </c>
      <c r="W274" s="510">
        <f t="shared" ref="W274:W287" si="148">IF(ISBLANK(U274),0,R274)</f>
        <v>205226</v>
      </c>
      <c r="X274" s="517"/>
      <c r="Y274" s="519"/>
      <c r="Z274" s="516"/>
      <c r="AA274" s="519"/>
      <c r="AB274" s="516"/>
      <c r="AC274" s="519"/>
      <c r="AD274" s="516"/>
      <c r="AE274" s="519"/>
      <c r="AF274" s="506">
        <f t="shared" ref="AF274:AF288" si="149">SUM(X274,Z274,AB274,AD274)</f>
        <v>0</v>
      </c>
      <c r="AG274" s="507">
        <f t="shared" ref="AG274:AG288" si="150">+AF274/900</f>
        <v>0</v>
      </c>
      <c r="AH274" s="508">
        <f t="shared" ref="AH274:AH288" si="151">SUM(Y274,AA274,AC274,AE274)</f>
        <v>0</v>
      </c>
      <c r="AI274" s="508">
        <f t="shared" ref="AI274:AI288" si="152">+AH274/900</f>
        <v>0</v>
      </c>
      <c r="AJ274" s="516"/>
      <c r="AK274" s="519"/>
      <c r="AL274" s="506">
        <f t="shared" ref="AL274:AL292" si="153">IF(ISBLANK(AJ274),0,AF274)</f>
        <v>0</v>
      </c>
      <c r="AM274" s="509">
        <f t="shared" ref="AM274:AM292" si="154">IF(ISBLANK(AK274),0,AH274)</f>
        <v>0</v>
      </c>
      <c r="AN274" s="518"/>
      <c r="AO274" s="520"/>
      <c r="AP274" s="516"/>
      <c r="AQ274" s="520"/>
      <c r="AR274" s="516"/>
      <c r="AS274" s="520"/>
      <c r="AT274" s="516"/>
      <c r="AU274" s="520"/>
      <c r="AV274" s="506">
        <f t="shared" ref="AV274:AV289" si="155">SUM(AN274,AP274,AR274,AT274)</f>
        <v>0</v>
      </c>
      <c r="AW274" s="511">
        <f t="shared" ref="AW274:AW289" si="156">+AV274/24</f>
        <v>0</v>
      </c>
      <c r="AX274" s="508">
        <f t="shared" ref="AX274:AX289" si="157">SUM(AO274,AQ274,AS274,AU274)</f>
        <v>0</v>
      </c>
      <c r="AY274" s="512">
        <f t="shared" ref="AY274:AY289" si="158">+AX274/24</f>
        <v>0</v>
      </c>
      <c r="AZ274" s="513">
        <f t="shared" ref="AZ274:AZ289" si="159">SUM(Q274,AG274,AW274)</f>
        <v>7176.1333333333332</v>
      </c>
      <c r="BA274" s="508">
        <f t="shared" ref="BA274:BA289" si="160">SUM(S274,AI274,AY274)</f>
        <v>6840.8666666666668</v>
      </c>
    </row>
    <row r="275" spans="1:53" ht="15.75" customHeight="1">
      <c r="A275" s="825" t="s">
        <v>420</v>
      </c>
      <c r="B275" s="790" t="s">
        <v>969</v>
      </c>
      <c r="C275" s="788"/>
      <c r="D275" s="786">
        <v>175573</v>
      </c>
      <c r="E275" s="827">
        <v>9</v>
      </c>
      <c r="F275" s="514" t="s">
        <v>41</v>
      </c>
      <c r="G275" s="515" t="s">
        <v>41</v>
      </c>
      <c r="H275" s="516"/>
      <c r="I275" s="519"/>
      <c r="J275" s="828">
        <v>42906</v>
      </c>
      <c r="K275" s="519">
        <v>39502</v>
      </c>
      <c r="L275" s="516">
        <v>10797</v>
      </c>
      <c r="M275" s="559">
        <v>6859</v>
      </c>
      <c r="N275" s="516">
        <v>45936</v>
      </c>
      <c r="O275" s="559">
        <v>41919</v>
      </c>
      <c r="P275" s="506">
        <f t="shared" si="143"/>
        <v>99639</v>
      </c>
      <c r="Q275" s="507">
        <f t="shared" si="144"/>
        <v>3321.3</v>
      </c>
      <c r="R275" s="508">
        <f t="shared" si="145"/>
        <v>88280</v>
      </c>
      <c r="S275" s="509">
        <f t="shared" si="146"/>
        <v>2942.6666666666665</v>
      </c>
      <c r="T275" s="516">
        <v>1041</v>
      </c>
      <c r="U275" s="559">
        <v>420</v>
      </c>
      <c r="V275" s="506">
        <f t="shared" si="147"/>
        <v>99639</v>
      </c>
      <c r="W275" s="510">
        <f t="shared" si="148"/>
        <v>88280</v>
      </c>
      <c r="X275" s="517"/>
      <c r="Y275" s="519"/>
      <c r="Z275" s="516"/>
      <c r="AA275" s="519"/>
      <c r="AB275" s="516"/>
      <c r="AC275" s="519"/>
      <c r="AD275" s="516"/>
      <c r="AE275" s="519"/>
      <c r="AF275" s="506">
        <f t="shared" si="149"/>
        <v>0</v>
      </c>
      <c r="AG275" s="507">
        <f t="shared" si="150"/>
        <v>0</v>
      </c>
      <c r="AH275" s="508">
        <f t="shared" si="151"/>
        <v>0</v>
      </c>
      <c r="AI275" s="508">
        <f t="shared" si="152"/>
        <v>0</v>
      </c>
      <c r="AJ275" s="516"/>
      <c r="AK275" s="519"/>
      <c r="AL275" s="506">
        <f t="shared" si="153"/>
        <v>0</v>
      </c>
      <c r="AM275" s="509">
        <f t="shared" si="154"/>
        <v>0</v>
      </c>
      <c r="AN275" s="518"/>
      <c r="AO275" s="520"/>
      <c r="AP275" s="516"/>
      <c r="AQ275" s="520"/>
      <c r="AR275" s="516"/>
      <c r="AS275" s="520"/>
      <c r="AT275" s="516"/>
      <c r="AU275" s="520"/>
      <c r="AV275" s="506">
        <f t="shared" si="155"/>
        <v>0</v>
      </c>
      <c r="AW275" s="511">
        <f t="shared" si="156"/>
        <v>0</v>
      </c>
      <c r="AX275" s="508">
        <f t="shared" si="157"/>
        <v>0</v>
      </c>
      <c r="AY275" s="512">
        <f t="shared" si="158"/>
        <v>0</v>
      </c>
      <c r="AZ275" s="513">
        <f t="shared" si="159"/>
        <v>3321.3</v>
      </c>
      <c r="BA275" s="508">
        <f t="shared" si="160"/>
        <v>2942.6666666666665</v>
      </c>
    </row>
    <row r="276" spans="1:53" ht="15.75" customHeight="1">
      <c r="A276" s="825" t="s">
        <v>420</v>
      </c>
      <c r="B276" s="790" t="s">
        <v>970</v>
      </c>
      <c r="C276" s="788"/>
      <c r="D276" s="786">
        <v>175643</v>
      </c>
      <c r="E276" s="827">
        <v>9</v>
      </c>
      <c r="F276" s="514" t="s">
        <v>41</v>
      </c>
      <c r="G276" s="515" t="s">
        <v>41</v>
      </c>
      <c r="H276" s="516"/>
      <c r="I276" s="519"/>
      <c r="J276" s="828">
        <v>30047</v>
      </c>
      <c r="K276" s="519">
        <v>29552</v>
      </c>
      <c r="L276" s="516">
        <v>7605</v>
      </c>
      <c r="M276" s="559">
        <v>6374</v>
      </c>
      <c r="N276" s="516">
        <v>33007</v>
      </c>
      <c r="O276" s="559">
        <v>32007</v>
      </c>
      <c r="P276" s="506">
        <f t="shared" si="143"/>
        <v>70659</v>
      </c>
      <c r="Q276" s="507">
        <f t="shared" si="144"/>
        <v>2355.3000000000002</v>
      </c>
      <c r="R276" s="508">
        <f t="shared" si="145"/>
        <v>67933</v>
      </c>
      <c r="S276" s="509">
        <f t="shared" si="146"/>
        <v>2264.4333333333334</v>
      </c>
      <c r="T276" s="516">
        <v>1053</v>
      </c>
      <c r="U276" s="559">
        <v>1251</v>
      </c>
      <c r="V276" s="506">
        <f t="shared" si="147"/>
        <v>70659</v>
      </c>
      <c r="W276" s="510">
        <f t="shared" si="148"/>
        <v>67933</v>
      </c>
      <c r="X276" s="517"/>
      <c r="Y276" s="519"/>
      <c r="Z276" s="516"/>
      <c r="AA276" s="519"/>
      <c r="AB276" s="516"/>
      <c r="AC276" s="519"/>
      <c r="AD276" s="516"/>
      <c r="AE276" s="519"/>
      <c r="AF276" s="506">
        <f t="shared" si="149"/>
        <v>0</v>
      </c>
      <c r="AG276" s="507">
        <f t="shared" si="150"/>
        <v>0</v>
      </c>
      <c r="AH276" s="508">
        <f t="shared" si="151"/>
        <v>0</v>
      </c>
      <c r="AI276" s="508">
        <f t="shared" si="152"/>
        <v>0</v>
      </c>
      <c r="AJ276" s="516"/>
      <c r="AK276" s="519"/>
      <c r="AL276" s="506">
        <f t="shared" si="153"/>
        <v>0</v>
      </c>
      <c r="AM276" s="509">
        <f t="shared" si="154"/>
        <v>0</v>
      </c>
      <c r="AN276" s="518"/>
      <c r="AO276" s="520"/>
      <c r="AP276" s="516"/>
      <c r="AQ276" s="520"/>
      <c r="AR276" s="516"/>
      <c r="AS276" s="520"/>
      <c r="AT276" s="516"/>
      <c r="AU276" s="520"/>
      <c r="AV276" s="506">
        <f t="shared" si="155"/>
        <v>0</v>
      </c>
      <c r="AW276" s="511">
        <f t="shared" si="156"/>
        <v>0</v>
      </c>
      <c r="AX276" s="508">
        <f t="shared" si="157"/>
        <v>0</v>
      </c>
      <c r="AY276" s="512">
        <f t="shared" si="158"/>
        <v>0</v>
      </c>
      <c r="AZ276" s="513">
        <f t="shared" si="159"/>
        <v>2355.3000000000002</v>
      </c>
      <c r="BA276" s="508">
        <f t="shared" si="160"/>
        <v>2264.4333333333334</v>
      </c>
    </row>
    <row r="277" spans="1:53" ht="15.75" customHeight="1">
      <c r="A277" s="825" t="s">
        <v>420</v>
      </c>
      <c r="B277" s="790" t="s">
        <v>971</v>
      </c>
      <c r="C277" s="788"/>
      <c r="D277" s="786">
        <v>175652</v>
      </c>
      <c r="E277" s="827">
        <v>9</v>
      </c>
      <c r="F277" s="514" t="s">
        <v>41</v>
      </c>
      <c r="G277" s="515" t="s">
        <v>41</v>
      </c>
      <c r="H277" s="516"/>
      <c r="I277" s="519"/>
      <c r="J277" s="828">
        <v>54193</v>
      </c>
      <c r="K277" s="519">
        <v>50856</v>
      </c>
      <c r="L277" s="516">
        <v>18297</v>
      </c>
      <c r="M277" s="559">
        <v>13061</v>
      </c>
      <c r="N277" s="516">
        <v>57188</v>
      </c>
      <c r="O277" s="559">
        <v>56450</v>
      </c>
      <c r="P277" s="506">
        <f t="shared" si="143"/>
        <v>129678</v>
      </c>
      <c r="Q277" s="507">
        <f t="shared" si="144"/>
        <v>4322.6000000000004</v>
      </c>
      <c r="R277" s="508">
        <f t="shared" si="145"/>
        <v>120367</v>
      </c>
      <c r="S277" s="509">
        <f t="shared" si="146"/>
        <v>4012.2333333333331</v>
      </c>
      <c r="T277" s="516">
        <v>412</v>
      </c>
      <c r="U277" s="559">
        <v>1426</v>
      </c>
      <c r="V277" s="506">
        <f t="shared" si="147"/>
        <v>129678</v>
      </c>
      <c r="W277" s="510">
        <f t="shared" si="148"/>
        <v>120367</v>
      </c>
      <c r="X277" s="517"/>
      <c r="Y277" s="519"/>
      <c r="Z277" s="516"/>
      <c r="AA277" s="519"/>
      <c r="AB277" s="516"/>
      <c r="AC277" s="519"/>
      <c r="AD277" s="516"/>
      <c r="AE277" s="519"/>
      <c r="AF277" s="506">
        <f t="shared" si="149"/>
        <v>0</v>
      </c>
      <c r="AG277" s="507">
        <f t="shared" si="150"/>
        <v>0</v>
      </c>
      <c r="AH277" s="508">
        <f t="shared" si="151"/>
        <v>0</v>
      </c>
      <c r="AI277" s="508">
        <f t="shared" si="152"/>
        <v>0</v>
      </c>
      <c r="AJ277" s="516"/>
      <c r="AK277" s="519"/>
      <c r="AL277" s="506">
        <f t="shared" si="153"/>
        <v>0</v>
      </c>
      <c r="AM277" s="509">
        <f t="shared" si="154"/>
        <v>0</v>
      </c>
      <c r="AN277" s="518"/>
      <c r="AO277" s="520"/>
      <c r="AP277" s="516"/>
      <c r="AQ277" s="520"/>
      <c r="AR277" s="516"/>
      <c r="AS277" s="520"/>
      <c r="AT277" s="516"/>
      <c r="AU277" s="520"/>
      <c r="AV277" s="506">
        <f t="shared" si="155"/>
        <v>0</v>
      </c>
      <c r="AW277" s="511">
        <f t="shared" si="156"/>
        <v>0</v>
      </c>
      <c r="AX277" s="508">
        <f t="shared" si="157"/>
        <v>0</v>
      </c>
      <c r="AY277" s="512">
        <f t="shared" si="158"/>
        <v>0</v>
      </c>
      <c r="AZ277" s="513">
        <f t="shared" si="159"/>
        <v>4322.6000000000004</v>
      </c>
      <c r="BA277" s="508">
        <f t="shared" si="160"/>
        <v>4012.2333333333331</v>
      </c>
    </row>
    <row r="278" spans="1:53">
      <c r="A278" s="825" t="s">
        <v>420</v>
      </c>
      <c r="B278" s="790" t="s">
        <v>972</v>
      </c>
      <c r="C278" s="788" t="s">
        <v>980</v>
      </c>
      <c r="D278" s="786">
        <v>175810</v>
      </c>
      <c r="E278" s="827">
        <v>9</v>
      </c>
      <c r="F278" s="514" t="s">
        <v>41</v>
      </c>
      <c r="G278" s="515" t="s">
        <v>41</v>
      </c>
      <c r="H278" s="516"/>
      <c r="I278" s="519"/>
      <c r="J278" s="828">
        <v>69544</v>
      </c>
      <c r="K278" s="519">
        <v>65335</v>
      </c>
      <c r="L278" s="516">
        <v>21647</v>
      </c>
      <c r="M278" s="559">
        <v>16641</v>
      </c>
      <c r="N278" s="516">
        <v>72931</v>
      </c>
      <c r="O278" s="559">
        <v>74724</v>
      </c>
      <c r="P278" s="506">
        <f t="shared" si="143"/>
        <v>164122</v>
      </c>
      <c r="Q278" s="507">
        <f t="shared" si="144"/>
        <v>5470.7333333333336</v>
      </c>
      <c r="R278" s="508">
        <f t="shared" si="145"/>
        <v>156700</v>
      </c>
      <c r="S278" s="509">
        <f t="shared" si="146"/>
        <v>5223.333333333333</v>
      </c>
      <c r="T278" s="516">
        <v>1224</v>
      </c>
      <c r="U278" s="559">
        <v>1619</v>
      </c>
      <c r="V278" s="506">
        <f t="shared" si="147"/>
        <v>164122</v>
      </c>
      <c r="W278" s="510">
        <f t="shared" si="148"/>
        <v>156700</v>
      </c>
      <c r="X278" s="517"/>
      <c r="Y278" s="519"/>
      <c r="Z278" s="516"/>
      <c r="AA278" s="519"/>
      <c r="AB278" s="516"/>
      <c r="AC278" s="519"/>
      <c r="AD278" s="516"/>
      <c r="AE278" s="519"/>
      <c r="AF278" s="506">
        <f t="shared" si="149"/>
        <v>0</v>
      </c>
      <c r="AG278" s="507">
        <f t="shared" si="150"/>
        <v>0</v>
      </c>
      <c r="AH278" s="508">
        <f t="shared" si="151"/>
        <v>0</v>
      </c>
      <c r="AI278" s="508">
        <f t="shared" si="152"/>
        <v>0</v>
      </c>
      <c r="AJ278" s="516"/>
      <c r="AK278" s="519"/>
      <c r="AL278" s="506">
        <f t="shared" si="153"/>
        <v>0</v>
      </c>
      <c r="AM278" s="509">
        <f t="shared" si="154"/>
        <v>0</v>
      </c>
      <c r="AN278" s="518"/>
      <c r="AO278" s="520"/>
      <c r="AP278" s="516"/>
      <c r="AQ278" s="520"/>
      <c r="AR278" s="516"/>
      <c r="AS278" s="520"/>
      <c r="AT278" s="516"/>
      <c r="AU278" s="520"/>
      <c r="AV278" s="506">
        <f t="shared" si="155"/>
        <v>0</v>
      </c>
      <c r="AW278" s="511">
        <f t="shared" si="156"/>
        <v>0</v>
      </c>
      <c r="AX278" s="508">
        <f t="shared" si="157"/>
        <v>0</v>
      </c>
      <c r="AY278" s="512">
        <f t="shared" si="158"/>
        <v>0</v>
      </c>
      <c r="AZ278" s="513">
        <f t="shared" si="159"/>
        <v>5470.7333333333336</v>
      </c>
      <c r="BA278" s="508">
        <f t="shared" si="160"/>
        <v>5223.333333333333</v>
      </c>
    </row>
    <row r="279" spans="1:53">
      <c r="A279" s="825" t="s">
        <v>420</v>
      </c>
      <c r="B279" s="790" t="s">
        <v>973</v>
      </c>
      <c r="C279" s="788"/>
      <c r="D279" s="786">
        <v>175883</v>
      </c>
      <c r="E279" s="827">
        <v>9</v>
      </c>
      <c r="F279" s="514" t="s">
        <v>41</v>
      </c>
      <c r="G279" s="515" t="s">
        <v>41</v>
      </c>
      <c r="H279" s="516"/>
      <c r="I279" s="519"/>
      <c r="J279" s="828">
        <v>60439</v>
      </c>
      <c r="K279" s="519">
        <v>51242</v>
      </c>
      <c r="L279" s="516">
        <v>16482</v>
      </c>
      <c r="M279" s="559">
        <v>10469</v>
      </c>
      <c r="N279" s="516">
        <v>62145</v>
      </c>
      <c r="O279" s="559">
        <v>56224</v>
      </c>
      <c r="P279" s="506">
        <f t="shared" si="143"/>
        <v>139066</v>
      </c>
      <c r="Q279" s="507">
        <f t="shared" si="144"/>
        <v>4635.5333333333338</v>
      </c>
      <c r="R279" s="508">
        <f t="shared" si="145"/>
        <v>117935</v>
      </c>
      <c r="S279" s="509">
        <f t="shared" si="146"/>
        <v>3931.1666666666665</v>
      </c>
      <c r="T279" s="516">
        <v>1694</v>
      </c>
      <c r="U279" s="559">
        <v>1729</v>
      </c>
      <c r="V279" s="506">
        <f t="shared" si="147"/>
        <v>139066</v>
      </c>
      <c r="W279" s="510">
        <f t="shared" si="148"/>
        <v>117935</v>
      </c>
      <c r="X279" s="517"/>
      <c r="Y279" s="519"/>
      <c r="Z279" s="516"/>
      <c r="AA279" s="519"/>
      <c r="AB279" s="516"/>
      <c r="AC279" s="519"/>
      <c r="AD279" s="516"/>
      <c r="AE279" s="519"/>
      <c r="AF279" s="506">
        <f t="shared" si="149"/>
        <v>0</v>
      </c>
      <c r="AG279" s="507">
        <f t="shared" si="150"/>
        <v>0</v>
      </c>
      <c r="AH279" s="508">
        <f t="shared" si="151"/>
        <v>0</v>
      </c>
      <c r="AI279" s="508">
        <f t="shared" si="152"/>
        <v>0</v>
      </c>
      <c r="AJ279" s="516"/>
      <c r="AK279" s="519"/>
      <c r="AL279" s="506">
        <f t="shared" si="153"/>
        <v>0</v>
      </c>
      <c r="AM279" s="509">
        <f t="shared" si="154"/>
        <v>0</v>
      </c>
      <c r="AN279" s="518"/>
      <c r="AO279" s="520"/>
      <c r="AP279" s="516"/>
      <c r="AQ279" s="520"/>
      <c r="AR279" s="516"/>
      <c r="AS279" s="520"/>
      <c r="AT279" s="516"/>
      <c r="AU279" s="520"/>
      <c r="AV279" s="506">
        <f t="shared" si="155"/>
        <v>0</v>
      </c>
      <c r="AW279" s="511">
        <f t="shared" si="156"/>
        <v>0</v>
      </c>
      <c r="AX279" s="508">
        <f t="shared" si="157"/>
        <v>0</v>
      </c>
      <c r="AY279" s="512">
        <f t="shared" si="158"/>
        <v>0</v>
      </c>
      <c r="AZ279" s="513">
        <f t="shared" si="159"/>
        <v>4635.5333333333338</v>
      </c>
      <c r="BA279" s="508">
        <f t="shared" si="160"/>
        <v>3931.1666666666665</v>
      </c>
    </row>
    <row r="280" spans="1:53">
      <c r="A280" s="825" t="s">
        <v>420</v>
      </c>
      <c r="B280" s="790" t="s">
        <v>974</v>
      </c>
      <c r="C280" s="788"/>
      <c r="D280" s="786">
        <v>175935</v>
      </c>
      <c r="E280" s="827">
        <v>9</v>
      </c>
      <c r="F280" s="514" t="s">
        <v>41</v>
      </c>
      <c r="G280" s="515" t="s">
        <v>41</v>
      </c>
      <c r="H280" s="516"/>
      <c r="I280" s="519"/>
      <c r="J280" s="828">
        <v>43146</v>
      </c>
      <c r="K280" s="519">
        <v>43057.5</v>
      </c>
      <c r="L280" s="516">
        <v>9237</v>
      </c>
      <c r="M280" s="559">
        <v>7573</v>
      </c>
      <c r="N280" s="516">
        <v>48738.5</v>
      </c>
      <c r="O280" s="559">
        <v>45047.5</v>
      </c>
      <c r="P280" s="506">
        <f t="shared" si="143"/>
        <v>101121.5</v>
      </c>
      <c r="Q280" s="507">
        <f t="shared" si="144"/>
        <v>3370.7166666666667</v>
      </c>
      <c r="R280" s="508">
        <f t="shared" si="145"/>
        <v>95678</v>
      </c>
      <c r="S280" s="509">
        <f t="shared" si="146"/>
        <v>3189.2666666666669</v>
      </c>
      <c r="T280" s="516">
        <v>665</v>
      </c>
      <c r="U280" s="559">
        <v>663</v>
      </c>
      <c r="V280" s="506">
        <f t="shared" si="147"/>
        <v>101121.5</v>
      </c>
      <c r="W280" s="510">
        <f t="shared" si="148"/>
        <v>95678</v>
      </c>
      <c r="X280" s="517"/>
      <c r="Y280" s="519"/>
      <c r="Z280" s="516"/>
      <c r="AA280" s="519"/>
      <c r="AB280" s="516"/>
      <c r="AC280" s="519"/>
      <c r="AD280" s="516"/>
      <c r="AE280" s="519"/>
      <c r="AF280" s="506">
        <f t="shared" si="149"/>
        <v>0</v>
      </c>
      <c r="AG280" s="507">
        <f t="shared" si="150"/>
        <v>0</v>
      </c>
      <c r="AH280" s="508">
        <f t="shared" si="151"/>
        <v>0</v>
      </c>
      <c r="AI280" s="508">
        <f t="shared" si="152"/>
        <v>0</v>
      </c>
      <c r="AJ280" s="516"/>
      <c r="AK280" s="519"/>
      <c r="AL280" s="506">
        <f t="shared" si="153"/>
        <v>0</v>
      </c>
      <c r="AM280" s="509">
        <f t="shared" si="154"/>
        <v>0</v>
      </c>
      <c r="AN280" s="518"/>
      <c r="AO280" s="520"/>
      <c r="AP280" s="516"/>
      <c r="AQ280" s="520"/>
      <c r="AR280" s="516"/>
      <c r="AS280" s="520"/>
      <c r="AT280" s="516"/>
      <c r="AU280" s="520"/>
      <c r="AV280" s="506">
        <f t="shared" si="155"/>
        <v>0</v>
      </c>
      <c r="AW280" s="511">
        <f t="shared" si="156"/>
        <v>0</v>
      </c>
      <c r="AX280" s="508">
        <f t="shared" si="157"/>
        <v>0</v>
      </c>
      <c r="AY280" s="512">
        <f t="shared" si="158"/>
        <v>0</v>
      </c>
      <c r="AZ280" s="513">
        <f t="shared" si="159"/>
        <v>3370.7166666666667</v>
      </c>
      <c r="BA280" s="508">
        <f t="shared" si="160"/>
        <v>3189.2666666666669</v>
      </c>
    </row>
    <row r="281" spans="1:53">
      <c r="A281" s="825" t="s">
        <v>420</v>
      </c>
      <c r="B281" s="790" t="s">
        <v>975</v>
      </c>
      <c r="C281" s="788"/>
      <c r="D281" s="786">
        <v>176008</v>
      </c>
      <c r="E281" s="827">
        <v>9</v>
      </c>
      <c r="F281" s="514" t="s">
        <v>41</v>
      </c>
      <c r="G281" s="515" t="s">
        <v>41</v>
      </c>
      <c r="H281" s="516"/>
      <c r="I281" s="519"/>
      <c r="J281" s="828">
        <v>38930</v>
      </c>
      <c r="K281" s="519">
        <v>38237</v>
      </c>
      <c r="L281" s="516">
        <v>10269</v>
      </c>
      <c r="M281" s="559">
        <v>6047</v>
      </c>
      <c r="N281" s="516">
        <v>39692</v>
      </c>
      <c r="O281" s="559">
        <v>38367</v>
      </c>
      <c r="P281" s="506">
        <f t="shared" si="143"/>
        <v>88891</v>
      </c>
      <c r="Q281" s="507">
        <f t="shared" si="144"/>
        <v>2963.0333333333333</v>
      </c>
      <c r="R281" s="508">
        <f t="shared" si="145"/>
        <v>82651</v>
      </c>
      <c r="S281" s="509">
        <f t="shared" si="146"/>
        <v>2755.0333333333333</v>
      </c>
      <c r="T281" s="516">
        <v>617</v>
      </c>
      <c r="U281" s="559">
        <v>1394</v>
      </c>
      <c r="V281" s="506">
        <f t="shared" si="147"/>
        <v>88891</v>
      </c>
      <c r="W281" s="510">
        <f t="shared" si="148"/>
        <v>82651</v>
      </c>
      <c r="X281" s="517"/>
      <c r="Y281" s="519"/>
      <c r="Z281" s="516"/>
      <c r="AA281" s="519"/>
      <c r="AB281" s="516"/>
      <c r="AC281" s="519"/>
      <c r="AD281" s="516"/>
      <c r="AE281" s="519"/>
      <c r="AF281" s="506">
        <f t="shared" si="149"/>
        <v>0</v>
      </c>
      <c r="AG281" s="507">
        <f t="shared" si="150"/>
        <v>0</v>
      </c>
      <c r="AH281" s="508">
        <f t="shared" si="151"/>
        <v>0</v>
      </c>
      <c r="AI281" s="508">
        <f t="shared" si="152"/>
        <v>0</v>
      </c>
      <c r="AJ281" s="516"/>
      <c r="AK281" s="519"/>
      <c r="AL281" s="506">
        <f t="shared" si="153"/>
        <v>0</v>
      </c>
      <c r="AM281" s="509">
        <f t="shared" si="154"/>
        <v>0</v>
      </c>
      <c r="AN281" s="518"/>
      <c r="AO281" s="520"/>
      <c r="AP281" s="516"/>
      <c r="AQ281" s="520"/>
      <c r="AR281" s="516"/>
      <c r="AS281" s="520"/>
      <c r="AT281" s="516"/>
      <c r="AU281" s="520"/>
      <c r="AV281" s="506">
        <f t="shared" si="155"/>
        <v>0</v>
      </c>
      <c r="AW281" s="511">
        <f t="shared" si="156"/>
        <v>0</v>
      </c>
      <c r="AX281" s="508">
        <f t="shared" si="157"/>
        <v>0</v>
      </c>
      <c r="AY281" s="512">
        <f t="shared" si="158"/>
        <v>0</v>
      </c>
      <c r="AZ281" s="513">
        <f t="shared" si="159"/>
        <v>2963.0333333333333</v>
      </c>
      <c r="BA281" s="508">
        <f t="shared" si="160"/>
        <v>2755.0333333333333</v>
      </c>
    </row>
    <row r="282" spans="1:53">
      <c r="A282" s="825" t="s">
        <v>420</v>
      </c>
      <c r="B282" s="790" t="s">
        <v>976</v>
      </c>
      <c r="C282" s="788"/>
      <c r="D282" s="786">
        <v>176169</v>
      </c>
      <c r="E282" s="827">
        <v>9</v>
      </c>
      <c r="F282" s="514" t="s">
        <v>41</v>
      </c>
      <c r="G282" s="515" t="s">
        <v>41</v>
      </c>
      <c r="H282" s="516"/>
      <c r="I282" s="519"/>
      <c r="J282" s="828">
        <v>43934</v>
      </c>
      <c r="K282" s="519">
        <v>42980</v>
      </c>
      <c r="L282" s="516">
        <v>5621</v>
      </c>
      <c r="M282" s="559">
        <v>4311</v>
      </c>
      <c r="N282" s="516">
        <v>48678</v>
      </c>
      <c r="O282" s="559">
        <v>44847</v>
      </c>
      <c r="P282" s="506">
        <f t="shared" si="143"/>
        <v>98233</v>
      </c>
      <c r="Q282" s="507">
        <f t="shared" si="144"/>
        <v>3274.4333333333334</v>
      </c>
      <c r="R282" s="508">
        <f t="shared" si="145"/>
        <v>92138</v>
      </c>
      <c r="S282" s="509">
        <f t="shared" si="146"/>
        <v>3071.2666666666669</v>
      </c>
      <c r="T282" s="516">
        <v>651</v>
      </c>
      <c r="U282" s="559">
        <v>954</v>
      </c>
      <c r="V282" s="506">
        <f t="shared" si="147"/>
        <v>98233</v>
      </c>
      <c r="W282" s="510">
        <f t="shared" si="148"/>
        <v>92138</v>
      </c>
      <c r="X282" s="517"/>
      <c r="Y282" s="519"/>
      <c r="Z282" s="516"/>
      <c r="AA282" s="519"/>
      <c r="AB282" s="516"/>
      <c r="AC282" s="519"/>
      <c r="AD282" s="516"/>
      <c r="AE282" s="519"/>
      <c r="AF282" s="506">
        <f t="shared" si="149"/>
        <v>0</v>
      </c>
      <c r="AG282" s="507">
        <f t="shared" si="150"/>
        <v>0</v>
      </c>
      <c r="AH282" s="508">
        <f t="shared" si="151"/>
        <v>0</v>
      </c>
      <c r="AI282" s="508">
        <f t="shared" si="152"/>
        <v>0</v>
      </c>
      <c r="AJ282" s="516"/>
      <c r="AK282" s="519"/>
      <c r="AL282" s="506">
        <f t="shared" si="153"/>
        <v>0</v>
      </c>
      <c r="AM282" s="509">
        <f t="shared" si="154"/>
        <v>0</v>
      </c>
      <c r="AN282" s="518"/>
      <c r="AO282" s="520"/>
      <c r="AP282" s="516"/>
      <c r="AQ282" s="520"/>
      <c r="AR282" s="516"/>
      <c r="AS282" s="520"/>
      <c r="AT282" s="516"/>
      <c r="AU282" s="520"/>
      <c r="AV282" s="506">
        <f t="shared" si="155"/>
        <v>0</v>
      </c>
      <c r="AW282" s="511">
        <f t="shared" si="156"/>
        <v>0</v>
      </c>
      <c r="AX282" s="508">
        <f t="shared" si="157"/>
        <v>0</v>
      </c>
      <c r="AY282" s="512">
        <f t="shared" si="158"/>
        <v>0</v>
      </c>
      <c r="AZ282" s="513">
        <f t="shared" si="159"/>
        <v>3274.4333333333334</v>
      </c>
      <c r="BA282" s="508">
        <f t="shared" si="160"/>
        <v>3071.2666666666669</v>
      </c>
    </row>
    <row r="283" spans="1:53">
      <c r="A283" s="825" t="s">
        <v>420</v>
      </c>
      <c r="B283" s="790" t="s">
        <v>977</v>
      </c>
      <c r="C283" s="788"/>
      <c r="D283" s="786">
        <v>176239</v>
      </c>
      <c r="E283" s="827">
        <v>9</v>
      </c>
      <c r="F283" s="514" t="s">
        <v>41</v>
      </c>
      <c r="G283" s="515" t="s">
        <v>41</v>
      </c>
      <c r="H283" s="516"/>
      <c r="I283" s="519"/>
      <c r="J283" s="828">
        <v>56125</v>
      </c>
      <c r="K283" s="519">
        <v>53088</v>
      </c>
      <c r="L283" s="516">
        <v>13237</v>
      </c>
      <c r="M283" s="559">
        <v>9651</v>
      </c>
      <c r="N283" s="516">
        <v>60546</v>
      </c>
      <c r="O283" s="559">
        <v>55101</v>
      </c>
      <c r="P283" s="506">
        <f t="shared" si="143"/>
        <v>129908</v>
      </c>
      <c r="Q283" s="507">
        <f t="shared" si="144"/>
        <v>4330.2666666666664</v>
      </c>
      <c r="R283" s="508">
        <f t="shared" si="145"/>
        <v>117840</v>
      </c>
      <c r="S283" s="509">
        <f t="shared" si="146"/>
        <v>3928</v>
      </c>
      <c r="T283" s="516">
        <v>1182</v>
      </c>
      <c r="U283" s="559">
        <v>1146</v>
      </c>
      <c r="V283" s="506">
        <f t="shared" si="147"/>
        <v>129908</v>
      </c>
      <c r="W283" s="510">
        <f t="shared" si="148"/>
        <v>117840</v>
      </c>
      <c r="X283" s="517"/>
      <c r="Y283" s="519"/>
      <c r="Z283" s="516"/>
      <c r="AA283" s="519"/>
      <c r="AB283" s="516"/>
      <c r="AC283" s="519"/>
      <c r="AD283" s="516"/>
      <c r="AE283" s="519"/>
      <c r="AF283" s="506">
        <f t="shared" si="149"/>
        <v>0</v>
      </c>
      <c r="AG283" s="507">
        <f t="shared" si="150"/>
        <v>0</v>
      </c>
      <c r="AH283" s="508">
        <f t="shared" si="151"/>
        <v>0</v>
      </c>
      <c r="AI283" s="508">
        <f t="shared" si="152"/>
        <v>0</v>
      </c>
      <c r="AJ283" s="516"/>
      <c r="AK283" s="519"/>
      <c r="AL283" s="506">
        <f t="shared" si="153"/>
        <v>0</v>
      </c>
      <c r="AM283" s="509">
        <f t="shared" si="154"/>
        <v>0</v>
      </c>
      <c r="AN283" s="518"/>
      <c r="AO283" s="520"/>
      <c r="AP283" s="516"/>
      <c r="AQ283" s="520"/>
      <c r="AR283" s="516"/>
      <c r="AS283" s="520"/>
      <c r="AT283" s="516"/>
      <c r="AU283" s="520"/>
      <c r="AV283" s="506">
        <f t="shared" si="155"/>
        <v>0</v>
      </c>
      <c r="AW283" s="511">
        <f t="shared" si="156"/>
        <v>0</v>
      </c>
      <c r="AX283" s="508">
        <f t="shared" si="157"/>
        <v>0</v>
      </c>
      <c r="AY283" s="512">
        <f t="shared" si="158"/>
        <v>0</v>
      </c>
      <c r="AZ283" s="513">
        <f t="shared" si="159"/>
        <v>4330.2666666666664</v>
      </c>
      <c r="BA283" s="508">
        <f t="shared" si="160"/>
        <v>3928</v>
      </c>
    </row>
    <row r="284" spans="1:53">
      <c r="A284" s="825" t="s">
        <v>420</v>
      </c>
      <c r="B284" s="790" t="s">
        <v>978</v>
      </c>
      <c r="C284" s="788"/>
      <c r="D284" s="786">
        <v>175519</v>
      </c>
      <c r="E284" s="827">
        <v>10</v>
      </c>
      <c r="F284" s="514" t="s">
        <v>41</v>
      </c>
      <c r="G284" s="515" t="s">
        <v>41</v>
      </c>
      <c r="H284" s="516"/>
      <c r="I284" s="519"/>
      <c r="J284" s="828">
        <v>32587</v>
      </c>
      <c r="K284" s="519">
        <v>27350</v>
      </c>
      <c r="L284" s="516">
        <v>4761</v>
      </c>
      <c r="M284" s="559">
        <v>2318</v>
      </c>
      <c r="N284" s="516">
        <v>35023</v>
      </c>
      <c r="O284" s="559">
        <v>27617</v>
      </c>
      <c r="P284" s="506">
        <f t="shared" si="143"/>
        <v>72371</v>
      </c>
      <c r="Q284" s="507">
        <f t="shared" si="144"/>
        <v>2412.3666666666668</v>
      </c>
      <c r="R284" s="508">
        <f t="shared" si="145"/>
        <v>57285</v>
      </c>
      <c r="S284" s="509">
        <f t="shared" si="146"/>
        <v>1909.5</v>
      </c>
      <c r="T284" s="516">
        <v>747</v>
      </c>
      <c r="U284" s="559">
        <v>564</v>
      </c>
      <c r="V284" s="506">
        <f t="shared" si="147"/>
        <v>72371</v>
      </c>
      <c r="W284" s="510">
        <f t="shared" si="148"/>
        <v>57285</v>
      </c>
      <c r="X284" s="517"/>
      <c r="Y284" s="519"/>
      <c r="Z284" s="516"/>
      <c r="AA284" s="519"/>
      <c r="AB284" s="516"/>
      <c r="AC284" s="519"/>
      <c r="AD284" s="516"/>
      <c r="AE284" s="519"/>
      <c r="AF284" s="506">
        <f t="shared" si="149"/>
        <v>0</v>
      </c>
      <c r="AG284" s="507">
        <f t="shared" si="150"/>
        <v>0</v>
      </c>
      <c r="AH284" s="508">
        <f t="shared" si="151"/>
        <v>0</v>
      </c>
      <c r="AI284" s="508">
        <f t="shared" si="152"/>
        <v>0</v>
      </c>
      <c r="AJ284" s="516"/>
      <c r="AK284" s="519"/>
      <c r="AL284" s="506">
        <f t="shared" si="153"/>
        <v>0</v>
      </c>
      <c r="AM284" s="509">
        <f t="shared" si="154"/>
        <v>0</v>
      </c>
      <c r="AN284" s="518"/>
      <c r="AO284" s="520"/>
      <c r="AP284" s="516"/>
      <c r="AQ284" s="520"/>
      <c r="AR284" s="516"/>
      <c r="AS284" s="520"/>
      <c r="AT284" s="516"/>
      <c r="AU284" s="520"/>
      <c r="AV284" s="506">
        <f t="shared" si="155"/>
        <v>0</v>
      </c>
      <c r="AW284" s="511">
        <f t="shared" si="156"/>
        <v>0</v>
      </c>
      <c r="AX284" s="508">
        <f t="shared" si="157"/>
        <v>0</v>
      </c>
      <c r="AY284" s="512">
        <f t="shared" si="158"/>
        <v>0</v>
      </c>
      <c r="AZ284" s="513">
        <f t="shared" si="159"/>
        <v>2412.3666666666668</v>
      </c>
      <c r="BA284" s="508">
        <f t="shared" si="160"/>
        <v>1909.5</v>
      </c>
    </row>
    <row r="285" spans="1:53">
      <c r="A285" s="825" t="s">
        <v>420</v>
      </c>
      <c r="B285" s="790" t="s">
        <v>979</v>
      </c>
      <c r="C285" s="788"/>
      <c r="D285" s="786">
        <v>176354</v>
      </c>
      <c r="E285" s="827">
        <v>10</v>
      </c>
      <c r="F285" s="514" t="s">
        <v>41</v>
      </c>
      <c r="G285" s="515" t="s">
        <v>41</v>
      </c>
      <c r="H285" s="516"/>
      <c r="I285" s="519"/>
      <c r="J285" s="828">
        <v>24771</v>
      </c>
      <c r="K285" s="519">
        <v>26090</v>
      </c>
      <c r="L285" s="516">
        <v>4306</v>
      </c>
      <c r="M285" s="559">
        <v>3362</v>
      </c>
      <c r="N285" s="516">
        <v>28034</v>
      </c>
      <c r="O285" s="559">
        <v>27629</v>
      </c>
      <c r="P285" s="506">
        <f t="shared" si="143"/>
        <v>57111</v>
      </c>
      <c r="Q285" s="507">
        <f t="shared" si="144"/>
        <v>1903.7</v>
      </c>
      <c r="R285" s="508">
        <f t="shared" si="145"/>
        <v>57081</v>
      </c>
      <c r="S285" s="509">
        <f t="shared" si="146"/>
        <v>1902.7</v>
      </c>
      <c r="T285" s="516">
        <v>660</v>
      </c>
      <c r="U285" s="559">
        <v>728</v>
      </c>
      <c r="V285" s="506">
        <f t="shared" si="147"/>
        <v>57111</v>
      </c>
      <c r="W285" s="510">
        <f t="shared" si="148"/>
        <v>57081</v>
      </c>
      <c r="X285" s="517"/>
      <c r="Y285" s="519"/>
      <c r="Z285" s="516"/>
      <c r="AA285" s="519"/>
      <c r="AB285" s="516"/>
      <c r="AC285" s="519"/>
      <c r="AD285" s="516"/>
      <c r="AE285" s="519"/>
      <c r="AF285" s="506">
        <f t="shared" si="149"/>
        <v>0</v>
      </c>
      <c r="AG285" s="507">
        <f t="shared" si="150"/>
        <v>0</v>
      </c>
      <c r="AH285" s="508">
        <f t="shared" si="151"/>
        <v>0</v>
      </c>
      <c r="AI285" s="508">
        <f t="shared" si="152"/>
        <v>0</v>
      </c>
      <c r="AJ285" s="516"/>
      <c r="AK285" s="519"/>
      <c r="AL285" s="506">
        <f t="shared" si="153"/>
        <v>0</v>
      </c>
      <c r="AM285" s="509">
        <f t="shared" si="154"/>
        <v>0</v>
      </c>
      <c r="AN285" s="518"/>
      <c r="AO285" s="520"/>
      <c r="AP285" s="516"/>
      <c r="AQ285" s="520"/>
      <c r="AR285" s="516"/>
      <c r="AS285" s="520"/>
      <c r="AT285" s="516"/>
      <c r="AU285" s="520"/>
      <c r="AV285" s="506">
        <f t="shared" si="155"/>
        <v>0</v>
      </c>
      <c r="AW285" s="511">
        <f t="shared" si="156"/>
        <v>0</v>
      </c>
      <c r="AX285" s="508">
        <f t="shared" si="157"/>
        <v>0</v>
      </c>
      <c r="AY285" s="512">
        <f t="shared" si="158"/>
        <v>0</v>
      </c>
      <c r="AZ285" s="513">
        <f t="shared" si="159"/>
        <v>1903.7</v>
      </c>
      <c r="BA285" s="508">
        <f t="shared" si="160"/>
        <v>1902.7</v>
      </c>
    </row>
    <row r="286" spans="1:53">
      <c r="A286" s="569" t="s">
        <v>364</v>
      </c>
      <c r="B286" s="570" t="s">
        <v>365</v>
      </c>
      <c r="C286" s="572"/>
      <c r="D286" s="573">
        <v>199193</v>
      </c>
      <c r="E286" s="574">
        <v>1</v>
      </c>
      <c r="F286" s="514" t="s">
        <v>41</v>
      </c>
      <c r="G286" s="515"/>
      <c r="H286" s="516"/>
      <c r="I286" s="519"/>
      <c r="J286" s="516">
        <v>323770</v>
      </c>
      <c r="K286" s="519">
        <v>323964</v>
      </c>
      <c r="L286" s="516">
        <v>59666</v>
      </c>
      <c r="M286" s="519">
        <v>57251</v>
      </c>
      <c r="N286" s="516">
        <v>347252</v>
      </c>
      <c r="O286" s="519">
        <v>345012</v>
      </c>
      <c r="P286" s="506">
        <f t="shared" si="143"/>
        <v>730688</v>
      </c>
      <c r="Q286" s="507">
        <f t="shared" si="144"/>
        <v>24356.266666666666</v>
      </c>
      <c r="R286" s="508">
        <f t="shared" si="145"/>
        <v>726227</v>
      </c>
      <c r="S286" s="509">
        <f t="shared" si="146"/>
        <v>24207.566666666666</v>
      </c>
      <c r="T286" s="516">
        <v>0</v>
      </c>
      <c r="U286" s="519">
        <v>0</v>
      </c>
      <c r="V286" s="506">
        <f t="shared" si="147"/>
        <v>730688</v>
      </c>
      <c r="W286" s="510">
        <f t="shared" si="148"/>
        <v>726227</v>
      </c>
      <c r="X286" s="517"/>
      <c r="Y286" s="519"/>
      <c r="Z286" s="516"/>
      <c r="AA286" s="519"/>
      <c r="AB286" s="516"/>
      <c r="AC286" s="519"/>
      <c r="AD286" s="617"/>
      <c r="AE286" s="618"/>
      <c r="AF286" s="506">
        <f t="shared" si="149"/>
        <v>0</v>
      </c>
      <c r="AG286" s="507">
        <f t="shared" si="150"/>
        <v>0</v>
      </c>
      <c r="AH286" s="508">
        <f t="shared" si="151"/>
        <v>0</v>
      </c>
      <c r="AI286" s="508">
        <f t="shared" si="152"/>
        <v>0</v>
      </c>
      <c r="AJ286" s="516"/>
      <c r="AK286" s="519"/>
      <c r="AL286" s="506">
        <f t="shared" si="153"/>
        <v>0</v>
      </c>
      <c r="AM286" s="509">
        <f t="shared" si="154"/>
        <v>0</v>
      </c>
      <c r="AN286" s="518"/>
      <c r="AO286" s="520"/>
      <c r="AP286" s="516">
        <v>62881</v>
      </c>
      <c r="AQ286" s="520">
        <v>65636</v>
      </c>
      <c r="AR286" s="516">
        <v>9737</v>
      </c>
      <c r="AS286" s="520">
        <v>9790</v>
      </c>
      <c r="AT286" s="516">
        <v>69109</v>
      </c>
      <c r="AU286" s="520">
        <v>69181</v>
      </c>
      <c r="AV286" s="506">
        <f t="shared" si="155"/>
        <v>141727</v>
      </c>
      <c r="AW286" s="511">
        <f t="shared" si="156"/>
        <v>5905.291666666667</v>
      </c>
      <c r="AX286" s="508">
        <f t="shared" si="157"/>
        <v>144607</v>
      </c>
      <c r="AY286" s="512">
        <f t="shared" si="158"/>
        <v>6025.291666666667</v>
      </c>
      <c r="AZ286" s="513">
        <f t="shared" si="159"/>
        <v>30261.558333333334</v>
      </c>
      <c r="BA286" s="508">
        <f t="shared" si="160"/>
        <v>30232.858333333334</v>
      </c>
    </row>
    <row r="287" spans="1:53">
      <c r="A287" s="569" t="s">
        <v>364</v>
      </c>
      <c r="B287" s="570" t="s">
        <v>366</v>
      </c>
      <c r="C287" s="572"/>
      <c r="D287" s="573">
        <v>199120</v>
      </c>
      <c r="E287" s="574">
        <v>1</v>
      </c>
      <c r="F287" s="514" t="s">
        <v>41</v>
      </c>
      <c r="G287" s="515"/>
      <c r="H287" s="516"/>
      <c r="I287" s="519"/>
      <c r="J287" s="516">
        <v>231358</v>
      </c>
      <c r="K287" s="519">
        <v>231719</v>
      </c>
      <c r="L287" s="516">
        <v>35510</v>
      </c>
      <c r="M287" s="519">
        <v>33400</v>
      </c>
      <c r="N287" s="516">
        <v>245180</v>
      </c>
      <c r="O287" s="519">
        <v>246807</v>
      </c>
      <c r="P287" s="506">
        <f t="shared" si="143"/>
        <v>512048</v>
      </c>
      <c r="Q287" s="507">
        <f t="shared" si="144"/>
        <v>17068.266666666666</v>
      </c>
      <c r="R287" s="508">
        <f t="shared" si="145"/>
        <v>511926</v>
      </c>
      <c r="S287" s="509">
        <f t="shared" si="146"/>
        <v>17064.2</v>
      </c>
      <c r="T287" s="516">
        <v>8</v>
      </c>
      <c r="U287" s="519">
        <v>9</v>
      </c>
      <c r="V287" s="506">
        <f t="shared" si="147"/>
        <v>512048</v>
      </c>
      <c r="W287" s="510">
        <f t="shared" si="148"/>
        <v>511926</v>
      </c>
      <c r="X287" s="517"/>
      <c r="Y287" s="519"/>
      <c r="Z287" s="516"/>
      <c r="AA287" s="519"/>
      <c r="AB287" s="516"/>
      <c r="AC287" s="519"/>
      <c r="AD287" s="617"/>
      <c r="AE287" s="618"/>
      <c r="AF287" s="506">
        <f t="shared" si="149"/>
        <v>0</v>
      </c>
      <c r="AG287" s="507">
        <f t="shared" si="150"/>
        <v>0</v>
      </c>
      <c r="AH287" s="508">
        <f t="shared" si="151"/>
        <v>0</v>
      </c>
      <c r="AI287" s="508">
        <f t="shared" si="152"/>
        <v>0</v>
      </c>
      <c r="AJ287" s="516"/>
      <c r="AK287" s="519"/>
      <c r="AL287" s="506">
        <f t="shared" si="153"/>
        <v>0</v>
      </c>
      <c r="AM287" s="509">
        <f t="shared" si="154"/>
        <v>0</v>
      </c>
      <c r="AN287" s="518"/>
      <c r="AO287" s="520"/>
      <c r="AP287" s="516">
        <v>82860</v>
      </c>
      <c r="AQ287" s="520">
        <v>82666</v>
      </c>
      <c r="AR287" s="516">
        <v>13955</v>
      </c>
      <c r="AS287" s="520">
        <v>12708</v>
      </c>
      <c r="AT287" s="516">
        <v>90454</v>
      </c>
      <c r="AU287" s="520">
        <v>95958</v>
      </c>
      <c r="AV287" s="506">
        <f t="shared" si="155"/>
        <v>187269</v>
      </c>
      <c r="AW287" s="511">
        <f t="shared" si="156"/>
        <v>7802.875</v>
      </c>
      <c r="AX287" s="508">
        <f t="shared" si="157"/>
        <v>191332</v>
      </c>
      <c r="AY287" s="512">
        <f t="shared" si="158"/>
        <v>7972.166666666667</v>
      </c>
      <c r="AZ287" s="513">
        <f t="shared" si="159"/>
        <v>24871.141666666666</v>
      </c>
      <c r="BA287" s="508">
        <f t="shared" si="160"/>
        <v>25036.366666666669</v>
      </c>
    </row>
    <row r="288" spans="1:53">
      <c r="A288" s="569" t="s">
        <v>364</v>
      </c>
      <c r="B288" s="571" t="s">
        <v>367</v>
      </c>
      <c r="C288" s="575"/>
      <c r="D288" s="573">
        <v>199148</v>
      </c>
      <c r="E288" s="576">
        <v>1</v>
      </c>
      <c r="F288" s="514" t="s">
        <v>41</v>
      </c>
      <c r="G288" s="515"/>
      <c r="H288" s="516"/>
      <c r="I288" s="519"/>
      <c r="J288" s="516">
        <v>191003</v>
      </c>
      <c r="K288" s="519">
        <v>178744</v>
      </c>
      <c r="L288" s="516">
        <v>34548</v>
      </c>
      <c r="M288" s="519">
        <v>22682</v>
      </c>
      <c r="N288" s="516">
        <v>195330</v>
      </c>
      <c r="O288" s="519">
        <v>195598</v>
      </c>
      <c r="P288" s="506">
        <f t="shared" ref="P288" si="161">SUM(H288,J288,L288,N288)</f>
        <v>420881</v>
      </c>
      <c r="Q288" s="507">
        <f t="shared" ref="Q288" si="162">+P288/30</f>
        <v>14029.366666666667</v>
      </c>
      <c r="R288" s="508">
        <f t="shared" ref="R288" si="163">SUM(I288,K288,M288,O288)</f>
        <v>397024</v>
      </c>
      <c r="S288" s="509">
        <f t="shared" ref="S288" si="164">+R288/30</f>
        <v>13234.133333333333</v>
      </c>
      <c r="T288" s="516">
        <v>286</v>
      </c>
      <c r="U288" s="519">
        <v>0</v>
      </c>
      <c r="V288" s="506">
        <f t="shared" ref="V288" si="165">IF(ISBLANK(T288),0,P288)</f>
        <v>420881</v>
      </c>
      <c r="W288" s="510">
        <f t="shared" ref="W288" si="166">IF(ISBLANK(U288),0,R288)</f>
        <v>397024</v>
      </c>
      <c r="X288" s="517"/>
      <c r="Y288" s="519"/>
      <c r="Z288" s="516"/>
      <c r="AA288" s="519"/>
      <c r="AB288" s="516"/>
      <c r="AC288" s="519"/>
      <c r="AD288" s="617"/>
      <c r="AE288" s="618"/>
      <c r="AF288" s="506">
        <f t="shared" si="149"/>
        <v>0</v>
      </c>
      <c r="AG288" s="507">
        <f t="shared" si="150"/>
        <v>0</v>
      </c>
      <c r="AH288" s="508">
        <f t="shared" si="151"/>
        <v>0</v>
      </c>
      <c r="AI288" s="508">
        <f t="shared" si="152"/>
        <v>0</v>
      </c>
      <c r="AJ288" s="516"/>
      <c r="AK288" s="519"/>
      <c r="AL288" s="506">
        <f t="shared" si="153"/>
        <v>0</v>
      </c>
      <c r="AM288" s="509">
        <f t="shared" si="154"/>
        <v>0</v>
      </c>
      <c r="AN288" s="518"/>
      <c r="AO288" s="520"/>
      <c r="AP288" s="516">
        <v>31603</v>
      </c>
      <c r="AQ288" s="520">
        <v>31008</v>
      </c>
      <c r="AR288" s="516">
        <v>7592</v>
      </c>
      <c r="AS288" s="520">
        <v>4749</v>
      </c>
      <c r="AT288" s="516">
        <v>32348</v>
      </c>
      <c r="AU288" s="520">
        <v>31337</v>
      </c>
      <c r="AV288" s="506">
        <f t="shared" si="155"/>
        <v>71543</v>
      </c>
      <c r="AW288" s="511">
        <f t="shared" si="156"/>
        <v>2980.9583333333335</v>
      </c>
      <c r="AX288" s="508">
        <f t="shared" si="157"/>
        <v>67094</v>
      </c>
      <c r="AY288" s="512">
        <f t="shared" si="158"/>
        <v>2795.5833333333335</v>
      </c>
      <c r="AZ288" s="513">
        <f t="shared" si="159"/>
        <v>17010.325000000001</v>
      </c>
      <c r="BA288" s="508">
        <f t="shared" si="160"/>
        <v>16029.716666666667</v>
      </c>
    </row>
    <row r="289" spans="1:53">
      <c r="A289" s="569" t="s">
        <v>364</v>
      </c>
      <c r="B289" s="571" t="s">
        <v>370</v>
      </c>
      <c r="C289" s="575" t="s">
        <v>323</v>
      </c>
      <c r="D289" s="573">
        <v>198464</v>
      </c>
      <c r="E289" s="577">
        <v>2</v>
      </c>
      <c r="F289" s="514" t="s">
        <v>41</v>
      </c>
      <c r="G289" s="515"/>
      <c r="H289" s="516"/>
      <c r="I289" s="519"/>
      <c r="J289" s="516">
        <v>261544</v>
      </c>
      <c r="K289" s="519">
        <v>259153</v>
      </c>
      <c r="L289" s="516">
        <v>54008</v>
      </c>
      <c r="M289" s="519">
        <v>33163</v>
      </c>
      <c r="N289" s="516">
        <v>281788</v>
      </c>
      <c r="O289" s="519">
        <v>277036</v>
      </c>
      <c r="P289" s="506">
        <f t="shared" ref="P289:P352" si="167">SUM(H289,J289,L289,N289)</f>
        <v>597340</v>
      </c>
      <c r="Q289" s="507">
        <f t="shared" ref="Q289:Q352" si="168">+P289/30</f>
        <v>19911.333333333332</v>
      </c>
      <c r="R289" s="508">
        <f t="shared" ref="R289:R352" si="169">SUM(I289,K289,M289,O289)</f>
        <v>569352</v>
      </c>
      <c r="S289" s="509">
        <f t="shared" ref="S289:S352" si="170">+R289/30</f>
        <v>18978.400000000001</v>
      </c>
      <c r="T289" s="516">
        <v>402</v>
      </c>
      <c r="U289" s="519">
        <v>600</v>
      </c>
      <c r="V289" s="506">
        <f t="shared" ref="V289:V352" si="171">IF(ISBLANK(T289),0,P289)</f>
        <v>597340</v>
      </c>
      <c r="W289" s="510">
        <f t="shared" ref="W289:W352" si="172">IF(ISBLANK(U289),0,R289)</f>
        <v>569352</v>
      </c>
      <c r="X289" s="517"/>
      <c r="Y289" s="519"/>
      <c r="Z289" s="516"/>
      <c r="AA289" s="519"/>
      <c r="AB289" s="516"/>
      <c r="AC289" s="519"/>
      <c r="AD289" s="617"/>
      <c r="AE289" s="618"/>
      <c r="AF289" s="506">
        <f t="shared" ref="AF289:AF352" si="173">SUM(X289,Z289,AB289,AD289)</f>
        <v>0</v>
      </c>
      <c r="AG289" s="507">
        <f t="shared" ref="AG289:AG352" si="174">+AF289/900</f>
        <v>0</v>
      </c>
      <c r="AH289" s="508">
        <f t="shared" ref="AH289:AH352" si="175">SUM(Y289,AA289,AC289,AE289)</f>
        <v>0</v>
      </c>
      <c r="AI289" s="508">
        <f t="shared" ref="AI289:AI352" si="176">+AH289/900</f>
        <v>0</v>
      </c>
      <c r="AJ289" s="516"/>
      <c r="AK289" s="519"/>
      <c r="AL289" s="506">
        <f t="shared" si="153"/>
        <v>0</v>
      </c>
      <c r="AM289" s="509">
        <f t="shared" si="154"/>
        <v>0</v>
      </c>
      <c r="AN289" s="518"/>
      <c r="AO289" s="520"/>
      <c r="AP289" s="516">
        <v>40850</v>
      </c>
      <c r="AQ289" s="520">
        <v>40980</v>
      </c>
      <c r="AR289" s="516">
        <v>19249</v>
      </c>
      <c r="AS289" s="520">
        <v>12385</v>
      </c>
      <c r="AT289" s="516">
        <v>43627</v>
      </c>
      <c r="AU289" s="520">
        <v>37321</v>
      </c>
      <c r="AV289" s="506">
        <f t="shared" si="155"/>
        <v>103726</v>
      </c>
      <c r="AW289" s="511">
        <f t="shared" si="156"/>
        <v>4321.916666666667</v>
      </c>
      <c r="AX289" s="508">
        <f t="shared" si="157"/>
        <v>90686</v>
      </c>
      <c r="AY289" s="512">
        <f t="shared" si="158"/>
        <v>3778.5833333333335</v>
      </c>
      <c r="AZ289" s="513">
        <f t="shared" si="159"/>
        <v>24233.25</v>
      </c>
      <c r="BA289" s="508">
        <f t="shared" si="160"/>
        <v>22756.983333333334</v>
      </c>
    </row>
    <row r="290" spans="1:53">
      <c r="A290" s="569" t="s">
        <v>364</v>
      </c>
      <c r="B290" s="570" t="s">
        <v>368</v>
      </c>
      <c r="C290" s="572" t="s">
        <v>380</v>
      </c>
      <c r="D290" s="573">
        <v>199139</v>
      </c>
      <c r="E290" s="574">
        <v>2</v>
      </c>
      <c r="F290" s="514" t="s">
        <v>41</v>
      </c>
      <c r="G290" s="515"/>
      <c r="H290" s="516"/>
      <c r="I290" s="519"/>
      <c r="J290" s="516">
        <v>250878</v>
      </c>
      <c r="K290" s="519">
        <v>256102</v>
      </c>
      <c r="L290" s="516">
        <v>44400</v>
      </c>
      <c r="M290" s="519">
        <v>42295</v>
      </c>
      <c r="N290" s="516">
        <v>271170</v>
      </c>
      <c r="O290" s="519">
        <v>284908</v>
      </c>
      <c r="P290" s="506">
        <f t="shared" si="167"/>
        <v>566448</v>
      </c>
      <c r="Q290" s="507">
        <f t="shared" si="168"/>
        <v>18881.599999999999</v>
      </c>
      <c r="R290" s="508">
        <f t="shared" si="169"/>
        <v>583305</v>
      </c>
      <c r="S290" s="509">
        <f t="shared" si="170"/>
        <v>19443.5</v>
      </c>
      <c r="T290" s="516">
        <v>0</v>
      </c>
      <c r="U290" s="519">
        <v>0</v>
      </c>
      <c r="V290" s="506">
        <f t="shared" si="171"/>
        <v>566448</v>
      </c>
      <c r="W290" s="510">
        <f t="shared" si="172"/>
        <v>583305</v>
      </c>
      <c r="X290" s="517"/>
      <c r="Y290" s="519"/>
      <c r="Z290" s="516"/>
      <c r="AA290" s="519"/>
      <c r="AB290" s="516"/>
      <c r="AC290" s="519"/>
      <c r="AD290" s="617"/>
      <c r="AE290" s="618"/>
      <c r="AF290" s="506">
        <f t="shared" si="173"/>
        <v>0</v>
      </c>
      <c r="AG290" s="507">
        <f t="shared" si="174"/>
        <v>0</v>
      </c>
      <c r="AH290" s="508">
        <f t="shared" si="175"/>
        <v>0</v>
      </c>
      <c r="AI290" s="508">
        <f t="shared" si="176"/>
        <v>0</v>
      </c>
      <c r="AJ290" s="516"/>
      <c r="AK290" s="519"/>
      <c r="AL290" s="506">
        <f t="shared" si="153"/>
        <v>0</v>
      </c>
      <c r="AM290" s="509">
        <f t="shared" si="154"/>
        <v>0</v>
      </c>
      <c r="AN290" s="518"/>
      <c r="AO290" s="520"/>
      <c r="AP290" s="516">
        <v>30091</v>
      </c>
      <c r="AQ290" s="520">
        <v>30187</v>
      </c>
      <c r="AR290" s="516">
        <v>9900</v>
      </c>
      <c r="AS290" s="520">
        <v>9789</v>
      </c>
      <c r="AT290" s="516">
        <v>31825</v>
      </c>
      <c r="AU290" s="520">
        <v>32560</v>
      </c>
      <c r="AV290" s="506">
        <f t="shared" ref="AV290:AV352" si="177">SUM(AN290,AP290,AR290,AT290)</f>
        <v>71816</v>
      </c>
      <c r="AW290" s="511">
        <f t="shared" ref="AW290:AW352" si="178">+AV290/24</f>
        <v>2992.3333333333335</v>
      </c>
      <c r="AX290" s="508">
        <f t="shared" ref="AX290:AX352" si="179">SUM(AO290,AQ290,AS290,AU290)</f>
        <v>72536</v>
      </c>
      <c r="AY290" s="512">
        <f t="shared" ref="AY290:AY352" si="180">+AX290/24</f>
        <v>3022.3333333333335</v>
      </c>
      <c r="AZ290" s="513">
        <f t="shared" ref="AZ290:AZ352" si="181">SUM(Q290,AG290,AW290)</f>
        <v>21873.933333333331</v>
      </c>
      <c r="BA290" s="508">
        <f t="shared" ref="BA290:BA352" si="182">SUM(S290,AI290,AY290)</f>
        <v>22465.833333333332</v>
      </c>
    </row>
    <row r="291" spans="1:53">
      <c r="A291" s="569" t="s">
        <v>364</v>
      </c>
      <c r="B291" s="570" t="s">
        <v>369</v>
      </c>
      <c r="C291" s="572"/>
      <c r="D291" s="573">
        <v>197869</v>
      </c>
      <c r="E291" s="574">
        <v>3</v>
      </c>
      <c r="F291" s="514" t="s">
        <v>41</v>
      </c>
      <c r="G291" s="515"/>
      <c r="H291" s="516"/>
      <c r="I291" s="519"/>
      <c r="J291" s="516">
        <v>208091</v>
      </c>
      <c r="K291" s="519">
        <v>213142</v>
      </c>
      <c r="L291" s="516">
        <v>32326</v>
      </c>
      <c r="M291" s="519">
        <v>32298</v>
      </c>
      <c r="N291" s="516">
        <v>225414</v>
      </c>
      <c r="O291" s="519">
        <v>229156</v>
      </c>
      <c r="P291" s="506">
        <f t="shared" si="167"/>
        <v>465831</v>
      </c>
      <c r="Q291" s="507">
        <f t="shared" si="168"/>
        <v>15527.7</v>
      </c>
      <c r="R291" s="508">
        <f t="shared" si="169"/>
        <v>474596</v>
      </c>
      <c r="S291" s="509">
        <f t="shared" si="170"/>
        <v>15819.866666666667</v>
      </c>
      <c r="T291" s="516">
        <v>0</v>
      </c>
      <c r="U291" s="519">
        <v>0</v>
      </c>
      <c r="V291" s="506">
        <f t="shared" si="171"/>
        <v>465831</v>
      </c>
      <c r="W291" s="510">
        <f t="shared" si="172"/>
        <v>474596</v>
      </c>
      <c r="X291" s="517"/>
      <c r="Y291" s="519"/>
      <c r="Z291" s="516"/>
      <c r="AA291" s="519"/>
      <c r="AB291" s="516"/>
      <c r="AC291" s="519"/>
      <c r="AD291" s="617"/>
      <c r="AE291" s="618"/>
      <c r="AF291" s="506">
        <f t="shared" si="173"/>
        <v>0</v>
      </c>
      <c r="AG291" s="507">
        <f t="shared" si="174"/>
        <v>0</v>
      </c>
      <c r="AH291" s="508">
        <f t="shared" si="175"/>
        <v>0</v>
      </c>
      <c r="AI291" s="508">
        <f t="shared" si="176"/>
        <v>0</v>
      </c>
      <c r="AJ291" s="516"/>
      <c r="AK291" s="519"/>
      <c r="AL291" s="506">
        <f t="shared" si="153"/>
        <v>0</v>
      </c>
      <c r="AM291" s="509">
        <f t="shared" si="154"/>
        <v>0</v>
      </c>
      <c r="AN291" s="518"/>
      <c r="AO291" s="520"/>
      <c r="AP291" s="516">
        <v>14734</v>
      </c>
      <c r="AQ291" s="520">
        <v>13946</v>
      </c>
      <c r="AR291" s="516">
        <v>7966</v>
      </c>
      <c r="AS291" s="520">
        <v>7312</v>
      </c>
      <c r="AT291" s="516">
        <v>14325</v>
      </c>
      <c r="AU291" s="520">
        <v>14147</v>
      </c>
      <c r="AV291" s="506">
        <f t="shared" si="177"/>
        <v>37025</v>
      </c>
      <c r="AW291" s="511">
        <f t="shared" si="178"/>
        <v>1542.7083333333333</v>
      </c>
      <c r="AX291" s="508">
        <f t="shared" si="179"/>
        <v>35405</v>
      </c>
      <c r="AY291" s="512">
        <f t="shared" si="180"/>
        <v>1475.2083333333333</v>
      </c>
      <c r="AZ291" s="513">
        <f t="shared" si="181"/>
        <v>17070.408333333333</v>
      </c>
      <c r="BA291" s="508">
        <f t="shared" si="182"/>
        <v>17295.075000000001</v>
      </c>
    </row>
    <row r="292" spans="1:53">
      <c r="A292" s="569" t="s">
        <v>364</v>
      </c>
      <c r="B292" s="570" t="s">
        <v>371</v>
      </c>
      <c r="C292" s="572"/>
      <c r="D292" s="573">
        <v>199102</v>
      </c>
      <c r="E292" s="574">
        <v>3</v>
      </c>
      <c r="F292" s="514" t="s">
        <v>41</v>
      </c>
      <c r="G292" s="515"/>
      <c r="H292" s="516"/>
      <c r="I292" s="519"/>
      <c r="J292" s="516">
        <v>116034</v>
      </c>
      <c r="K292" s="519">
        <v>116005</v>
      </c>
      <c r="L292" s="516">
        <v>27844</v>
      </c>
      <c r="M292" s="519">
        <v>18704</v>
      </c>
      <c r="N292" s="516">
        <v>125696</v>
      </c>
      <c r="O292" s="519">
        <v>122533</v>
      </c>
      <c r="P292" s="506">
        <f t="shared" si="167"/>
        <v>269574</v>
      </c>
      <c r="Q292" s="507">
        <f t="shared" si="168"/>
        <v>8985.7999999999993</v>
      </c>
      <c r="R292" s="508">
        <f t="shared" si="169"/>
        <v>257242</v>
      </c>
      <c r="S292" s="509">
        <f t="shared" si="170"/>
        <v>8574.7333333333336</v>
      </c>
      <c r="T292" s="516">
        <v>446</v>
      </c>
      <c r="U292" s="519">
        <v>370</v>
      </c>
      <c r="V292" s="506">
        <f t="shared" si="171"/>
        <v>269574</v>
      </c>
      <c r="W292" s="510">
        <f t="shared" si="172"/>
        <v>257242</v>
      </c>
      <c r="X292" s="517"/>
      <c r="Y292" s="519"/>
      <c r="Z292" s="516"/>
      <c r="AA292" s="519"/>
      <c r="AB292" s="516"/>
      <c r="AC292" s="519"/>
      <c r="AD292" s="617"/>
      <c r="AE292" s="618"/>
      <c r="AF292" s="506">
        <f t="shared" si="173"/>
        <v>0</v>
      </c>
      <c r="AG292" s="507">
        <f t="shared" si="174"/>
        <v>0</v>
      </c>
      <c r="AH292" s="508">
        <f t="shared" si="175"/>
        <v>0</v>
      </c>
      <c r="AI292" s="508">
        <f t="shared" si="176"/>
        <v>0</v>
      </c>
      <c r="AJ292" s="516"/>
      <c r="AK292" s="519"/>
      <c r="AL292" s="506">
        <f t="shared" si="153"/>
        <v>0</v>
      </c>
      <c r="AM292" s="509">
        <f t="shared" si="154"/>
        <v>0</v>
      </c>
      <c r="AN292" s="518"/>
      <c r="AO292" s="520"/>
      <c r="AP292" s="516">
        <v>14358</v>
      </c>
      <c r="AQ292" s="520">
        <v>14873</v>
      </c>
      <c r="AR292" s="516">
        <v>3601</v>
      </c>
      <c r="AS292" s="520">
        <v>3905</v>
      </c>
      <c r="AT292" s="516">
        <v>14678</v>
      </c>
      <c r="AU292" s="520">
        <v>14548</v>
      </c>
      <c r="AV292" s="506">
        <f t="shared" si="177"/>
        <v>32637</v>
      </c>
      <c r="AW292" s="511">
        <f t="shared" si="178"/>
        <v>1359.875</v>
      </c>
      <c r="AX292" s="508">
        <f t="shared" si="179"/>
        <v>33326</v>
      </c>
      <c r="AY292" s="512">
        <f t="shared" si="180"/>
        <v>1388.5833333333333</v>
      </c>
      <c r="AZ292" s="513">
        <f t="shared" si="181"/>
        <v>10345.674999999999</v>
      </c>
      <c r="BA292" s="508">
        <f t="shared" si="182"/>
        <v>9963.3166666666675</v>
      </c>
    </row>
    <row r="293" spans="1:53">
      <c r="A293" s="600" t="s">
        <v>364</v>
      </c>
      <c r="B293" s="570" t="s">
        <v>372</v>
      </c>
      <c r="C293" s="572"/>
      <c r="D293" s="573">
        <v>199157</v>
      </c>
      <c r="E293" s="574">
        <v>3</v>
      </c>
      <c r="F293" s="514" t="s">
        <v>41</v>
      </c>
      <c r="G293" s="515"/>
      <c r="H293" s="516"/>
      <c r="I293" s="519"/>
      <c r="J293" s="516">
        <v>79755</v>
      </c>
      <c r="K293" s="519">
        <v>80446</v>
      </c>
      <c r="L293" s="516">
        <v>27549</v>
      </c>
      <c r="M293" s="519">
        <v>20406</v>
      </c>
      <c r="N293" s="516">
        <v>83819</v>
      </c>
      <c r="O293" s="519">
        <v>87385</v>
      </c>
      <c r="P293" s="506">
        <f t="shared" si="167"/>
        <v>191123</v>
      </c>
      <c r="Q293" s="507">
        <f t="shared" si="168"/>
        <v>6370.7666666666664</v>
      </c>
      <c r="R293" s="508">
        <f t="shared" si="169"/>
        <v>188237</v>
      </c>
      <c r="S293" s="509">
        <f t="shared" si="170"/>
        <v>6274.5666666666666</v>
      </c>
      <c r="T293" s="516">
        <v>4064</v>
      </c>
      <c r="U293" s="519">
        <v>4031</v>
      </c>
      <c r="V293" s="506">
        <f t="shared" si="171"/>
        <v>191123</v>
      </c>
      <c r="W293" s="510">
        <f t="shared" si="172"/>
        <v>188237</v>
      </c>
      <c r="X293" s="517"/>
      <c r="Y293" s="519"/>
      <c r="Z293" s="516"/>
      <c r="AA293" s="519"/>
      <c r="AB293" s="516"/>
      <c r="AC293" s="519"/>
      <c r="AD293" s="617"/>
      <c r="AE293" s="618"/>
      <c r="AF293" s="506">
        <f t="shared" si="173"/>
        <v>0</v>
      </c>
      <c r="AG293" s="507">
        <f t="shared" si="174"/>
        <v>0</v>
      </c>
      <c r="AH293" s="508">
        <f t="shared" si="175"/>
        <v>0</v>
      </c>
      <c r="AI293" s="508">
        <f t="shared" si="176"/>
        <v>0</v>
      </c>
      <c r="AJ293" s="516"/>
      <c r="AK293" s="519"/>
      <c r="AL293" s="506">
        <f t="shared" ref="AL293:AL352" si="183">IF(ISBLANK(AJ293),0,AF293)</f>
        <v>0</v>
      </c>
      <c r="AM293" s="509">
        <f t="shared" ref="AM293:AM352" si="184">IF(ISBLANK(AK293),0,AH293)</f>
        <v>0</v>
      </c>
      <c r="AN293" s="518"/>
      <c r="AO293" s="520"/>
      <c r="AP293" s="516">
        <v>18298</v>
      </c>
      <c r="AQ293" s="520">
        <v>16569</v>
      </c>
      <c r="AR293" s="516">
        <v>5328</v>
      </c>
      <c r="AS293" s="520">
        <v>4720</v>
      </c>
      <c r="AT293" s="516">
        <v>17830</v>
      </c>
      <c r="AU293" s="520">
        <v>18295</v>
      </c>
      <c r="AV293" s="506">
        <f t="shared" si="177"/>
        <v>41456</v>
      </c>
      <c r="AW293" s="511">
        <f t="shared" si="178"/>
        <v>1727.3333333333333</v>
      </c>
      <c r="AX293" s="508">
        <f t="shared" si="179"/>
        <v>39584</v>
      </c>
      <c r="AY293" s="512">
        <f t="shared" si="180"/>
        <v>1649.3333333333333</v>
      </c>
      <c r="AZ293" s="513">
        <f t="shared" si="181"/>
        <v>8098.0999999999995</v>
      </c>
      <c r="BA293" s="508">
        <f t="shared" si="182"/>
        <v>7923.9</v>
      </c>
    </row>
    <row r="294" spans="1:53">
      <c r="A294" s="569" t="s">
        <v>364</v>
      </c>
      <c r="B294" s="570" t="s">
        <v>373</v>
      </c>
      <c r="C294" s="572"/>
      <c r="D294" s="573">
        <v>199218</v>
      </c>
      <c r="E294" s="574">
        <v>3</v>
      </c>
      <c r="F294" s="514" t="s">
        <v>41</v>
      </c>
      <c r="G294" s="515"/>
      <c r="H294" s="516"/>
      <c r="I294" s="519"/>
      <c r="J294" s="516">
        <v>152800</v>
      </c>
      <c r="K294" s="519">
        <v>155231</v>
      </c>
      <c r="L294" s="516">
        <v>29802</v>
      </c>
      <c r="M294" s="519">
        <v>30569</v>
      </c>
      <c r="N294" s="516">
        <v>167002</v>
      </c>
      <c r="O294" s="625">
        <v>174508</v>
      </c>
      <c r="P294" s="506">
        <f t="shared" si="167"/>
        <v>349604</v>
      </c>
      <c r="Q294" s="507">
        <f t="shared" si="168"/>
        <v>11653.466666666667</v>
      </c>
      <c r="R294" s="508">
        <f t="shared" si="169"/>
        <v>360308</v>
      </c>
      <c r="S294" s="509">
        <f t="shared" si="170"/>
        <v>12010.266666666666</v>
      </c>
      <c r="T294" s="516">
        <v>1970</v>
      </c>
      <c r="U294" s="519">
        <v>2102</v>
      </c>
      <c r="V294" s="506">
        <f t="shared" si="171"/>
        <v>349604</v>
      </c>
      <c r="W294" s="510">
        <f t="shared" si="172"/>
        <v>360308</v>
      </c>
      <c r="X294" s="517"/>
      <c r="Y294" s="519"/>
      <c r="Z294" s="516"/>
      <c r="AA294" s="519"/>
      <c r="AB294" s="516"/>
      <c r="AC294" s="519"/>
      <c r="AD294" s="516"/>
      <c r="AE294" s="519"/>
      <c r="AF294" s="506">
        <f t="shared" si="173"/>
        <v>0</v>
      </c>
      <c r="AG294" s="507">
        <f t="shared" si="174"/>
        <v>0</v>
      </c>
      <c r="AH294" s="508">
        <f t="shared" si="175"/>
        <v>0</v>
      </c>
      <c r="AI294" s="508">
        <f t="shared" si="176"/>
        <v>0</v>
      </c>
      <c r="AJ294" s="516"/>
      <c r="AK294" s="519"/>
      <c r="AL294" s="506">
        <f t="shared" si="183"/>
        <v>0</v>
      </c>
      <c r="AM294" s="509">
        <f t="shared" si="184"/>
        <v>0</v>
      </c>
      <c r="AN294" s="518"/>
      <c r="AO294" s="520"/>
      <c r="AP294" s="516">
        <v>8886</v>
      </c>
      <c r="AQ294" s="618">
        <v>8473</v>
      </c>
      <c r="AR294" s="516">
        <v>2468</v>
      </c>
      <c r="AS294" s="618">
        <v>2347</v>
      </c>
      <c r="AT294" s="516">
        <v>8879</v>
      </c>
      <c r="AU294" s="618">
        <v>9568</v>
      </c>
      <c r="AV294" s="506">
        <f t="shared" si="177"/>
        <v>20233</v>
      </c>
      <c r="AW294" s="511">
        <f t="shared" si="178"/>
        <v>843.04166666666663</v>
      </c>
      <c r="AX294" s="508">
        <f t="shared" si="179"/>
        <v>20388</v>
      </c>
      <c r="AY294" s="512">
        <f t="shared" si="180"/>
        <v>849.5</v>
      </c>
      <c r="AZ294" s="513">
        <f t="shared" si="181"/>
        <v>12496.508333333333</v>
      </c>
      <c r="BA294" s="508">
        <f t="shared" si="182"/>
        <v>12859.766666666666</v>
      </c>
    </row>
    <row r="295" spans="1:53">
      <c r="A295" s="569" t="s">
        <v>364</v>
      </c>
      <c r="B295" s="570" t="s">
        <v>374</v>
      </c>
      <c r="C295" s="572"/>
      <c r="D295" s="573">
        <v>200004</v>
      </c>
      <c r="E295" s="574">
        <v>3</v>
      </c>
      <c r="F295" s="514" t="s">
        <v>41</v>
      </c>
      <c r="G295" s="515"/>
      <c r="H295" s="516"/>
      <c r="I295" s="519"/>
      <c r="J295" s="516">
        <v>96356</v>
      </c>
      <c r="K295" s="519">
        <v>98306</v>
      </c>
      <c r="L295" s="516">
        <v>15932</v>
      </c>
      <c r="M295" s="519">
        <v>14850</v>
      </c>
      <c r="N295" s="516">
        <v>103553</v>
      </c>
      <c r="O295" s="625">
        <v>108766</v>
      </c>
      <c r="P295" s="506">
        <f t="shared" si="167"/>
        <v>215841</v>
      </c>
      <c r="Q295" s="507">
        <f t="shared" si="168"/>
        <v>7194.7</v>
      </c>
      <c r="R295" s="508">
        <f t="shared" si="169"/>
        <v>221922</v>
      </c>
      <c r="S295" s="509">
        <f t="shared" si="170"/>
        <v>7397.4</v>
      </c>
      <c r="T295" s="516">
        <v>0</v>
      </c>
      <c r="U295" s="519">
        <v>0</v>
      </c>
      <c r="V295" s="506">
        <f t="shared" si="171"/>
        <v>215841</v>
      </c>
      <c r="W295" s="510">
        <f t="shared" si="172"/>
        <v>221922</v>
      </c>
      <c r="X295" s="517"/>
      <c r="Y295" s="519"/>
      <c r="Z295" s="516"/>
      <c r="AA295" s="519"/>
      <c r="AB295" s="516"/>
      <c r="AC295" s="519"/>
      <c r="AD295" s="516"/>
      <c r="AE295" s="519"/>
      <c r="AF295" s="506">
        <f t="shared" si="173"/>
        <v>0</v>
      </c>
      <c r="AG295" s="507">
        <f t="shared" si="174"/>
        <v>0</v>
      </c>
      <c r="AH295" s="508">
        <f t="shared" si="175"/>
        <v>0</v>
      </c>
      <c r="AI295" s="508">
        <f t="shared" si="176"/>
        <v>0</v>
      </c>
      <c r="AJ295" s="516"/>
      <c r="AK295" s="519"/>
      <c r="AL295" s="506">
        <f t="shared" si="183"/>
        <v>0</v>
      </c>
      <c r="AM295" s="509">
        <f t="shared" si="184"/>
        <v>0</v>
      </c>
      <c r="AN295" s="518"/>
      <c r="AO295" s="520"/>
      <c r="AP295" s="516">
        <v>12433</v>
      </c>
      <c r="AQ295" s="618">
        <v>11963</v>
      </c>
      <c r="AR295" s="516">
        <v>6089</v>
      </c>
      <c r="AS295" s="618">
        <v>5550</v>
      </c>
      <c r="AT295" s="516">
        <v>12691</v>
      </c>
      <c r="AU295" s="618">
        <v>12320</v>
      </c>
      <c r="AV295" s="506">
        <f t="shared" si="177"/>
        <v>31213</v>
      </c>
      <c r="AW295" s="511">
        <f t="shared" si="178"/>
        <v>1300.5416666666667</v>
      </c>
      <c r="AX295" s="508">
        <f t="shared" si="179"/>
        <v>29833</v>
      </c>
      <c r="AY295" s="512">
        <f t="shared" si="180"/>
        <v>1243.0416666666667</v>
      </c>
      <c r="AZ295" s="513">
        <f t="shared" si="181"/>
        <v>8495.2416666666668</v>
      </c>
      <c r="BA295" s="508">
        <f t="shared" si="182"/>
        <v>8640.4416666666657</v>
      </c>
    </row>
    <row r="296" spans="1:53">
      <c r="A296" s="569" t="s">
        <v>364</v>
      </c>
      <c r="B296" s="571" t="s">
        <v>375</v>
      </c>
      <c r="C296" s="572"/>
      <c r="D296" s="573">
        <v>198543</v>
      </c>
      <c r="E296" s="574">
        <v>4</v>
      </c>
      <c r="F296" s="514" t="s">
        <v>41</v>
      </c>
      <c r="G296" s="515"/>
      <c r="H296" s="516"/>
      <c r="I296" s="519"/>
      <c r="J296" s="516">
        <v>61292</v>
      </c>
      <c r="K296" s="519">
        <v>60826</v>
      </c>
      <c r="L296" s="516">
        <v>20723</v>
      </c>
      <c r="M296" s="519">
        <v>19319</v>
      </c>
      <c r="N296" s="516">
        <v>66367</v>
      </c>
      <c r="O296" s="625">
        <v>68677</v>
      </c>
      <c r="P296" s="506">
        <f t="shared" si="167"/>
        <v>148382</v>
      </c>
      <c r="Q296" s="507">
        <f t="shared" si="168"/>
        <v>4946.0666666666666</v>
      </c>
      <c r="R296" s="508">
        <f t="shared" si="169"/>
        <v>148822</v>
      </c>
      <c r="S296" s="509">
        <f t="shared" si="170"/>
        <v>4960.7333333333336</v>
      </c>
      <c r="T296" s="516">
        <v>2856</v>
      </c>
      <c r="U296" s="519">
        <v>2538</v>
      </c>
      <c r="V296" s="506">
        <f t="shared" si="171"/>
        <v>148382</v>
      </c>
      <c r="W296" s="510">
        <f t="shared" si="172"/>
        <v>148822</v>
      </c>
      <c r="X296" s="517"/>
      <c r="Y296" s="519"/>
      <c r="Z296" s="516"/>
      <c r="AA296" s="519"/>
      <c r="AB296" s="516"/>
      <c r="AC296" s="519"/>
      <c r="AD296" s="516"/>
      <c r="AE296" s="519"/>
      <c r="AF296" s="506">
        <f t="shared" si="173"/>
        <v>0</v>
      </c>
      <c r="AG296" s="507">
        <f t="shared" si="174"/>
        <v>0</v>
      </c>
      <c r="AH296" s="508">
        <f t="shared" si="175"/>
        <v>0</v>
      </c>
      <c r="AI296" s="508">
        <f t="shared" si="176"/>
        <v>0</v>
      </c>
      <c r="AJ296" s="516"/>
      <c r="AK296" s="519"/>
      <c r="AL296" s="506">
        <f t="shared" si="183"/>
        <v>0</v>
      </c>
      <c r="AM296" s="509">
        <f t="shared" si="184"/>
        <v>0</v>
      </c>
      <c r="AN296" s="518"/>
      <c r="AO296" s="520"/>
      <c r="AP296" s="516">
        <v>4250</v>
      </c>
      <c r="AQ296" s="618">
        <v>4607</v>
      </c>
      <c r="AR296" s="516">
        <v>1711</v>
      </c>
      <c r="AS296" s="618">
        <v>1713</v>
      </c>
      <c r="AT296" s="516">
        <v>4887</v>
      </c>
      <c r="AU296" s="618">
        <v>5052</v>
      </c>
      <c r="AV296" s="506">
        <f t="shared" si="177"/>
        <v>10848</v>
      </c>
      <c r="AW296" s="511">
        <f t="shared" si="178"/>
        <v>452</v>
      </c>
      <c r="AX296" s="508">
        <f t="shared" si="179"/>
        <v>11372</v>
      </c>
      <c r="AY296" s="512">
        <f t="shared" si="180"/>
        <v>473.83333333333331</v>
      </c>
      <c r="AZ296" s="513">
        <f t="shared" si="181"/>
        <v>5398.0666666666666</v>
      </c>
      <c r="BA296" s="508">
        <f t="shared" si="182"/>
        <v>5434.5666666666666</v>
      </c>
    </row>
    <row r="297" spans="1:53">
      <c r="A297" s="569" t="s">
        <v>364</v>
      </c>
      <c r="B297" s="570" t="s">
        <v>376</v>
      </c>
      <c r="C297" s="572"/>
      <c r="D297" s="573">
        <v>199281</v>
      </c>
      <c r="E297" s="574">
        <v>5</v>
      </c>
      <c r="F297" s="514" t="s">
        <v>41</v>
      </c>
      <c r="G297" s="515"/>
      <c r="H297" s="516"/>
      <c r="I297" s="519"/>
      <c r="J297" s="516">
        <v>69387</v>
      </c>
      <c r="K297" s="519">
        <v>64653</v>
      </c>
      <c r="L297" s="516">
        <v>18862</v>
      </c>
      <c r="M297" s="519">
        <v>16862</v>
      </c>
      <c r="N297" s="516">
        <v>70204</v>
      </c>
      <c r="O297" s="625">
        <v>70795</v>
      </c>
      <c r="P297" s="506">
        <f t="shared" si="167"/>
        <v>158453</v>
      </c>
      <c r="Q297" s="507">
        <f t="shared" si="168"/>
        <v>5281.7666666666664</v>
      </c>
      <c r="R297" s="508">
        <f t="shared" si="169"/>
        <v>152310</v>
      </c>
      <c r="S297" s="509">
        <f t="shared" si="170"/>
        <v>5077</v>
      </c>
      <c r="T297" s="516">
        <v>0</v>
      </c>
      <c r="U297" s="519">
        <v>0</v>
      </c>
      <c r="V297" s="506">
        <f t="shared" si="171"/>
        <v>158453</v>
      </c>
      <c r="W297" s="510">
        <f t="shared" si="172"/>
        <v>152310</v>
      </c>
      <c r="X297" s="517"/>
      <c r="Y297" s="519"/>
      <c r="Z297" s="516"/>
      <c r="AA297" s="519"/>
      <c r="AB297" s="516"/>
      <c r="AC297" s="519"/>
      <c r="AD297" s="516"/>
      <c r="AE297" s="519"/>
      <c r="AF297" s="506">
        <f t="shared" si="173"/>
        <v>0</v>
      </c>
      <c r="AG297" s="507">
        <f t="shared" si="174"/>
        <v>0</v>
      </c>
      <c r="AH297" s="508">
        <f t="shared" si="175"/>
        <v>0</v>
      </c>
      <c r="AI297" s="508">
        <f t="shared" si="176"/>
        <v>0</v>
      </c>
      <c r="AJ297" s="516"/>
      <c r="AK297" s="519"/>
      <c r="AL297" s="506">
        <f t="shared" si="183"/>
        <v>0</v>
      </c>
      <c r="AM297" s="509">
        <f t="shared" si="184"/>
        <v>0</v>
      </c>
      <c r="AN297" s="518"/>
      <c r="AO297" s="520"/>
      <c r="AP297" s="516">
        <v>4395</v>
      </c>
      <c r="AQ297" s="618">
        <v>4368</v>
      </c>
      <c r="AR297" s="516">
        <v>2861</v>
      </c>
      <c r="AS297" s="618">
        <v>2796</v>
      </c>
      <c r="AT297" s="516">
        <v>4418</v>
      </c>
      <c r="AU297" s="618">
        <v>4689</v>
      </c>
      <c r="AV297" s="506">
        <f t="shared" si="177"/>
        <v>11674</v>
      </c>
      <c r="AW297" s="511">
        <f t="shared" si="178"/>
        <v>486.41666666666669</v>
      </c>
      <c r="AX297" s="508">
        <f t="shared" si="179"/>
        <v>11853</v>
      </c>
      <c r="AY297" s="512">
        <f t="shared" si="180"/>
        <v>493.875</v>
      </c>
      <c r="AZ297" s="513">
        <f t="shared" si="181"/>
        <v>5768.1833333333334</v>
      </c>
      <c r="BA297" s="508">
        <f t="shared" si="182"/>
        <v>5570.875</v>
      </c>
    </row>
    <row r="298" spans="1:53">
      <c r="A298" s="569" t="s">
        <v>364</v>
      </c>
      <c r="B298" s="570" t="s">
        <v>377</v>
      </c>
      <c r="C298" s="572"/>
      <c r="D298" s="573">
        <v>199999</v>
      </c>
      <c r="E298" s="574">
        <v>5</v>
      </c>
      <c r="F298" s="514" t="s">
        <v>41</v>
      </c>
      <c r="G298" s="515"/>
      <c r="H298" s="516"/>
      <c r="I298" s="519"/>
      <c r="J298" s="516">
        <v>73940</v>
      </c>
      <c r="K298" s="519">
        <v>70916</v>
      </c>
      <c r="L298" s="516">
        <v>18550</v>
      </c>
      <c r="M298" s="519">
        <v>13800</v>
      </c>
      <c r="N298" s="516">
        <v>77974</v>
      </c>
      <c r="O298" s="625">
        <v>70763</v>
      </c>
      <c r="P298" s="506">
        <f t="shared" si="167"/>
        <v>170464</v>
      </c>
      <c r="Q298" s="507">
        <f t="shared" si="168"/>
        <v>5682.1333333333332</v>
      </c>
      <c r="R298" s="508">
        <f t="shared" si="169"/>
        <v>155479</v>
      </c>
      <c r="S298" s="509">
        <f t="shared" si="170"/>
        <v>5182.6333333333332</v>
      </c>
      <c r="T298" s="516">
        <v>0</v>
      </c>
      <c r="U298" s="519">
        <v>0</v>
      </c>
      <c r="V298" s="506">
        <f t="shared" si="171"/>
        <v>170464</v>
      </c>
      <c r="W298" s="510">
        <f t="shared" si="172"/>
        <v>155479</v>
      </c>
      <c r="X298" s="517"/>
      <c r="Y298" s="519"/>
      <c r="Z298" s="516"/>
      <c r="AA298" s="519"/>
      <c r="AB298" s="516"/>
      <c r="AC298" s="519"/>
      <c r="AD298" s="516"/>
      <c r="AE298" s="519"/>
      <c r="AF298" s="506">
        <f t="shared" si="173"/>
        <v>0</v>
      </c>
      <c r="AG298" s="507">
        <f t="shared" si="174"/>
        <v>0</v>
      </c>
      <c r="AH298" s="508">
        <f t="shared" si="175"/>
        <v>0</v>
      </c>
      <c r="AI298" s="508">
        <f t="shared" si="176"/>
        <v>0</v>
      </c>
      <c r="AJ298" s="516"/>
      <c r="AK298" s="519"/>
      <c r="AL298" s="506">
        <f t="shared" si="183"/>
        <v>0</v>
      </c>
      <c r="AM298" s="509">
        <f t="shared" si="184"/>
        <v>0</v>
      </c>
      <c r="AN298" s="518"/>
      <c r="AO298" s="520"/>
      <c r="AP298" s="516">
        <v>4711</v>
      </c>
      <c r="AQ298" s="618">
        <v>4665</v>
      </c>
      <c r="AR298" s="516">
        <v>2074</v>
      </c>
      <c r="AS298" s="618">
        <v>2195</v>
      </c>
      <c r="AT298" s="516">
        <v>4569</v>
      </c>
      <c r="AU298" s="618">
        <v>4157</v>
      </c>
      <c r="AV298" s="506">
        <f t="shared" si="177"/>
        <v>11354</v>
      </c>
      <c r="AW298" s="511">
        <f t="shared" si="178"/>
        <v>473.08333333333331</v>
      </c>
      <c r="AX298" s="508">
        <f t="shared" si="179"/>
        <v>11017</v>
      </c>
      <c r="AY298" s="512">
        <f t="shared" si="180"/>
        <v>459.04166666666669</v>
      </c>
      <c r="AZ298" s="513">
        <f t="shared" si="181"/>
        <v>6155.2166666666662</v>
      </c>
      <c r="BA298" s="508">
        <f t="shared" si="182"/>
        <v>5641.6750000000002</v>
      </c>
    </row>
    <row r="299" spans="1:53">
      <c r="A299" s="569" t="s">
        <v>364</v>
      </c>
      <c r="B299" s="570" t="s">
        <v>378</v>
      </c>
      <c r="C299" s="572"/>
      <c r="D299" s="573">
        <v>198507</v>
      </c>
      <c r="E299" s="574">
        <v>6</v>
      </c>
      <c r="F299" s="514" t="s">
        <v>41</v>
      </c>
      <c r="G299" s="515"/>
      <c r="H299" s="516"/>
      <c r="I299" s="519"/>
      <c r="J299" s="516">
        <v>42025</v>
      </c>
      <c r="K299" s="519">
        <v>37173</v>
      </c>
      <c r="L299" s="516">
        <v>13220</v>
      </c>
      <c r="M299" s="519">
        <v>8111</v>
      </c>
      <c r="N299" s="516">
        <v>40030</v>
      </c>
      <c r="O299" s="625">
        <v>39528</v>
      </c>
      <c r="P299" s="506">
        <f t="shared" si="167"/>
        <v>95275</v>
      </c>
      <c r="Q299" s="507">
        <f t="shared" si="168"/>
        <v>3175.8333333333335</v>
      </c>
      <c r="R299" s="508">
        <f t="shared" si="169"/>
        <v>84812</v>
      </c>
      <c r="S299" s="509">
        <f t="shared" si="170"/>
        <v>2827.0666666666666</v>
      </c>
      <c r="T299" s="516">
        <v>0</v>
      </c>
      <c r="U299" s="519">
        <v>0</v>
      </c>
      <c r="V299" s="506">
        <f t="shared" si="171"/>
        <v>95275</v>
      </c>
      <c r="W299" s="510">
        <f t="shared" si="172"/>
        <v>84812</v>
      </c>
      <c r="X299" s="517"/>
      <c r="Y299" s="519"/>
      <c r="Z299" s="516"/>
      <c r="AA299" s="519"/>
      <c r="AB299" s="516"/>
      <c r="AC299" s="519"/>
      <c r="AD299" s="516"/>
      <c r="AE299" s="519"/>
      <c r="AF299" s="506">
        <f t="shared" si="173"/>
        <v>0</v>
      </c>
      <c r="AG299" s="507">
        <f t="shared" si="174"/>
        <v>0</v>
      </c>
      <c r="AH299" s="508">
        <f t="shared" si="175"/>
        <v>0</v>
      </c>
      <c r="AI299" s="508">
        <f t="shared" si="176"/>
        <v>0</v>
      </c>
      <c r="AJ299" s="516"/>
      <c r="AK299" s="519"/>
      <c r="AL299" s="506">
        <f t="shared" si="183"/>
        <v>0</v>
      </c>
      <c r="AM299" s="509">
        <f t="shared" si="184"/>
        <v>0</v>
      </c>
      <c r="AN299" s="518"/>
      <c r="AO299" s="520"/>
      <c r="AP299" s="516">
        <v>478</v>
      </c>
      <c r="AQ299" s="618">
        <v>768</v>
      </c>
      <c r="AR299" s="516">
        <v>460</v>
      </c>
      <c r="AS299" s="618">
        <v>637</v>
      </c>
      <c r="AT299" s="516">
        <v>592</v>
      </c>
      <c r="AU299" s="618">
        <v>685</v>
      </c>
      <c r="AV299" s="506">
        <f t="shared" si="177"/>
        <v>1530</v>
      </c>
      <c r="AW299" s="511">
        <f t="shared" si="178"/>
        <v>63.75</v>
      </c>
      <c r="AX299" s="508">
        <f t="shared" si="179"/>
        <v>2090</v>
      </c>
      <c r="AY299" s="512">
        <f t="shared" si="180"/>
        <v>87.083333333333329</v>
      </c>
      <c r="AZ299" s="513">
        <f t="shared" si="181"/>
        <v>3239.5833333333335</v>
      </c>
      <c r="BA299" s="508">
        <f t="shared" si="182"/>
        <v>2914.15</v>
      </c>
    </row>
    <row r="300" spans="1:53">
      <c r="A300" s="569" t="s">
        <v>364</v>
      </c>
      <c r="B300" s="570" t="s">
        <v>379</v>
      </c>
      <c r="C300" s="572"/>
      <c r="D300" s="573">
        <v>199111</v>
      </c>
      <c r="E300" s="574">
        <v>6</v>
      </c>
      <c r="F300" s="514" t="s">
        <v>41</v>
      </c>
      <c r="G300" s="515"/>
      <c r="H300" s="516"/>
      <c r="I300" s="519"/>
      <c r="J300" s="516">
        <v>46895</v>
      </c>
      <c r="K300" s="519">
        <v>45490</v>
      </c>
      <c r="L300" s="516">
        <v>5398</v>
      </c>
      <c r="M300" s="519">
        <v>5120</v>
      </c>
      <c r="N300" s="516">
        <v>49074</v>
      </c>
      <c r="O300" s="625">
        <v>47102</v>
      </c>
      <c r="P300" s="506">
        <f t="shared" si="167"/>
        <v>101367</v>
      </c>
      <c r="Q300" s="507">
        <f t="shared" si="168"/>
        <v>3378.9</v>
      </c>
      <c r="R300" s="508">
        <f t="shared" si="169"/>
        <v>97712</v>
      </c>
      <c r="S300" s="509">
        <f t="shared" si="170"/>
        <v>3257.0666666666666</v>
      </c>
      <c r="T300" s="516">
        <v>0</v>
      </c>
      <c r="U300" s="519">
        <v>0</v>
      </c>
      <c r="V300" s="506">
        <f t="shared" si="171"/>
        <v>101367</v>
      </c>
      <c r="W300" s="510">
        <f t="shared" si="172"/>
        <v>97712</v>
      </c>
      <c r="X300" s="517"/>
      <c r="Y300" s="519"/>
      <c r="Z300" s="516"/>
      <c r="AA300" s="519"/>
      <c r="AB300" s="516"/>
      <c r="AC300" s="519"/>
      <c r="AD300" s="516"/>
      <c r="AE300" s="519"/>
      <c r="AF300" s="506">
        <f t="shared" si="173"/>
        <v>0</v>
      </c>
      <c r="AG300" s="507">
        <f t="shared" si="174"/>
        <v>0</v>
      </c>
      <c r="AH300" s="508">
        <f t="shared" si="175"/>
        <v>0</v>
      </c>
      <c r="AI300" s="508">
        <f t="shared" si="176"/>
        <v>0</v>
      </c>
      <c r="AJ300" s="516"/>
      <c r="AK300" s="519"/>
      <c r="AL300" s="506">
        <f t="shared" si="183"/>
        <v>0</v>
      </c>
      <c r="AM300" s="509">
        <f t="shared" si="184"/>
        <v>0</v>
      </c>
      <c r="AN300" s="518"/>
      <c r="AO300" s="520"/>
      <c r="AP300" s="516">
        <v>292</v>
      </c>
      <c r="AQ300" s="618">
        <v>236</v>
      </c>
      <c r="AR300" s="516">
        <v>11</v>
      </c>
      <c r="AS300" s="618">
        <v>3</v>
      </c>
      <c r="AT300" s="516">
        <v>239</v>
      </c>
      <c r="AU300" s="618">
        <v>252</v>
      </c>
      <c r="AV300" s="506">
        <f t="shared" si="177"/>
        <v>542</v>
      </c>
      <c r="AW300" s="511">
        <f t="shared" si="178"/>
        <v>22.583333333333332</v>
      </c>
      <c r="AX300" s="508">
        <f t="shared" si="179"/>
        <v>491</v>
      </c>
      <c r="AY300" s="512">
        <f t="shared" si="180"/>
        <v>20.458333333333332</v>
      </c>
      <c r="AZ300" s="513">
        <f t="shared" si="181"/>
        <v>3401.4833333333336</v>
      </c>
      <c r="BA300" s="508">
        <f t="shared" si="182"/>
        <v>3277.5250000000001</v>
      </c>
    </row>
    <row r="301" spans="1:53">
      <c r="A301" s="697" t="s">
        <v>364</v>
      </c>
      <c r="B301" s="579" t="s">
        <v>744</v>
      </c>
      <c r="C301" s="700"/>
      <c r="D301" s="701">
        <v>197887</v>
      </c>
      <c r="E301" s="590">
        <v>8</v>
      </c>
      <c r="F301" s="514" t="s">
        <v>41</v>
      </c>
      <c r="G301" s="515"/>
      <c r="H301" s="516"/>
      <c r="I301" s="519"/>
      <c r="J301" s="516">
        <v>65541</v>
      </c>
      <c r="K301" s="519">
        <v>69136</v>
      </c>
      <c r="L301" s="516">
        <v>20751</v>
      </c>
      <c r="M301" s="519">
        <v>17198</v>
      </c>
      <c r="N301" s="516">
        <v>67486</v>
      </c>
      <c r="O301" s="625">
        <v>70508</v>
      </c>
      <c r="P301" s="506">
        <f t="shared" si="167"/>
        <v>153778</v>
      </c>
      <c r="Q301" s="507">
        <f t="shared" si="168"/>
        <v>5125.9333333333334</v>
      </c>
      <c r="R301" s="508">
        <f t="shared" si="169"/>
        <v>156842</v>
      </c>
      <c r="S301" s="509">
        <f t="shared" si="170"/>
        <v>5228.0666666666666</v>
      </c>
      <c r="T301" s="516">
        <v>16701</v>
      </c>
      <c r="U301" s="519">
        <v>12314</v>
      </c>
      <c r="V301" s="506">
        <f t="shared" si="171"/>
        <v>153778</v>
      </c>
      <c r="W301" s="510">
        <f t="shared" si="172"/>
        <v>156842</v>
      </c>
      <c r="X301" s="517"/>
      <c r="Y301" s="519"/>
      <c r="Z301" s="516">
        <v>314853</v>
      </c>
      <c r="AA301" s="683">
        <v>297168</v>
      </c>
      <c r="AB301" s="516">
        <v>212365</v>
      </c>
      <c r="AC301" s="684">
        <v>216090</v>
      </c>
      <c r="AD301" s="516">
        <v>355627</v>
      </c>
      <c r="AE301" s="759">
        <v>317643</v>
      </c>
      <c r="AF301" s="506">
        <f t="shared" si="173"/>
        <v>882845</v>
      </c>
      <c r="AG301" s="507">
        <f t="shared" si="174"/>
        <v>980.93888888888887</v>
      </c>
      <c r="AH301" s="508">
        <f t="shared" si="175"/>
        <v>830901</v>
      </c>
      <c r="AI301" s="508">
        <f t="shared" si="176"/>
        <v>923.22333333333336</v>
      </c>
      <c r="AJ301" s="516"/>
      <c r="AK301" s="519"/>
      <c r="AL301" s="506">
        <f t="shared" si="183"/>
        <v>0</v>
      </c>
      <c r="AM301" s="509">
        <f t="shared" si="184"/>
        <v>0</v>
      </c>
      <c r="AN301" s="518"/>
      <c r="AO301" s="520"/>
      <c r="AP301" s="516"/>
      <c r="AQ301" s="618"/>
      <c r="AR301" s="516"/>
      <c r="AS301" s="618"/>
      <c r="AT301" s="516"/>
      <c r="AU301" s="618"/>
      <c r="AV301" s="506">
        <f t="shared" si="177"/>
        <v>0</v>
      </c>
      <c r="AW301" s="511">
        <f t="shared" si="178"/>
        <v>0</v>
      </c>
      <c r="AX301" s="508">
        <f t="shared" si="179"/>
        <v>0</v>
      </c>
      <c r="AY301" s="512">
        <f t="shared" si="180"/>
        <v>0</v>
      </c>
      <c r="AZ301" s="513">
        <f t="shared" si="181"/>
        <v>6106.8722222222223</v>
      </c>
      <c r="BA301" s="508">
        <f t="shared" si="182"/>
        <v>6151.29</v>
      </c>
    </row>
    <row r="302" spans="1:53">
      <c r="A302" s="584" t="s">
        <v>364</v>
      </c>
      <c r="B302" s="579" t="s">
        <v>745</v>
      </c>
      <c r="C302" s="700"/>
      <c r="D302" s="701">
        <v>198154</v>
      </c>
      <c r="E302" s="590">
        <v>8</v>
      </c>
      <c r="F302" s="514" t="s">
        <v>41</v>
      </c>
      <c r="G302" s="515"/>
      <c r="H302" s="516"/>
      <c r="I302" s="519"/>
      <c r="J302" s="516">
        <v>94135</v>
      </c>
      <c r="K302" s="519">
        <v>91258</v>
      </c>
      <c r="L302" s="516">
        <v>24750</v>
      </c>
      <c r="M302" s="519">
        <v>22082</v>
      </c>
      <c r="N302" s="516">
        <v>97407</v>
      </c>
      <c r="O302" s="625">
        <v>96721</v>
      </c>
      <c r="P302" s="506">
        <f t="shared" si="167"/>
        <v>216292</v>
      </c>
      <c r="Q302" s="507">
        <f t="shared" si="168"/>
        <v>7209.7333333333336</v>
      </c>
      <c r="R302" s="508">
        <f t="shared" si="169"/>
        <v>210061</v>
      </c>
      <c r="S302" s="509">
        <f t="shared" si="170"/>
        <v>7002.0333333333338</v>
      </c>
      <c r="T302" s="516">
        <v>6420</v>
      </c>
      <c r="U302" s="519">
        <v>6511</v>
      </c>
      <c r="V302" s="506">
        <f t="shared" si="171"/>
        <v>216292</v>
      </c>
      <c r="W302" s="510">
        <f t="shared" si="172"/>
        <v>210061</v>
      </c>
      <c r="X302" s="517"/>
      <c r="Y302" s="519"/>
      <c r="Z302" s="516">
        <v>397401</v>
      </c>
      <c r="AA302" s="683">
        <v>382873</v>
      </c>
      <c r="AB302" s="516">
        <v>201929</v>
      </c>
      <c r="AC302" s="684">
        <v>205771</v>
      </c>
      <c r="AD302" s="516">
        <v>392389</v>
      </c>
      <c r="AE302" s="759">
        <v>427387</v>
      </c>
      <c r="AF302" s="506">
        <f t="shared" si="173"/>
        <v>991719</v>
      </c>
      <c r="AG302" s="507">
        <f t="shared" si="174"/>
        <v>1101.9100000000001</v>
      </c>
      <c r="AH302" s="508">
        <f t="shared" si="175"/>
        <v>1016031</v>
      </c>
      <c r="AI302" s="508">
        <f t="shared" si="176"/>
        <v>1128.9233333333334</v>
      </c>
      <c r="AJ302" s="516"/>
      <c r="AK302" s="519"/>
      <c r="AL302" s="506">
        <f t="shared" si="183"/>
        <v>0</v>
      </c>
      <c r="AM302" s="509">
        <f t="shared" si="184"/>
        <v>0</v>
      </c>
      <c r="AN302" s="518"/>
      <c r="AO302" s="520"/>
      <c r="AP302" s="516"/>
      <c r="AQ302" s="618"/>
      <c r="AR302" s="516"/>
      <c r="AS302" s="618"/>
      <c r="AT302" s="516"/>
      <c r="AU302" s="618"/>
      <c r="AV302" s="506">
        <f t="shared" si="177"/>
        <v>0</v>
      </c>
      <c r="AW302" s="511">
        <f t="shared" si="178"/>
        <v>0</v>
      </c>
      <c r="AX302" s="508">
        <f t="shared" si="179"/>
        <v>0</v>
      </c>
      <c r="AY302" s="512">
        <f t="shared" si="180"/>
        <v>0</v>
      </c>
      <c r="AZ302" s="513">
        <f t="shared" si="181"/>
        <v>8311.6433333333334</v>
      </c>
      <c r="BA302" s="508">
        <f t="shared" si="182"/>
        <v>8130.9566666666669</v>
      </c>
    </row>
    <row r="303" spans="1:53">
      <c r="A303" s="584" t="s">
        <v>364</v>
      </c>
      <c r="B303" s="579" t="s">
        <v>746</v>
      </c>
      <c r="C303" s="700"/>
      <c r="D303" s="701">
        <v>198260</v>
      </c>
      <c r="E303" s="590">
        <v>8</v>
      </c>
      <c r="F303" s="514" t="s">
        <v>41</v>
      </c>
      <c r="G303" s="515"/>
      <c r="H303" s="516"/>
      <c r="I303" s="519"/>
      <c r="J303" s="516">
        <v>173001</v>
      </c>
      <c r="K303" s="519">
        <v>173581</v>
      </c>
      <c r="L303" s="516">
        <v>52146</v>
      </c>
      <c r="M303" s="519">
        <v>47577</v>
      </c>
      <c r="N303" s="516">
        <v>176809</v>
      </c>
      <c r="O303" s="625">
        <v>176942</v>
      </c>
      <c r="P303" s="506">
        <f t="shared" si="167"/>
        <v>401956</v>
      </c>
      <c r="Q303" s="507">
        <f t="shared" si="168"/>
        <v>13398.533333333333</v>
      </c>
      <c r="R303" s="508">
        <f t="shared" si="169"/>
        <v>398100</v>
      </c>
      <c r="S303" s="509">
        <f t="shared" si="170"/>
        <v>13270</v>
      </c>
      <c r="T303" s="516">
        <v>4250</v>
      </c>
      <c r="U303" s="519">
        <v>4922</v>
      </c>
      <c r="V303" s="506">
        <f t="shared" si="171"/>
        <v>401956</v>
      </c>
      <c r="W303" s="510">
        <f t="shared" si="172"/>
        <v>398100</v>
      </c>
      <c r="X303" s="517"/>
      <c r="Y303" s="519"/>
      <c r="Z303" s="516">
        <v>459227</v>
      </c>
      <c r="AA303" s="683">
        <v>736360</v>
      </c>
      <c r="AB303" s="516">
        <v>557666</v>
      </c>
      <c r="AC303" s="684">
        <v>320976</v>
      </c>
      <c r="AD303" s="516">
        <v>697991</v>
      </c>
      <c r="AE303" s="759">
        <v>774775</v>
      </c>
      <c r="AF303" s="506">
        <f t="shared" si="173"/>
        <v>1714884</v>
      </c>
      <c r="AG303" s="507">
        <f t="shared" si="174"/>
        <v>1905.4266666666667</v>
      </c>
      <c r="AH303" s="508">
        <f t="shared" si="175"/>
        <v>1832111</v>
      </c>
      <c r="AI303" s="508">
        <f t="shared" si="176"/>
        <v>2035.6788888888889</v>
      </c>
      <c r="AJ303" s="516"/>
      <c r="AK303" s="519"/>
      <c r="AL303" s="506">
        <f t="shared" si="183"/>
        <v>0</v>
      </c>
      <c r="AM303" s="509">
        <f t="shared" si="184"/>
        <v>0</v>
      </c>
      <c r="AN303" s="518"/>
      <c r="AO303" s="520"/>
      <c r="AP303" s="516"/>
      <c r="AQ303" s="618"/>
      <c r="AR303" s="516"/>
      <c r="AS303" s="618"/>
      <c r="AT303" s="516"/>
      <c r="AU303" s="618"/>
      <c r="AV303" s="506">
        <f t="shared" si="177"/>
        <v>0</v>
      </c>
      <c r="AW303" s="511">
        <f t="shared" si="178"/>
        <v>0</v>
      </c>
      <c r="AX303" s="508">
        <f t="shared" si="179"/>
        <v>0</v>
      </c>
      <c r="AY303" s="512">
        <f t="shared" si="180"/>
        <v>0</v>
      </c>
      <c r="AZ303" s="513">
        <f t="shared" si="181"/>
        <v>15303.96</v>
      </c>
      <c r="BA303" s="508">
        <f t="shared" si="182"/>
        <v>15305.67888888889</v>
      </c>
    </row>
    <row r="304" spans="1:53">
      <c r="A304" s="584" t="s">
        <v>364</v>
      </c>
      <c r="B304" s="579" t="s">
        <v>747</v>
      </c>
      <c r="C304" s="700"/>
      <c r="D304" s="701">
        <v>198534</v>
      </c>
      <c r="E304" s="590">
        <v>8</v>
      </c>
      <c r="F304" s="514" t="s">
        <v>41</v>
      </c>
      <c r="G304" s="515"/>
      <c r="H304" s="516"/>
      <c r="I304" s="519"/>
      <c r="J304" s="516">
        <v>101911</v>
      </c>
      <c r="K304" s="519">
        <v>112408</v>
      </c>
      <c r="L304" s="516">
        <v>27038</v>
      </c>
      <c r="M304" s="519">
        <v>29835</v>
      </c>
      <c r="N304" s="516">
        <v>101671</v>
      </c>
      <c r="O304" s="625">
        <v>108229</v>
      </c>
      <c r="P304" s="506">
        <f t="shared" si="167"/>
        <v>230620</v>
      </c>
      <c r="Q304" s="507">
        <f t="shared" si="168"/>
        <v>7687.333333333333</v>
      </c>
      <c r="R304" s="508">
        <f t="shared" si="169"/>
        <v>250472</v>
      </c>
      <c r="S304" s="509">
        <f t="shared" si="170"/>
        <v>8349.0666666666675</v>
      </c>
      <c r="T304" s="516">
        <v>5975</v>
      </c>
      <c r="U304" s="519">
        <v>4736</v>
      </c>
      <c r="V304" s="506">
        <f t="shared" si="171"/>
        <v>230620</v>
      </c>
      <c r="W304" s="510">
        <f t="shared" si="172"/>
        <v>250472</v>
      </c>
      <c r="X304" s="517"/>
      <c r="Y304" s="519"/>
      <c r="Z304" s="516">
        <v>752415</v>
      </c>
      <c r="AA304" s="683">
        <v>746911</v>
      </c>
      <c r="AB304" s="516">
        <v>565709</v>
      </c>
      <c r="AC304" s="684">
        <v>607552</v>
      </c>
      <c r="AD304" s="516">
        <v>838771</v>
      </c>
      <c r="AE304" s="759">
        <v>786134</v>
      </c>
      <c r="AF304" s="506">
        <f t="shared" si="173"/>
        <v>2156895</v>
      </c>
      <c r="AG304" s="507">
        <f t="shared" si="174"/>
        <v>2396.5500000000002</v>
      </c>
      <c r="AH304" s="508">
        <f t="shared" si="175"/>
        <v>2140597</v>
      </c>
      <c r="AI304" s="508">
        <f t="shared" si="176"/>
        <v>2378.4411111111112</v>
      </c>
      <c r="AJ304" s="516"/>
      <c r="AK304" s="519"/>
      <c r="AL304" s="506">
        <f t="shared" si="183"/>
        <v>0</v>
      </c>
      <c r="AM304" s="509">
        <f t="shared" si="184"/>
        <v>0</v>
      </c>
      <c r="AN304" s="518"/>
      <c r="AO304" s="520"/>
      <c r="AP304" s="516"/>
      <c r="AQ304" s="618"/>
      <c r="AR304" s="516"/>
      <c r="AS304" s="618"/>
      <c r="AT304" s="516"/>
      <c r="AU304" s="618"/>
      <c r="AV304" s="506">
        <f t="shared" si="177"/>
        <v>0</v>
      </c>
      <c r="AW304" s="511">
        <f t="shared" si="178"/>
        <v>0</v>
      </c>
      <c r="AX304" s="508">
        <f t="shared" si="179"/>
        <v>0</v>
      </c>
      <c r="AY304" s="512">
        <f t="shared" si="180"/>
        <v>0</v>
      </c>
      <c r="AZ304" s="513">
        <f t="shared" si="181"/>
        <v>10083.883333333333</v>
      </c>
      <c r="BA304" s="508">
        <f t="shared" si="182"/>
        <v>10727.507777777779</v>
      </c>
    </row>
    <row r="305" spans="1:53">
      <c r="A305" s="584" t="s">
        <v>364</v>
      </c>
      <c r="B305" s="579" t="s">
        <v>748</v>
      </c>
      <c r="C305" s="700"/>
      <c r="D305" s="701">
        <v>198552</v>
      </c>
      <c r="E305" s="590">
        <v>8</v>
      </c>
      <c r="F305" s="514" t="s">
        <v>41</v>
      </c>
      <c r="G305" s="515"/>
      <c r="H305" s="516"/>
      <c r="I305" s="519"/>
      <c r="J305" s="516">
        <v>96057</v>
      </c>
      <c r="K305" s="519">
        <v>97225</v>
      </c>
      <c r="L305" s="516">
        <v>27222</v>
      </c>
      <c r="M305" s="519">
        <v>25496</v>
      </c>
      <c r="N305" s="516">
        <v>96359</v>
      </c>
      <c r="O305" s="625">
        <v>102925</v>
      </c>
      <c r="P305" s="506">
        <f t="shared" si="167"/>
        <v>219638</v>
      </c>
      <c r="Q305" s="507">
        <f t="shared" si="168"/>
        <v>7321.2666666666664</v>
      </c>
      <c r="R305" s="508">
        <f t="shared" si="169"/>
        <v>225646</v>
      </c>
      <c r="S305" s="509">
        <f t="shared" si="170"/>
        <v>7521.5333333333338</v>
      </c>
      <c r="T305" s="516">
        <v>7699</v>
      </c>
      <c r="U305" s="519">
        <v>7310</v>
      </c>
      <c r="V305" s="506">
        <f t="shared" si="171"/>
        <v>219638</v>
      </c>
      <c r="W305" s="510">
        <f t="shared" si="172"/>
        <v>225646</v>
      </c>
      <c r="X305" s="517"/>
      <c r="Y305" s="519"/>
      <c r="Z305" s="516">
        <v>412132</v>
      </c>
      <c r="AA305" s="683">
        <v>429484</v>
      </c>
      <c r="AB305" s="516">
        <v>363557</v>
      </c>
      <c r="AC305" s="684">
        <v>298463</v>
      </c>
      <c r="AD305" s="516">
        <v>495448</v>
      </c>
      <c r="AE305" s="759">
        <v>507932</v>
      </c>
      <c r="AF305" s="506">
        <f t="shared" si="173"/>
        <v>1271137</v>
      </c>
      <c r="AG305" s="507">
        <f t="shared" si="174"/>
        <v>1412.3744444444444</v>
      </c>
      <c r="AH305" s="508">
        <f t="shared" si="175"/>
        <v>1235879</v>
      </c>
      <c r="AI305" s="508">
        <f t="shared" si="176"/>
        <v>1373.1988888888889</v>
      </c>
      <c r="AJ305" s="516"/>
      <c r="AK305" s="519"/>
      <c r="AL305" s="506">
        <f t="shared" si="183"/>
        <v>0</v>
      </c>
      <c r="AM305" s="509">
        <f t="shared" si="184"/>
        <v>0</v>
      </c>
      <c r="AN305" s="518"/>
      <c r="AO305" s="520"/>
      <c r="AP305" s="516"/>
      <c r="AQ305" s="618"/>
      <c r="AR305" s="516"/>
      <c r="AS305" s="618"/>
      <c r="AT305" s="516"/>
      <c r="AU305" s="618"/>
      <c r="AV305" s="506">
        <f t="shared" si="177"/>
        <v>0</v>
      </c>
      <c r="AW305" s="511">
        <f t="shared" si="178"/>
        <v>0</v>
      </c>
      <c r="AX305" s="508">
        <f t="shared" si="179"/>
        <v>0</v>
      </c>
      <c r="AY305" s="512">
        <f t="shared" si="180"/>
        <v>0</v>
      </c>
      <c r="AZ305" s="513">
        <f t="shared" si="181"/>
        <v>8733.6411111111101</v>
      </c>
      <c r="BA305" s="508">
        <f t="shared" si="182"/>
        <v>8894.7322222222228</v>
      </c>
    </row>
    <row r="306" spans="1:53">
      <c r="A306" s="584" t="s">
        <v>364</v>
      </c>
      <c r="B306" s="699" t="s">
        <v>749</v>
      </c>
      <c r="C306" s="698" t="s">
        <v>363</v>
      </c>
      <c r="D306" s="702">
        <v>198570</v>
      </c>
      <c r="E306" s="585">
        <v>8</v>
      </c>
      <c r="F306" s="514" t="s">
        <v>41</v>
      </c>
      <c r="G306" s="515"/>
      <c r="H306" s="516"/>
      <c r="I306" s="519"/>
      <c r="J306" s="516">
        <v>65684</v>
      </c>
      <c r="K306" s="519">
        <v>58933</v>
      </c>
      <c r="L306" s="516">
        <v>12321</v>
      </c>
      <c r="M306" s="519">
        <v>11536</v>
      </c>
      <c r="N306" s="516">
        <v>65548</v>
      </c>
      <c r="O306" s="625">
        <v>62327</v>
      </c>
      <c r="P306" s="506">
        <f t="shared" si="167"/>
        <v>143553</v>
      </c>
      <c r="Q306" s="507">
        <f t="shared" si="168"/>
        <v>4785.1000000000004</v>
      </c>
      <c r="R306" s="508">
        <f t="shared" si="169"/>
        <v>132796</v>
      </c>
      <c r="S306" s="509">
        <f t="shared" si="170"/>
        <v>4426.5333333333338</v>
      </c>
      <c r="T306" s="516">
        <v>5530</v>
      </c>
      <c r="U306" s="519">
        <v>3388</v>
      </c>
      <c r="V306" s="506">
        <f t="shared" si="171"/>
        <v>143553</v>
      </c>
      <c r="W306" s="510">
        <f t="shared" si="172"/>
        <v>132796</v>
      </c>
      <c r="X306" s="517"/>
      <c r="Y306" s="519"/>
      <c r="Z306" s="516">
        <v>214284</v>
      </c>
      <c r="AA306" s="683">
        <v>204396</v>
      </c>
      <c r="AB306" s="516">
        <v>131295</v>
      </c>
      <c r="AC306" s="684">
        <v>117792</v>
      </c>
      <c r="AD306" s="516">
        <v>208381</v>
      </c>
      <c r="AE306" s="759">
        <v>189290</v>
      </c>
      <c r="AF306" s="506">
        <f t="shared" si="173"/>
        <v>553960</v>
      </c>
      <c r="AG306" s="507">
        <f t="shared" si="174"/>
        <v>615.51111111111106</v>
      </c>
      <c r="AH306" s="508">
        <f t="shared" si="175"/>
        <v>511478</v>
      </c>
      <c r="AI306" s="508">
        <f t="shared" si="176"/>
        <v>568.30888888888887</v>
      </c>
      <c r="AJ306" s="516"/>
      <c r="AK306" s="519"/>
      <c r="AL306" s="506">
        <f t="shared" si="183"/>
        <v>0</v>
      </c>
      <c r="AM306" s="509">
        <f t="shared" si="184"/>
        <v>0</v>
      </c>
      <c r="AN306" s="518"/>
      <c r="AO306" s="520"/>
      <c r="AP306" s="516"/>
      <c r="AQ306" s="618"/>
      <c r="AR306" s="516"/>
      <c r="AS306" s="618"/>
      <c r="AT306" s="516"/>
      <c r="AU306" s="618"/>
      <c r="AV306" s="506">
        <f t="shared" si="177"/>
        <v>0</v>
      </c>
      <c r="AW306" s="511">
        <f t="shared" si="178"/>
        <v>0</v>
      </c>
      <c r="AX306" s="508">
        <f t="shared" si="179"/>
        <v>0</v>
      </c>
      <c r="AY306" s="512">
        <f t="shared" si="180"/>
        <v>0</v>
      </c>
      <c r="AZ306" s="513">
        <f t="shared" si="181"/>
        <v>5400.6111111111113</v>
      </c>
      <c r="BA306" s="508">
        <f t="shared" si="182"/>
        <v>4994.8422222222225</v>
      </c>
    </row>
    <row r="307" spans="1:53">
      <c r="A307" s="584" t="s">
        <v>364</v>
      </c>
      <c r="B307" s="579" t="s">
        <v>750</v>
      </c>
      <c r="C307" s="700"/>
      <c r="D307" s="701">
        <v>198622</v>
      </c>
      <c r="E307" s="590">
        <v>8</v>
      </c>
      <c r="F307" s="514" t="s">
        <v>41</v>
      </c>
      <c r="G307" s="515"/>
      <c r="H307" s="516"/>
      <c r="I307" s="519"/>
      <c r="J307" s="516">
        <v>156658</v>
      </c>
      <c r="K307" s="519">
        <v>153384</v>
      </c>
      <c r="L307" s="516">
        <v>41973</v>
      </c>
      <c r="M307" s="519">
        <v>33401</v>
      </c>
      <c r="N307" s="516">
        <v>158830</v>
      </c>
      <c r="O307" s="625">
        <v>159423</v>
      </c>
      <c r="P307" s="506">
        <f t="shared" si="167"/>
        <v>357461</v>
      </c>
      <c r="Q307" s="507">
        <f t="shared" si="168"/>
        <v>11915.366666666667</v>
      </c>
      <c r="R307" s="508">
        <f t="shared" si="169"/>
        <v>346208</v>
      </c>
      <c r="S307" s="509">
        <f t="shared" si="170"/>
        <v>11540.266666666666</v>
      </c>
      <c r="T307" s="516">
        <v>3487</v>
      </c>
      <c r="U307" s="519">
        <v>4737</v>
      </c>
      <c r="V307" s="506">
        <f t="shared" si="171"/>
        <v>357461</v>
      </c>
      <c r="W307" s="510">
        <f t="shared" si="172"/>
        <v>346208</v>
      </c>
      <c r="X307" s="517"/>
      <c r="Y307" s="519"/>
      <c r="Z307" s="516">
        <v>508284</v>
      </c>
      <c r="AA307" s="683">
        <v>566303</v>
      </c>
      <c r="AB307" s="516">
        <v>314210</v>
      </c>
      <c r="AC307" s="684">
        <v>309291</v>
      </c>
      <c r="AD307" s="516">
        <v>575834</v>
      </c>
      <c r="AE307" s="759">
        <v>553629</v>
      </c>
      <c r="AF307" s="506">
        <f t="shared" si="173"/>
        <v>1398328</v>
      </c>
      <c r="AG307" s="507">
        <f t="shared" si="174"/>
        <v>1553.6977777777777</v>
      </c>
      <c r="AH307" s="508">
        <f t="shared" si="175"/>
        <v>1429223</v>
      </c>
      <c r="AI307" s="508">
        <f t="shared" si="176"/>
        <v>1588.0255555555555</v>
      </c>
      <c r="AJ307" s="516"/>
      <c r="AK307" s="519"/>
      <c r="AL307" s="506">
        <f t="shared" si="183"/>
        <v>0</v>
      </c>
      <c r="AM307" s="509">
        <f t="shared" si="184"/>
        <v>0</v>
      </c>
      <c r="AN307" s="518"/>
      <c r="AO307" s="520"/>
      <c r="AP307" s="516"/>
      <c r="AQ307" s="618"/>
      <c r="AR307" s="516"/>
      <c r="AS307" s="618"/>
      <c r="AT307" s="516"/>
      <c r="AU307" s="618"/>
      <c r="AV307" s="506">
        <f t="shared" si="177"/>
        <v>0</v>
      </c>
      <c r="AW307" s="511">
        <f t="shared" si="178"/>
        <v>0</v>
      </c>
      <c r="AX307" s="508">
        <f t="shared" si="179"/>
        <v>0</v>
      </c>
      <c r="AY307" s="512">
        <f t="shared" si="180"/>
        <v>0</v>
      </c>
      <c r="AZ307" s="513">
        <f t="shared" si="181"/>
        <v>13469.064444444444</v>
      </c>
      <c r="BA307" s="508">
        <f t="shared" si="182"/>
        <v>13128.292222222222</v>
      </c>
    </row>
    <row r="308" spans="1:53">
      <c r="A308" s="584" t="s">
        <v>364</v>
      </c>
      <c r="B308" s="579" t="s">
        <v>751</v>
      </c>
      <c r="C308" s="700"/>
      <c r="D308" s="701">
        <v>199333</v>
      </c>
      <c r="E308" s="590">
        <v>8</v>
      </c>
      <c r="F308" s="514" t="s">
        <v>41</v>
      </c>
      <c r="G308" s="515"/>
      <c r="H308" s="516"/>
      <c r="I308" s="519"/>
      <c r="J308" s="516">
        <v>85291</v>
      </c>
      <c r="K308" s="519">
        <v>84596</v>
      </c>
      <c r="L308" s="516">
        <v>29094</v>
      </c>
      <c r="M308" s="519">
        <v>24011</v>
      </c>
      <c r="N308" s="516">
        <v>85945</v>
      </c>
      <c r="O308" s="625">
        <v>87378</v>
      </c>
      <c r="P308" s="506">
        <f t="shared" si="167"/>
        <v>200330</v>
      </c>
      <c r="Q308" s="507">
        <f t="shared" si="168"/>
        <v>6677.666666666667</v>
      </c>
      <c r="R308" s="508">
        <f t="shared" si="169"/>
        <v>195985</v>
      </c>
      <c r="S308" s="509">
        <f t="shared" si="170"/>
        <v>6532.833333333333</v>
      </c>
      <c r="T308" s="516">
        <v>3323</v>
      </c>
      <c r="U308" s="519">
        <v>2404</v>
      </c>
      <c r="V308" s="506">
        <f t="shared" si="171"/>
        <v>200330</v>
      </c>
      <c r="W308" s="510">
        <f t="shared" si="172"/>
        <v>195985</v>
      </c>
      <c r="X308" s="517"/>
      <c r="Y308" s="519"/>
      <c r="Z308" s="516">
        <v>254119</v>
      </c>
      <c r="AA308" s="683">
        <v>256942</v>
      </c>
      <c r="AB308" s="516">
        <v>232216</v>
      </c>
      <c r="AC308" s="684">
        <v>192545</v>
      </c>
      <c r="AD308" s="516">
        <v>289311</v>
      </c>
      <c r="AE308" s="759">
        <v>300179</v>
      </c>
      <c r="AF308" s="506">
        <f t="shared" si="173"/>
        <v>775646</v>
      </c>
      <c r="AG308" s="507">
        <f t="shared" si="174"/>
        <v>861.82888888888886</v>
      </c>
      <c r="AH308" s="508">
        <f t="shared" si="175"/>
        <v>749666</v>
      </c>
      <c r="AI308" s="508">
        <f t="shared" si="176"/>
        <v>832.96222222222218</v>
      </c>
      <c r="AJ308" s="516"/>
      <c r="AK308" s="519"/>
      <c r="AL308" s="506">
        <f t="shared" si="183"/>
        <v>0</v>
      </c>
      <c r="AM308" s="509">
        <f t="shared" si="184"/>
        <v>0</v>
      </c>
      <c r="AN308" s="518"/>
      <c r="AO308" s="520"/>
      <c r="AP308" s="516"/>
      <c r="AQ308" s="618"/>
      <c r="AR308" s="516"/>
      <c r="AS308" s="618"/>
      <c r="AT308" s="516"/>
      <c r="AU308" s="618"/>
      <c r="AV308" s="506">
        <f t="shared" si="177"/>
        <v>0</v>
      </c>
      <c r="AW308" s="511">
        <f t="shared" si="178"/>
        <v>0</v>
      </c>
      <c r="AX308" s="508">
        <f t="shared" si="179"/>
        <v>0</v>
      </c>
      <c r="AY308" s="512">
        <f t="shared" si="180"/>
        <v>0</v>
      </c>
      <c r="AZ308" s="513">
        <f t="shared" si="181"/>
        <v>7539.4955555555562</v>
      </c>
      <c r="BA308" s="508">
        <f t="shared" si="182"/>
        <v>7365.7955555555554</v>
      </c>
    </row>
    <row r="309" spans="1:53">
      <c r="A309" s="584" t="s">
        <v>364</v>
      </c>
      <c r="B309" s="579" t="s">
        <v>752</v>
      </c>
      <c r="C309" s="703"/>
      <c r="D309" s="704">
        <v>199494</v>
      </c>
      <c r="E309" s="592">
        <v>8</v>
      </c>
      <c r="F309" s="514" t="s">
        <v>41</v>
      </c>
      <c r="G309" s="515"/>
      <c r="H309" s="516"/>
      <c r="I309" s="519"/>
      <c r="J309" s="516">
        <v>70203</v>
      </c>
      <c r="K309" s="519">
        <v>62869</v>
      </c>
      <c r="L309" s="516">
        <v>20932</v>
      </c>
      <c r="M309" s="519">
        <v>16118</v>
      </c>
      <c r="N309" s="516">
        <v>73982</v>
      </c>
      <c r="O309" s="625">
        <v>67507</v>
      </c>
      <c r="P309" s="506">
        <f t="shared" si="167"/>
        <v>165117</v>
      </c>
      <c r="Q309" s="507">
        <f t="shared" si="168"/>
        <v>5503.9</v>
      </c>
      <c r="R309" s="508">
        <f t="shared" si="169"/>
        <v>146494</v>
      </c>
      <c r="S309" s="509">
        <f t="shared" si="170"/>
        <v>4883.1333333333332</v>
      </c>
      <c r="T309" s="516">
        <v>6064</v>
      </c>
      <c r="U309" s="519">
        <v>7256</v>
      </c>
      <c r="V309" s="506">
        <f t="shared" si="171"/>
        <v>165117</v>
      </c>
      <c r="W309" s="510">
        <f t="shared" si="172"/>
        <v>146494</v>
      </c>
      <c r="X309" s="517"/>
      <c r="Y309" s="519"/>
      <c r="Z309" s="516">
        <v>300674</v>
      </c>
      <c r="AA309" s="683">
        <v>277100</v>
      </c>
      <c r="AB309" s="516">
        <v>218777</v>
      </c>
      <c r="AC309" s="684">
        <v>201755</v>
      </c>
      <c r="AD309" s="516">
        <v>333040</v>
      </c>
      <c r="AE309" s="759">
        <v>305452</v>
      </c>
      <c r="AF309" s="506">
        <f t="shared" si="173"/>
        <v>852491</v>
      </c>
      <c r="AG309" s="507">
        <f t="shared" si="174"/>
        <v>947.21222222222218</v>
      </c>
      <c r="AH309" s="508">
        <f t="shared" si="175"/>
        <v>784307</v>
      </c>
      <c r="AI309" s="508">
        <f t="shared" si="176"/>
        <v>871.45222222222219</v>
      </c>
      <c r="AJ309" s="516"/>
      <c r="AK309" s="519"/>
      <c r="AL309" s="506">
        <f t="shared" si="183"/>
        <v>0</v>
      </c>
      <c r="AM309" s="509">
        <f t="shared" si="184"/>
        <v>0</v>
      </c>
      <c r="AN309" s="518"/>
      <c r="AO309" s="520"/>
      <c r="AP309" s="516"/>
      <c r="AQ309" s="618"/>
      <c r="AR309" s="516"/>
      <c r="AS309" s="618"/>
      <c r="AT309" s="516"/>
      <c r="AU309" s="618"/>
      <c r="AV309" s="506">
        <f t="shared" si="177"/>
        <v>0</v>
      </c>
      <c r="AW309" s="511">
        <f t="shared" si="178"/>
        <v>0</v>
      </c>
      <c r="AX309" s="508">
        <f t="shared" si="179"/>
        <v>0</v>
      </c>
      <c r="AY309" s="512">
        <f t="shared" si="180"/>
        <v>0</v>
      </c>
      <c r="AZ309" s="513">
        <f t="shared" si="181"/>
        <v>6451.112222222222</v>
      </c>
      <c r="BA309" s="508">
        <f t="shared" si="182"/>
        <v>5754.5855555555554</v>
      </c>
    </row>
    <row r="310" spans="1:53">
      <c r="A310" s="584" t="s">
        <v>364</v>
      </c>
      <c r="B310" s="579" t="s">
        <v>753</v>
      </c>
      <c r="C310" s="700"/>
      <c r="D310" s="701">
        <v>199856</v>
      </c>
      <c r="E310" s="590">
        <v>8</v>
      </c>
      <c r="F310" s="514" t="s">
        <v>41</v>
      </c>
      <c r="G310" s="515"/>
      <c r="H310" s="516"/>
      <c r="I310" s="519"/>
      <c r="J310" s="516">
        <v>168348</v>
      </c>
      <c r="K310" s="519">
        <v>174894</v>
      </c>
      <c r="L310" s="516">
        <v>37914</v>
      </c>
      <c r="M310" s="519">
        <v>40427</v>
      </c>
      <c r="N310" s="516">
        <v>169272</v>
      </c>
      <c r="O310" s="625">
        <v>179588</v>
      </c>
      <c r="P310" s="506">
        <f t="shared" si="167"/>
        <v>375534</v>
      </c>
      <c r="Q310" s="507">
        <f t="shared" si="168"/>
        <v>12517.8</v>
      </c>
      <c r="R310" s="508">
        <f t="shared" si="169"/>
        <v>394909</v>
      </c>
      <c r="S310" s="509">
        <f t="shared" si="170"/>
        <v>13163.633333333333</v>
      </c>
      <c r="T310" s="516">
        <v>4527</v>
      </c>
      <c r="U310" s="519">
        <v>5011</v>
      </c>
      <c r="V310" s="506">
        <f t="shared" si="171"/>
        <v>375534</v>
      </c>
      <c r="W310" s="510">
        <f t="shared" si="172"/>
        <v>394909</v>
      </c>
      <c r="X310" s="517"/>
      <c r="Y310" s="519"/>
      <c r="Z310" s="516">
        <v>872749</v>
      </c>
      <c r="AA310" s="683">
        <v>848662</v>
      </c>
      <c r="AB310" s="516">
        <v>565825</v>
      </c>
      <c r="AC310" s="684">
        <v>559989</v>
      </c>
      <c r="AD310" s="516">
        <v>875920</v>
      </c>
      <c r="AE310" s="759">
        <v>839804</v>
      </c>
      <c r="AF310" s="506">
        <f t="shared" si="173"/>
        <v>2314494</v>
      </c>
      <c r="AG310" s="507">
        <f t="shared" si="174"/>
        <v>2571.66</v>
      </c>
      <c r="AH310" s="508">
        <f t="shared" si="175"/>
        <v>2248455</v>
      </c>
      <c r="AI310" s="508">
        <f t="shared" si="176"/>
        <v>2498.2833333333333</v>
      </c>
      <c r="AJ310" s="516"/>
      <c r="AK310" s="519"/>
      <c r="AL310" s="506">
        <f t="shared" si="183"/>
        <v>0</v>
      </c>
      <c r="AM310" s="509">
        <f t="shared" si="184"/>
        <v>0</v>
      </c>
      <c r="AN310" s="518"/>
      <c r="AO310" s="520"/>
      <c r="AP310" s="516"/>
      <c r="AQ310" s="618"/>
      <c r="AR310" s="516"/>
      <c r="AS310" s="618"/>
      <c r="AT310" s="516"/>
      <c r="AU310" s="618"/>
      <c r="AV310" s="506">
        <f t="shared" si="177"/>
        <v>0</v>
      </c>
      <c r="AW310" s="511">
        <f t="shared" si="178"/>
        <v>0</v>
      </c>
      <c r="AX310" s="508">
        <f t="shared" si="179"/>
        <v>0</v>
      </c>
      <c r="AY310" s="512">
        <f t="shared" si="180"/>
        <v>0</v>
      </c>
      <c r="AZ310" s="513">
        <f t="shared" si="181"/>
        <v>15089.46</v>
      </c>
      <c r="BA310" s="508">
        <f t="shared" si="182"/>
        <v>15661.916666666666</v>
      </c>
    </row>
    <row r="311" spans="1:53">
      <c r="A311" s="584" t="s">
        <v>364</v>
      </c>
      <c r="B311" s="579" t="s">
        <v>754</v>
      </c>
      <c r="C311" s="698"/>
      <c r="D311" s="701">
        <v>199786</v>
      </c>
      <c r="E311" s="590">
        <v>9</v>
      </c>
      <c r="F311" s="514" t="s">
        <v>41</v>
      </c>
      <c r="G311" s="515"/>
      <c r="H311" s="516"/>
      <c r="I311" s="519"/>
      <c r="J311" s="516">
        <v>49660</v>
      </c>
      <c r="K311" s="519">
        <v>44880</v>
      </c>
      <c r="L311" s="516">
        <v>12195</v>
      </c>
      <c r="M311" s="519">
        <v>9029</v>
      </c>
      <c r="N311" s="516">
        <v>51171</v>
      </c>
      <c r="O311" s="625">
        <v>48022</v>
      </c>
      <c r="P311" s="506">
        <f t="shared" si="167"/>
        <v>113026</v>
      </c>
      <c r="Q311" s="507">
        <f t="shared" si="168"/>
        <v>3767.5333333333333</v>
      </c>
      <c r="R311" s="508">
        <f t="shared" si="169"/>
        <v>101931</v>
      </c>
      <c r="S311" s="509">
        <f t="shared" si="170"/>
        <v>3397.7</v>
      </c>
      <c r="T311" s="516">
        <v>4753</v>
      </c>
      <c r="U311" s="519">
        <v>4687</v>
      </c>
      <c r="V311" s="506">
        <f t="shared" si="171"/>
        <v>113026</v>
      </c>
      <c r="W311" s="510">
        <f t="shared" si="172"/>
        <v>101931</v>
      </c>
      <c r="X311" s="517"/>
      <c r="Y311" s="519"/>
      <c r="Z311" s="516">
        <v>175964</v>
      </c>
      <c r="AA311" s="683">
        <v>177274</v>
      </c>
      <c r="AB311" s="516">
        <v>151993</v>
      </c>
      <c r="AC311" s="684">
        <v>127954</v>
      </c>
      <c r="AD311" s="516">
        <v>206328</v>
      </c>
      <c r="AE311" s="759">
        <v>215302</v>
      </c>
      <c r="AF311" s="506">
        <f t="shared" si="173"/>
        <v>534285</v>
      </c>
      <c r="AG311" s="507">
        <f t="shared" si="174"/>
        <v>593.65</v>
      </c>
      <c r="AH311" s="508">
        <f t="shared" si="175"/>
        <v>520530</v>
      </c>
      <c r="AI311" s="508">
        <f t="shared" si="176"/>
        <v>578.36666666666667</v>
      </c>
      <c r="AJ311" s="516"/>
      <c r="AK311" s="519"/>
      <c r="AL311" s="506">
        <f t="shared" si="183"/>
        <v>0</v>
      </c>
      <c r="AM311" s="509">
        <f t="shared" si="184"/>
        <v>0</v>
      </c>
      <c r="AN311" s="518"/>
      <c r="AO311" s="520"/>
      <c r="AP311" s="516"/>
      <c r="AQ311" s="618"/>
      <c r="AR311" s="516"/>
      <c r="AS311" s="618"/>
      <c r="AT311" s="516"/>
      <c r="AU311" s="618"/>
      <c r="AV311" s="506">
        <f t="shared" si="177"/>
        <v>0</v>
      </c>
      <c r="AW311" s="511">
        <f t="shared" si="178"/>
        <v>0</v>
      </c>
      <c r="AX311" s="508">
        <f t="shared" si="179"/>
        <v>0</v>
      </c>
      <c r="AY311" s="512">
        <f t="shared" si="180"/>
        <v>0</v>
      </c>
      <c r="AZ311" s="513">
        <f t="shared" si="181"/>
        <v>4361.1833333333334</v>
      </c>
      <c r="BA311" s="508">
        <f t="shared" si="182"/>
        <v>3976.0666666666666</v>
      </c>
    </row>
    <row r="312" spans="1:53">
      <c r="A312" s="584" t="s">
        <v>364</v>
      </c>
      <c r="B312" s="579" t="s">
        <v>755</v>
      </c>
      <c r="C312" s="698"/>
      <c r="D312" s="701">
        <v>198118</v>
      </c>
      <c r="E312" s="590">
        <v>9</v>
      </c>
      <c r="F312" s="514" t="s">
        <v>41</v>
      </c>
      <c r="G312" s="515"/>
      <c r="H312" s="516"/>
      <c r="I312" s="519"/>
      <c r="J312" s="516">
        <v>42854</v>
      </c>
      <c r="K312" s="519">
        <v>41910</v>
      </c>
      <c r="L312" s="516">
        <v>11807</v>
      </c>
      <c r="M312" s="519">
        <v>10531</v>
      </c>
      <c r="N312" s="516">
        <v>44939</v>
      </c>
      <c r="O312" s="625">
        <v>44408</v>
      </c>
      <c r="P312" s="506">
        <f t="shared" si="167"/>
        <v>99600</v>
      </c>
      <c r="Q312" s="507">
        <f t="shared" si="168"/>
        <v>3320</v>
      </c>
      <c r="R312" s="508">
        <f t="shared" si="169"/>
        <v>96849</v>
      </c>
      <c r="S312" s="509">
        <f t="shared" si="170"/>
        <v>3228.3</v>
      </c>
      <c r="T312" s="516">
        <v>9146</v>
      </c>
      <c r="U312" s="519">
        <v>8134</v>
      </c>
      <c r="V312" s="506">
        <f t="shared" si="171"/>
        <v>99600</v>
      </c>
      <c r="W312" s="510">
        <f t="shared" si="172"/>
        <v>96849</v>
      </c>
      <c r="X312" s="517"/>
      <c r="Y312" s="519"/>
      <c r="Z312" s="516">
        <v>193592</v>
      </c>
      <c r="AA312" s="683">
        <v>193972</v>
      </c>
      <c r="AB312" s="516">
        <v>132855</v>
      </c>
      <c r="AC312" s="684">
        <v>147355</v>
      </c>
      <c r="AD312" s="516">
        <v>250684</v>
      </c>
      <c r="AE312" s="759">
        <v>259194</v>
      </c>
      <c r="AF312" s="506">
        <f t="shared" si="173"/>
        <v>577131</v>
      </c>
      <c r="AG312" s="507">
        <f t="shared" si="174"/>
        <v>641.25666666666666</v>
      </c>
      <c r="AH312" s="508">
        <f t="shared" si="175"/>
        <v>600521</v>
      </c>
      <c r="AI312" s="508">
        <f t="shared" si="176"/>
        <v>667.2455555555556</v>
      </c>
      <c r="AJ312" s="516"/>
      <c r="AK312" s="519"/>
      <c r="AL312" s="506">
        <f t="shared" si="183"/>
        <v>0</v>
      </c>
      <c r="AM312" s="509">
        <f t="shared" si="184"/>
        <v>0</v>
      </c>
      <c r="AN312" s="518"/>
      <c r="AO312" s="520"/>
      <c r="AP312" s="516"/>
      <c r="AQ312" s="618"/>
      <c r="AR312" s="516"/>
      <c r="AS312" s="618"/>
      <c r="AT312" s="516"/>
      <c r="AU312" s="618"/>
      <c r="AV312" s="506">
        <f t="shared" si="177"/>
        <v>0</v>
      </c>
      <c r="AW312" s="511">
        <f t="shared" si="178"/>
        <v>0</v>
      </c>
      <c r="AX312" s="508">
        <f t="shared" si="179"/>
        <v>0</v>
      </c>
      <c r="AY312" s="512">
        <f t="shared" si="180"/>
        <v>0</v>
      </c>
      <c r="AZ312" s="513">
        <f t="shared" si="181"/>
        <v>3961.2566666666667</v>
      </c>
      <c r="BA312" s="508">
        <f t="shared" si="182"/>
        <v>3895.5455555555559</v>
      </c>
    </row>
    <row r="313" spans="1:53">
      <c r="A313" s="584" t="s">
        <v>364</v>
      </c>
      <c r="B313" s="699" t="s">
        <v>756</v>
      </c>
      <c r="C313" s="698"/>
      <c r="D313" s="702">
        <v>198233</v>
      </c>
      <c r="E313" s="585">
        <v>9</v>
      </c>
      <c r="F313" s="514" t="s">
        <v>41</v>
      </c>
      <c r="G313" s="515"/>
      <c r="H313" s="516"/>
      <c r="I313" s="519"/>
      <c r="J313" s="516">
        <v>49419</v>
      </c>
      <c r="K313" s="519">
        <v>44845</v>
      </c>
      <c r="L313" s="516">
        <v>15000</v>
      </c>
      <c r="M313" s="519">
        <v>11758</v>
      </c>
      <c r="N313" s="516">
        <v>51481</v>
      </c>
      <c r="O313" s="625">
        <v>47396</v>
      </c>
      <c r="P313" s="506">
        <f t="shared" si="167"/>
        <v>115900</v>
      </c>
      <c r="Q313" s="507">
        <f t="shared" si="168"/>
        <v>3863.3333333333335</v>
      </c>
      <c r="R313" s="508">
        <f t="shared" si="169"/>
        <v>103999</v>
      </c>
      <c r="S313" s="509">
        <f t="shared" si="170"/>
        <v>3466.6333333333332</v>
      </c>
      <c r="T313" s="516">
        <v>8183</v>
      </c>
      <c r="U313" s="519">
        <v>8491</v>
      </c>
      <c r="V313" s="506">
        <f t="shared" si="171"/>
        <v>115900</v>
      </c>
      <c r="W313" s="510">
        <f t="shared" si="172"/>
        <v>103999</v>
      </c>
      <c r="X313" s="517"/>
      <c r="Y313" s="519"/>
      <c r="Z313" s="516">
        <v>220263</v>
      </c>
      <c r="AA313" s="683">
        <v>247588</v>
      </c>
      <c r="AB313" s="516">
        <v>149246</v>
      </c>
      <c r="AC313" s="684">
        <v>150779</v>
      </c>
      <c r="AD313" s="516">
        <v>261844</v>
      </c>
      <c r="AE313" s="759">
        <v>260008</v>
      </c>
      <c r="AF313" s="506">
        <f t="shared" si="173"/>
        <v>631353</v>
      </c>
      <c r="AG313" s="507">
        <f t="shared" si="174"/>
        <v>701.50333333333333</v>
      </c>
      <c r="AH313" s="508">
        <f t="shared" si="175"/>
        <v>658375</v>
      </c>
      <c r="AI313" s="508">
        <f t="shared" si="176"/>
        <v>731.52777777777783</v>
      </c>
      <c r="AJ313" s="516"/>
      <c r="AK313" s="519"/>
      <c r="AL313" s="506">
        <f t="shared" si="183"/>
        <v>0</v>
      </c>
      <c r="AM313" s="509">
        <f t="shared" si="184"/>
        <v>0</v>
      </c>
      <c r="AN313" s="518"/>
      <c r="AO313" s="520"/>
      <c r="AP313" s="516"/>
      <c r="AQ313" s="618"/>
      <c r="AR313" s="516"/>
      <c r="AS313" s="618"/>
      <c r="AT313" s="516"/>
      <c r="AU313" s="618"/>
      <c r="AV313" s="506">
        <f t="shared" si="177"/>
        <v>0</v>
      </c>
      <c r="AW313" s="511">
        <f t="shared" si="178"/>
        <v>0</v>
      </c>
      <c r="AX313" s="508">
        <f t="shared" si="179"/>
        <v>0</v>
      </c>
      <c r="AY313" s="512">
        <f t="shared" si="180"/>
        <v>0</v>
      </c>
      <c r="AZ313" s="513">
        <f t="shared" si="181"/>
        <v>4564.836666666667</v>
      </c>
      <c r="BA313" s="508">
        <f t="shared" si="182"/>
        <v>4198.1611111111106</v>
      </c>
    </row>
    <row r="314" spans="1:53">
      <c r="A314" s="584" t="s">
        <v>364</v>
      </c>
      <c r="B314" s="699" t="s">
        <v>757</v>
      </c>
      <c r="C314" s="698"/>
      <c r="D314" s="702">
        <v>198251</v>
      </c>
      <c r="E314" s="585">
        <v>9</v>
      </c>
      <c r="F314" s="514" t="s">
        <v>41</v>
      </c>
      <c r="G314" s="515"/>
      <c r="H314" s="516"/>
      <c r="I314" s="519"/>
      <c r="J314" s="516">
        <v>42895</v>
      </c>
      <c r="K314" s="519">
        <v>39235</v>
      </c>
      <c r="L314" s="516">
        <v>8116</v>
      </c>
      <c r="M314" s="519">
        <v>6982</v>
      </c>
      <c r="N314" s="516">
        <v>46892</v>
      </c>
      <c r="O314" s="625">
        <v>41427</v>
      </c>
      <c r="P314" s="506">
        <f t="shared" si="167"/>
        <v>97903</v>
      </c>
      <c r="Q314" s="507">
        <f t="shared" si="168"/>
        <v>3263.4333333333334</v>
      </c>
      <c r="R314" s="508">
        <f t="shared" si="169"/>
        <v>87644</v>
      </c>
      <c r="S314" s="509">
        <f t="shared" si="170"/>
        <v>2921.4666666666667</v>
      </c>
      <c r="T314" s="516">
        <v>9548</v>
      </c>
      <c r="U314" s="519">
        <v>9327</v>
      </c>
      <c r="V314" s="506">
        <f t="shared" si="171"/>
        <v>97903</v>
      </c>
      <c r="W314" s="510">
        <f t="shared" si="172"/>
        <v>87644</v>
      </c>
      <c r="X314" s="517"/>
      <c r="Y314" s="519"/>
      <c r="Z314" s="516">
        <v>419454</v>
      </c>
      <c r="AA314" s="683">
        <v>434372</v>
      </c>
      <c r="AB314" s="516">
        <v>282688</v>
      </c>
      <c r="AC314" s="684">
        <v>285076</v>
      </c>
      <c r="AD314" s="516">
        <v>467948</v>
      </c>
      <c r="AE314" s="759">
        <v>476844</v>
      </c>
      <c r="AF314" s="506">
        <f t="shared" si="173"/>
        <v>1170090</v>
      </c>
      <c r="AG314" s="507">
        <f t="shared" si="174"/>
        <v>1300.0999999999999</v>
      </c>
      <c r="AH314" s="508">
        <f t="shared" si="175"/>
        <v>1196292</v>
      </c>
      <c r="AI314" s="508">
        <f t="shared" si="176"/>
        <v>1329.2133333333334</v>
      </c>
      <c r="AJ314" s="516"/>
      <c r="AK314" s="519"/>
      <c r="AL314" s="506">
        <f t="shared" si="183"/>
        <v>0</v>
      </c>
      <c r="AM314" s="509">
        <f t="shared" si="184"/>
        <v>0</v>
      </c>
      <c r="AN314" s="518"/>
      <c r="AO314" s="520"/>
      <c r="AP314" s="516"/>
      <c r="AQ314" s="618"/>
      <c r="AR314" s="516"/>
      <c r="AS314" s="618"/>
      <c r="AT314" s="516"/>
      <c r="AU314" s="618"/>
      <c r="AV314" s="506">
        <f t="shared" si="177"/>
        <v>0</v>
      </c>
      <c r="AW314" s="511">
        <f t="shared" si="178"/>
        <v>0</v>
      </c>
      <c r="AX314" s="508">
        <f t="shared" si="179"/>
        <v>0</v>
      </c>
      <c r="AY314" s="512">
        <f t="shared" si="180"/>
        <v>0</v>
      </c>
      <c r="AZ314" s="513">
        <f t="shared" si="181"/>
        <v>4563.5333333333328</v>
      </c>
      <c r="BA314" s="508">
        <f t="shared" si="182"/>
        <v>4250.68</v>
      </c>
    </row>
    <row r="315" spans="1:53">
      <c r="A315" s="584" t="s">
        <v>364</v>
      </c>
      <c r="B315" s="579" t="s">
        <v>758</v>
      </c>
      <c r="C315" s="698"/>
      <c r="D315" s="701">
        <v>198321</v>
      </c>
      <c r="E315" s="590">
        <v>9</v>
      </c>
      <c r="F315" s="514" t="s">
        <v>41</v>
      </c>
      <c r="G315" s="515"/>
      <c r="H315" s="516"/>
      <c r="I315" s="519"/>
      <c r="J315" s="516">
        <v>30432</v>
      </c>
      <c r="K315" s="519">
        <v>28243</v>
      </c>
      <c r="L315" s="516">
        <v>6131</v>
      </c>
      <c r="M315" s="519">
        <v>3792</v>
      </c>
      <c r="N315" s="516">
        <v>33897</v>
      </c>
      <c r="O315" s="625">
        <v>31082</v>
      </c>
      <c r="P315" s="506">
        <f t="shared" si="167"/>
        <v>70460</v>
      </c>
      <c r="Q315" s="507">
        <f t="shared" si="168"/>
        <v>2348.6666666666665</v>
      </c>
      <c r="R315" s="508">
        <f t="shared" si="169"/>
        <v>63117</v>
      </c>
      <c r="S315" s="509">
        <f t="shared" si="170"/>
        <v>2103.9</v>
      </c>
      <c r="T315" s="516">
        <v>12104</v>
      </c>
      <c r="U315" s="519">
        <v>7598</v>
      </c>
      <c r="V315" s="506">
        <f t="shared" si="171"/>
        <v>70460</v>
      </c>
      <c r="W315" s="510">
        <f t="shared" si="172"/>
        <v>63117</v>
      </c>
      <c r="X315" s="517"/>
      <c r="Y315" s="519"/>
      <c r="Z315" s="516">
        <v>125702</v>
      </c>
      <c r="AA315" s="683">
        <v>150090</v>
      </c>
      <c r="AB315" s="516">
        <v>84683</v>
      </c>
      <c r="AC315" s="684">
        <v>91102</v>
      </c>
      <c r="AD315" s="516">
        <v>134184</v>
      </c>
      <c r="AE315" s="759">
        <v>151566</v>
      </c>
      <c r="AF315" s="506">
        <f t="shared" si="173"/>
        <v>344569</v>
      </c>
      <c r="AG315" s="507">
        <f t="shared" si="174"/>
        <v>382.85444444444443</v>
      </c>
      <c r="AH315" s="508">
        <f t="shared" si="175"/>
        <v>392758</v>
      </c>
      <c r="AI315" s="508">
        <f t="shared" si="176"/>
        <v>436.39777777777778</v>
      </c>
      <c r="AJ315" s="516"/>
      <c r="AK315" s="519"/>
      <c r="AL315" s="506">
        <f t="shared" si="183"/>
        <v>0</v>
      </c>
      <c r="AM315" s="509">
        <f t="shared" si="184"/>
        <v>0</v>
      </c>
      <c r="AN315" s="518"/>
      <c r="AO315" s="520"/>
      <c r="AP315" s="516"/>
      <c r="AQ315" s="618"/>
      <c r="AR315" s="516"/>
      <c r="AS315" s="618"/>
      <c r="AT315" s="516"/>
      <c r="AU315" s="618"/>
      <c r="AV315" s="506">
        <f t="shared" si="177"/>
        <v>0</v>
      </c>
      <c r="AW315" s="511">
        <f t="shared" si="178"/>
        <v>0</v>
      </c>
      <c r="AX315" s="508">
        <f t="shared" si="179"/>
        <v>0</v>
      </c>
      <c r="AY315" s="512">
        <f t="shared" si="180"/>
        <v>0</v>
      </c>
      <c r="AZ315" s="513">
        <f t="shared" si="181"/>
        <v>2731.5211111111112</v>
      </c>
      <c r="BA315" s="508">
        <f t="shared" si="182"/>
        <v>2540.2977777777778</v>
      </c>
    </row>
    <row r="316" spans="1:53" ht="12.75" customHeight="1">
      <c r="A316" s="584" t="s">
        <v>364</v>
      </c>
      <c r="B316" s="583" t="s">
        <v>759</v>
      </c>
      <c r="C316" s="705"/>
      <c r="D316" s="701">
        <v>198330</v>
      </c>
      <c r="E316" s="590">
        <v>9</v>
      </c>
      <c r="F316" s="514" t="s">
        <v>41</v>
      </c>
      <c r="G316" s="515"/>
      <c r="H316" s="516"/>
      <c r="I316" s="519"/>
      <c r="J316" s="516">
        <v>41404</v>
      </c>
      <c r="K316" s="519">
        <v>46872</v>
      </c>
      <c r="L316" s="516">
        <v>17280</v>
      </c>
      <c r="M316" s="519">
        <v>19332</v>
      </c>
      <c r="N316" s="516">
        <v>43705</v>
      </c>
      <c r="O316" s="625">
        <v>47944</v>
      </c>
      <c r="P316" s="506">
        <f t="shared" si="167"/>
        <v>102389</v>
      </c>
      <c r="Q316" s="507">
        <f t="shared" si="168"/>
        <v>3412.9666666666667</v>
      </c>
      <c r="R316" s="508">
        <f t="shared" si="169"/>
        <v>114148</v>
      </c>
      <c r="S316" s="509">
        <f t="shared" si="170"/>
        <v>3804.9333333333334</v>
      </c>
      <c r="T316" s="516">
        <v>531</v>
      </c>
      <c r="U316" s="519">
        <v>664</v>
      </c>
      <c r="V316" s="506">
        <f t="shared" si="171"/>
        <v>102389</v>
      </c>
      <c r="W316" s="510">
        <f t="shared" si="172"/>
        <v>114148</v>
      </c>
      <c r="X316" s="517"/>
      <c r="Y316" s="519"/>
      <c r="Z316" s="516">
        <v>269869</v>
      </c>
      <c r="AA316" s="683">
        <v>258569</v>
      </c>
      <c r="AB316" s="516">
        <v>180975</v>
      </c>
      <c r="AC316" s="684">
        <v>194891</v>
      </c>
      <c r="AD316" s="516">
        <v>346241</v>
      </c>
      <c r="AE316" s="759">
        <v>314904</v>
      </c>
      <c r="AF316" s="506">
        <f t="shared" si="173"/>
        <v>797085</v>
      </c>
      <c r="AG316" s="507">
        <f t="shared" si="174"/>
        <v>885.65</v>
      </c>
      <c r="AH316" s="508">
        <f t="shared" si="175"/>
        <v>768364</v>
      </c>
      <c r="AI316" s="508">
        <f t="shared" si="176"/>
        <v>853.73777777777775</v>
      </c>
      <c r="AJ316" s="516"/>
      <c r="AK316" s="519"/>
      <c r="AL316" s="506">
        <f t="shared" si="183"/>
        <v>0</v>
      </c>
      <c r="AM316" s="509">
        <f t="shared" si="184"/>
        <v>0</v>
      </c>
      <c r="AN316" s="518"/>
      <c r="AO316" s="520"/>
      <c r="AP316" s="516"/>
      <c r="AQ316" s="618"/>
      <c r="AR316" s="516"/>
      <c r="AS316" s="618"/>
      <c r="AT316" s="516"/>
      <c r="AU316" s="618"/>
      <c r="AV316" s="506">
        <f t="shared" si="177"/>
        <v>0</v>
      </c>
      <c r="AW316" s="511">
        <f t="shared" si="178"/>
        <v>0</v>
      </c>
      <c r="AX316" s="508">
        <f t="shared" si="179"/>
        <v>0</v>
      </c>
      <c r="AY316" s="512">
        <f t="shared" si="180"/>
        <v>0</v>
      </c>
      <c r="AZ316" s="513">
        <f t="shared" si="181"/>
        <v>4298.6166666666668</v>
      </c>
      <c r="BA316" s="508">
        <f t="shared" si="182"/>
        <v>4658.6711111111108</v>
      </c>
    </row>
    <row r="317" spans="1:53" ht="12.75" customHeight="1">
      <c r="A317" s="584" t="s">
        <v>364</v>
      </c>
      <c r="B317" s="579" t="s">
        <v>760</v>
      </c>
      <c r="C317" s="700"/>
      <c r="D317" s="701">
        <v>198367</v>
      </c>
      <c r="E317" s="590">
        <v>9</v>
      </c>
      <c r="F317" s="514" t="s">
        <v>41</v>
      </c>
      <c r="G317" s="515"/>
      <c r="H317" s="516"/>
      <c r="I317" s="519"/>
      <c r="J317" s="516">
        <v>33252</v>
      </c>
      <c r="K317" s="519">
        <v>31385</v>
      </c>
      <c r="L317" s="516">
        <v>11305</v>
      </c>
      <c r="M317" s="519">
        <v>7294</v>
      </c>
      <c r="N317" s="516">
        <v>32509</v>
      </c>
      <c r="O317" s="625">
        <v>32837</v>
      </c>
      <c r="P317" s="506">
        <f t="shared" si="167"/>
        <v>77066</v>
      </c>
      <c r="Q317" s="507">
        <f t="shared" si="168"/>
        <v>2568.8666666666668</v>
      </c>
      <c r="R317" s="508">
        <f t="shared" si="169"/>
        <v>71516</v>
      </c>
      <c r="S317" s="509">
        <f t="shared" si="170"/>
        <v>2383.8666666666668</v>
      </c>
      <c r="T317" s="516">
        <v>3990</v>
      </c>
      <c r="U317" s="519">
        <v>4375</v>
      </c>
      <c r="V317" s="506">
        <f t="shared" si="171"/>
        <v>77066</v>
      </c>
      <c r="W317" s="510">
        <f t="shared" si="172"/>
        <v>71516</v>
      </c>
      <c r="X317" s="517"/>
      <c r="Y317" s="519"/>
      <c r="Z317" s="516">
        <v>169605</v>
      </c>
      <c r="AA317" s="519">
        <v>148437</v>
      </c>
      <c r="AB317" s="516">
        <v>100551</v>
      </c>
      <c r="AC317" s="519">
        <v>86014</v>
      </c>
      <c r="AD317" s="516">
        <v>159172</v>
      </c>
      <c r="AE317" s="519">
        <v>136842</v>
      </c>
      <c r="AF317" s="506">
        <f t="shared" si="173"/>
        <v>429328</v>
      </c>
      <c r="AG317" s="507">
        <f t="shared" si="174"/>
        <v>477.0311111111111</v>
      </c>
      <c r="AH317" s="508">
        <f t="shared" si="175"/>
        <v>371293</v>
      </c>
      <c r="AI317" s="508">
        <f t="shared" si="176"/>
        <v>412.54777777777775</v>
      </c>
      <c r="AJ317" s="516"/>
      <c r="AK317" s="519"/>
      <c r="AL317" s="506">
        <f t="shared" si="183"/>
        <v>0</v>
      </c>
      <c r="AM317" s="509">
        <f t="shared" si="184"/>
        <v>0</v>
      </c>
      <c r="AN317" s="518"/>
      <c r="AO317" s="520"/>
      <c r="AP317" s="516"/>
      <c r="AQ317" s="618"/>
      <c r="AR317" s="516"/>
      <c r="AS317" s="618"/>
      <c r="AT317" s="516"/>
      <c r="AU317" s="618"/>
      <c r="AV317" s="506">
        <f t="shared" si="177"/>
        <v>0</v>
      </c>
      <c r="AW317" s="511">
        <f t="shared" si="178"/>
        <v>0</v>
      </c>
      <c r="AX317" s="508">
        <f t="shared" si="179"/>
        <v>0</v>
      </c>
      <c r="AY317" s="512">
        <f t="shared" si="180"/>
        <v>0</v>
      </c>
      <c r="AZ317" s="513">
        <f t="shared" si="181"/>
        <v>3045.8977777777777</v>
      </c>
      <c r="BA317" s="508">
        <f t="shared" si="182"/>
        <v>2796.4144444444446</v>
      </c>
    </row>
    <row r="318" spans="1:53" ht="12.75" customHeight="1">
      <c r="A318" s="584" t="s">
        <v>364</v>
      </c>
      <c r="B318" s="579" t="s">
        <v>761</v>
      </c>
      <c r="C318" s="700"/>
      <c r="D318" s="701">
        <v>198376</v>
      </c>
      <c r="E318" s="590">
        <v>9</v>
      </c>
      <c r="F318" s="514" t="s">
        <v>41</v>
      </c>
      <c r="G318" s="515"/>
      <c r="H318" s="516"/>
      <c r="I318" s="519"/>
      <c r="J318" s="516">
        <v>38859</v>
      </c>
      <c r="K318" s="519">
        <v>38027</v>
      </c>
      <c r="L318" s="516">
        <v>12432</v>
      </c>
      <c r="M318" s="519">
        <v>8257</v>
      </c>
      <c r="N318" s="516">
        <v>40448</v>
      </c>
      <c r="O318" s="625">
        <v>40368</v>
      </c>
      <c r="P318" s="506">
        <f t="shared" si="167"/>
        <v>91739</v>
      </c>
      <c r="Q318" s="507">
        <f t="shared" si="168"/>
        <v>3057.9666666666667</v>
      </c>
      <c r="R318" s="508">
        <f t="shared" si="169"/>
        <v>86652</v>
      </c>
      <c r="S318" s="509">
        <f t="shared" si="170"/>
        <v>2888.4</v>
      </c>
      <c r="T318" s="516">
        <v>5647</v>
      </c>
      <c r="U318" s="519">
        <v>5860</v>
      </c>
      <c r="V318" s="506">
        <f t="shared" si="171"/>
        <v>91739</v>
      </c>
      <c r="W318" s="510">
        <f t="shared" si="172"/>
        <v>86652</v>
      </c>
      <c r="X318" s="517"/>
      <c r="Y318" s="519"/>
      <c r="Z318" s="516">
        <v>239705</v>
      </c>
      <c r="AA318" s="519">
        <v>231630</v>
      </c>
      <c r="AB318" s="516">
        <v>173592</v>
      </c>
      <c r="AC318" s="519">
        <v>162517</v>
      </c>
      <c r="AD318" s="516">
        <v>251781</v>
      </c>
      <c r="AE318" s="519">
        <v>264415</v>
      </c>
      <c r="AF318" s="506">
        <f t="shared" si="173"/>
        <v>665078</v>
      </c>
      <c r="AG318" s="507">
        <f t="shared" si="174"/>
        <v>738.9755555555555</v>
      </c>
      <c r="AH318" s="508">
        <f t="shared" si="175"/>
        <v>658562</v>
      </c>
      <c r="AI318" s="508">
        <f t="shared" si="176"/>
        <v>731.73555555555561</v>
      </c>
      <c r="AJ318" s="516"/>
      <c r="AK318" s="519"/>
      <c r="AL318" s="506">
        <f t="shared" si="183"/>
        <v>0</v>
      </c>
      <c r="AM318" s="509">
        <f t="shared" si="184"/>
        <v>0</v>
      </c>
      <c r="AN318" s="518"/>
      <c r="AO318" s="520"/>
      <c r="AP318" s="516"/>
      <c r="AQ318" s="618"/>
      <c r="AR318" s="516"/>
      <c r="AS318" s="618"/>
      <c r="AT318" s="516"/>
      <c r="AU318" s="618"/>
      <c r="AV318" s="506">
        <f t="shared" si="177"/>
        <v>0</v>
      </c>
      <c r="AW318" s="511">
        <f t="shared" si="178"/>
        <v>0</v>
      </c>
      <c r="AX318" s="508">
        <f t="shared" si="179"/>
        <v>0</v>
      </c>
      <c r="AY318" s="512">
        <f t="shared" si="180"/>
        <v>0</v>
      </c>
      <c r="AZ318" s="513">
        <f t="shared" si="181"/>
        <v>3796.942222222222</v>
      </c>
      <c r="BA318" s="508">
        <f t="shared" si="182"/>
        <v>3620.1355555555556</v>
      </c>
    </row>
    <row r="319" spans="1:53" ht="12.75" customHeight="1">
      <c r="A319" s="584" t="s">
        <v>364</v>
      </c>
      <c r="B319" s="699" t="s">
        <v>762</v>
      </c>
      <c r="C319" s="698"/>
      <c r="D319" s="704">
        <v>198455</v>
      </c>
      <c r="E319" s="585">
        <v>9</v>
      </c>
      <c r="F319" s="514" t="s">
        <v>41</v>
      </c>
      <c r="G319" s="515"/>
      <c r="H319" s="516"/>
      <c r="I319" s="519"/>
      <c r="J319" s="516">
        <v>49523</v>
      </c>
      <c r="K319" s="519">
        <v>45879</v>
      </c>
      <c r="L319" s="516">
        <v>12108</v>
      </c>
      <c r="M319" s="519">
        <v>11437</v>
      </c>
      <c r="N319" s="516">
        <v>48794</v>
      </c>
      <c r="O319" s="625">
        <v>43958</v>
      </c>
      <c r="P319" s="506">
        <f t="shared" si="167"/>
        <v>110425</v>
      </c>
      <c r="Q319" s="507">
        <f t="shared" si="168"/>
        <v>3680.8333333333335</v>
      </c>
      <c r="R319" s="508">
        <f t="shared" si="169"/>
        <v>101274</v>
      </c>
      <c r="S319" s="509">
        <f t="shared" si="170"/>
        <v>3375.8</v>
      </c>
      <c r="T319" s="516">
        <v>2689</v>
      </c>
      <c r="U319" s="519">
        <v>2205</v>
      </c>
      <c r="V319" s="506">
        <f t="shared" si="171"/>
        <v>110425</v>
      </c>
      <c r="W319" s="510">
        <f t="shared" si="172"/>
        <v>101274</v>
      </c>
      <c r="X319" s="517"/>
      <c r="Y319" s="519"/>
      <c r="Z319" s="516">
        <v>298651</v>
      </c>
      <c r="AA319" s="519">
        <v>313043</v>
      </c>
      <c r="AB319" s="516">
        <v>174433</v>
      </c>
      <c r="AC319" s="519">
        <v>160151</v>
      </c>
      <c r="AD319" s="516">
        <v>362737</v>
      </c>
      <c r="AE319" s="519">
        <v>340806</v>
      </c>
      <c r="AF319" s="506">
        <f t="shared" si="173"/>
        <v>835821</v>
      </c>
      <c r="AG319" s="507">
        <f t="shared" si="174"/>
        <v>928.69</v>
      </c>
      <c r="AH319" s="508">
        <f t="shared" si="175"/>
        <v>814000</v>
      </c>
      <c r="AI319" s="508">
        <f t="shared" si="176"/>
        <v>904.44444444444446</v>
      </c>
      <c r="AJ319" s="516"/>
      <c r="AK319" s="519"/>
      <c r="AL319" s="506">
        <f t="shared" si="183"/>
        <v>0</v>
      </c>
      <c r="AM319" s="509">
        <f t="shared" si="184"/>
        <v>0</v>
      </c>
      <c r="AN319" s="518"/>
      <c r="AO319" s="520"/>
      <c r="AP319" s="516"/>
      <c r="AQ319" s="618"/>
      <c r="AR319" s="516"/>
      <c r="AS319" s="618"/>
      <c r="AT319" s="516"/>
      <c r="AU319" s="618"/>
      <c r="AV319" s="506">
        <f t="shared" si="177"/>
        <v>0</v>
      </c>
      <c r="AW319" s="511">
        <f t="shared" si="178"/>
        <v>0</v>
      </c>
      <c r="AX319" s="508">
        <f t="shared" si="179"/>
        <v>0</v>
      </c>
      <c r="AY319" s="512">
        <f t="shared" si="180"/>
        <v>0</v>
      </c>
      <c r="AZ319" s="513">
        <f t="shared" si="181"/>
        <v>4609.5233333333335</v>
      </c>
      <c r="BA319" s="508">
        <f t="shared" si="182"/>
        <v>4280.2444444444445</v>
      </c>
    </row>
    <row r="320" spans="1:53" ht="12.75" customHeight="1">
      <c r="A320" s="584" t="s">
        <v>364</v>
      </c>
      <c r="B320" s="579" t="s">
        <v>763</v>
      </c>
      <c r="C320" s="700"/>
      <c r="D320" s="701">
        <v>198491</v>
      </c>
      <c r="E320" s="590">
        <v>9</v>
      </c>
      <c r="F320" s="514" t="s">
        <v>41</v>
      </c>
      <c r="G320" s="515"/>
      <c r="H320" s="516"/>
      <c r="I320" s="519"/>
      <c r="J320" s="516">
        <v>32817</v>
      </c>
      <c r="K320" s="519">
        <v>29892</v>
      </c>
      <c r="L320" s="516">
        <v>9608</v>
      </c>
      <c r="M320" s="519">
        <v>7234</v>
      </c>
      <c r="N320" s="516">
        <v>35399</v>
      </c>
      <c r="O320" s="625">
        <v>32198</v>
      </c>
      <c r="P320" s="506">
        <f t="shared" si="167"/>
        <v>77824</v>
      </c>
      <c r="Q320" s="507">
        <f t="shared" si="168"/>
        <v>2594.1333333333332</v>
      </c>
      <c r="R320" s="508">
        <f t="shared" si="169"/>
        <v>69324</v>
      </c>
      <c r="S320" s="509">
        <f t="shared" si="170"/>
        <v>2310.8000000000002</v>
      </c>
      <c r="T320" s="516">
        <v>3218</v>
      </c>
      <c r="U320" s="519">
        <v>2308</v>
      </c>
      <c r="V320" s="506">
        <f t="shared" si="171"/>
        <v>77824</v>
      </c>
      <c r="W320" s="510">
        <f t="shared" si="172"/>
        <v>69324</v>
      </c>
      <c r="X320" s="517"/>
      <c r="Y320" s="519"/>
      <c r="Z320" s="516">
        <v>141347</v>
      </c>
      <c r="AA320" s="519">
        <v>119519</v>
      </c>
      <c r="AB320" s="516">
        <v>86502</v>
      </c>
      <c r="AC320" s="519">
        <v>89501</v>
      </c>
      <c r="AD320" s="516">
        <v>143443</v>
      </c>
      <c r="AE320" s="519">
        <v>150571</v>
      </c>
      <c r="AF320" s="506">
        <f t="shared" si="173"/>
        <v>371292</v>
      </c>
      <c r="AG320" s="507">
        <f t="shared" si="174"/>
        <v>412.54666666666668</v>
      </c>
      <c r="AH320" s="508">
        <f t="shared" si="175"/>
        <v>359591</v>
      </c>
      <c r="AI320" s="508">
        <f t="shared" si="176"/>
        <v>399.54555555555555</v>
      </c>
      <c r="AJ320" s="516"/>
      <c r="AK320" s="519"/>
      <c r="AL320" s="506">
        <f t="shared" si="183"/>
        <v>0</v>
      </c>
      <c r="AM320" s="509">
        <f t="shared" si="184"/>
        <v>0</v>
      </c>
      <c r="AN320" s="518"/>
      <c r="AO320" s="520"/>
      <c r="AP320" s="516"/>
      <c r="AQ320" s="618"/>
      <c r="AR320" s="516"/>
      <c r="AS320" s="618"/>
      <c r="AT320" s="516"/>
      <c r="AU320" s="618"/>
      <c r="AV320" s="506">
        <f t="shared" si="177"/>
        <v>0</v>
      </c>
      <c r="AW320" s="511">
        <f t="shared" si="178"/>
        <v>0</v>
      </c>
      <c r="AX320" s="508">
        <f t="shared" si="179"/>
        <v>0</v>
      </c>
      <c r="AY320" s="512">
        <f t="shared" si="180"/>
        <v>0</v>
      </c>
      <c r="AZ320" s="513">
        <f t="shared" si="181"/>
        <v>3006.68</v>
      </c>
      <c r="BA320" s="508">
        <f t="shared" si="182"/>
        <v>2710.3455555555556</v>
      </c>
    </row>
    <row r="321" spans="1:53" ht="12.75" customHeight="1">
      <c r="A321" s="584" t="s">
        <v>364</v>
      </c>
      <c r="B321" s="579" t="s">
        <v>764</v>
      </c>
      <c r="C321" s="698" t="s">
        <v>802</v>
      </c>
      <c r="D321" s="701">
        <v>198668</v>
      </c>
      <c r="E321" s="590">
        <v>9</v>
      </c>
      <c r="F321" s="514" t="s">
        <v>41</v>
      </c>
      <c r="G321" s="515"/>
      <c r="H321" s="516"/>
      <c r="I321" s="519"/>
      <c r="J321" s="516">
        <v>19672</v>
      </c>
      <c r="K321" s="519">
        <v>19532</v>
      </c>
      <c r="L321" s="516">
        <v>6407</v>
      </c>
      <c r="M321" s="519">
        <v>4231</v>
      </c>
      <c r="N321" s="516">
        <v>20661</v>
      </c>
      <c r="O321" s="519">
        <v>20642</v>
      </c>
      <c r="P321" s="506">
        <f t="shared" si="167"/>
        <v>46740</v>
      </c>
      <c r="Q321" s="507">
        <f t="shared" si="168"/>
        <v>1558</v>
      </c>
      <c r="R321" s="508">
        <f t="shared" si="169"/>
        <v>44405</v>
      </c>
      <c r="S321" s="509">
        <f t="shared" si="170"/>
        <v>1480.1666666666667</v>
      </c>
      <c r="T321" s="516">
        <v>6474</v>
      </c>
      <c r="U321" s="618">
        <v>5749</v>
      </c>
      <c r="V321" s="506">
        <f t="shared" si="171"/>
        <v>46740</v>
      </c>
      <c r="W321" s="510">
        <f t="shared" si="172"/>
        <v>44405</v>
      </c>
      <c r="X321" s="517"/>
      <c r="Y321" s="519"/>
      <c r="Z321" s="516">
        <v>91141</v>
      </c>
      <c r="AA321" s="519">
        <v>88369</v>
      </c>
      <c r="AB321" s="516">
        <v>42404</v>
      </c>
      <c r="AC321" s="519">
        <v>52725</v>
      </c>
      <c r="AD321" s="516">
        <v>101308</v>
      </c>
      <c r="AE321" s="519">
        <v>85233</v>
      </c>
      <c r="AF321" s="506">
        <f t="shared" si="173"/>
        <v>234853</v>
      </c>
      <c r="AG321" s="507">
        <f t="shared" si="174"/>
        <v>260.94777777777779</v>
      </c>
      <c r="AH321" s="508">
        <f t="shared" si="175"/>
        <v>226327</v>
      </c>
      <c r="AI321" s="508">
        <f t="shared" si="176"/>
        <v>251.47444444444446</v>
      </c>
      <c r="AJ321" s="516"/>
      <c r="AK321" s="519"/>
      <c r="AL321" s="506">
        <f t="shared" si="183"/>
        <v>0</v>
      </c>
      <c r="AM321" s="509">
        <f t="shared" si="184"/>
        <v>0</v>
      </c>
      <c r="AN321" s="518"/>
      <c r="AO321" s="520"/>
      <c r="AP321" s="516"/>
      <c r="AQ321" s="618"/>
      <c r="AR321" s="516"/>
      <c r="AS321" s="618"/>
      <c r="AT321" s="516"/>
      <c r="AU321" s="618"/>
      <c r="AV321" s="506">
        <f t="shared" si="177"/>
        <v>0</v>
      </c>
      <c r="AW321" s="511">
        <f t="shared" si="178"/>
        <v>0</v>
      </c>
      <c r="AX321" s="508">
        <f t="shared" si="179"/>
        <v>0</v>
      </c>
      <c r="AY321" s="512">
        <f t="shared" si="180"/>
        <v>0</v>
      </c>
      <c r="AZ321" s="513">
        <f t="shared" si="181"/>
        <v>1818.9477777777779</v>
      </c>
      <c r="BA321" s="508">
        <f t="shared" si="182"/>
        <v>1731.6411111111113</v>
      </c>
    </row>
    <row r="322" spans="1:53" ht="12.75" customHeight="1">
      <c r="A322" s="584" t="s">
        <v>364</v>
      </c>
      <c r="B322" s="579" t="s">
        <v>765</v>
      </c>
      <c r="C322" s="700" t="s">
        <v>322</v>
      </c>
      <c r="D322" s="701">
        <v>198710</v>
      </c>
      <c r="E322" s="590">
        <v>9</v>
      </c>
      <c r="F322" s="514" t="s">
        <v>41</v>
      </c>
      <c r="G322" s="515"/>
      <c r="H322" s="516"/>
      <c r="I322" s="519"/>
      <c r="J322" s="516">
        <v>24259</v>
      </c>
      <c r="K322" s="519">
        <v>21146</v>
      </c>
      <c r="L322" s="516">
        <v>8988</v>
      </c>
      <c r="M322" s="519">
        <v>6322</v>
      </c>
      <c r="N322" s="516">
        <v>24953</v>
      </c>
      <c r="O322" s="519">
        <v>21459</v>
      </c>
      <c r="P322" s="506">
        <f t="shared" si="167"/>
        <v>58200</v>
      </c>
      <c r="Q322" s="507">
        <f t="shared" si="168"/>
        <v>1940</v>
      </c>
      <c r="R322" s="508">
        <f t="shared" si="169"/>
        <v>48927</v>
      </c>
      <c r="S322" s="509">
        <f t="shared" si="170"/>
        <v>1630.9</v>
      </c>
      <c r="T322" s="516">
        <v>8350</v>
      </c>
      <c r="U322" s="618">
        <v>6839</v>
      </c>
      <c r="V322" s="506">
        <f t="shared" si="171"/>
        <v>58200</v>
      </c>
      <c r="W322" s="510">
        <f t="shared" si="172"/>
        <v>48927</v>
      </c>
      <c r="X322" s="517"/>
      <c r="Y322" s="519"/>
      <c r="Z322" s="516">
        <v>107719</v>
      </c>
      <c r="AA322" s="519">
        <v>127170</v>
      </c>
      <c r="AB322" s="516">
        <v>72339</v>
      </c>
      <c r="AC322" s="519">
        <v>66493</v>
      </c>
      <c r="AD322" s="516">
        <v>128370</v>
      </c>
      <c r="AE322" s="519">
        <v>114935</v>
      </c>
      <c r="AF322" s="506">
        <f t="shared" si="173"/>
        <v>308428</v>
      </c>
      <c r="AG322" s="507">
        <f t="shared" si="174"/>
        <v>342.69777777777779</v>
      </c>
      <c r="AH322" s="508">
        <f t="shared" si="175"/>
        <v>308598</v>
      </c>
      <c r="AI322" s="508">
        <f t="shared" si="176"/>
        <v>342.88666666666666</v>
      </c>
      <c r="AJ322" s="516"/>
      <c r="AK322" s="519"/>
      <c r="AL322" s="506">
        <f t="shared" si="183"/>
        <v>0</v>
      </c>
      <c r="AM322" s="509">
        <f t="shared" si="184"/>
        <v>0</v>
      </c>
      <c r="AN322" s="518"/>
      <c r="AO322" s="520"/>
      <c r="AP322" s="516"/>
      <c r="AQ322" s="618"/>
      <c r="AR322" s="516"/>
      <c r="AS322" s="618"/>
      <c r="AT322" s="516"/>
      <c r="AU322" s="618"/>
      <c r="AV322" s="506">
        <f t="shared" si="177"/>
        <v>0</v>
      </c>
      <c r="AW322" s="511">
        <f t="shared" si="178"/>
        <v>0</v>
      </c>
      <c r="AX322" s="508">
        <f t="shared" si="179"/>
        <v>0</v>
      </c>
      <c r="AY322" s="512">
        <f t="shared" si="180"/>
        <v>0</v>
      </c>
      <c r="AZ322" s="513">
        <f t="shared" si="181"/>
        <v>2282.6977777777779</v>
      </c>
      <c r="BA322" s="508">
        <f t="shared" si="182"/>
        <v>1973.7866666666669</v>
      </c>
    </row>
    <row r="323" spans="1:53" ht="12.75" customHeight="1">
      <c r="A323" s="584" t="s">
        <v>364</v>
      </c>
      <c r="B323" s="579" t="s">
        <v>766</v>
      </c>
      <c r="C323" s="700"/>
      <c r="D323" s="701">
        <v>198774</v>
      </c>
      <c r="E323" s="590">
        <v>9</v>
      </c>
      <c r="F323" s="514" t="s">
        <v>41</v>
      </c>
      <c r="G323" s="515"/>
      <c r="H323" s="516"/>
      <c r="I323" s="519"/>
      <c r="J323" s="516">
        <v>41573</v>
      </c>
      <c r="K323" s="519">
        <v>40985</v>
      </c>
      <c r="L323" s="516">
        <v>1494</v>
      </c>
      <c r="M323" s="519">
        <v>1370</v>
      </c>
      <c r="N323" s="516">
        <v>44424</v>
      </c>
      <c r="O323" s="519">
        <v>44735</v>
      </c>
      <c r="P323" s="506">
        <f t="shared" si="167"/>
        <v>87491</v>
      </c>
      <c r="Q323" s="507">
        <f t="shared" si="168"/>
        <v>2916.3666666666668</v>
      </c>
      <c r="R323" s="508">
        <f t="shared" si="169"/>
        <v>87090</v>
      </c>
      <c r="S323" s="509">
        <f t="shared" si="170"/>
        <v>2903</v>
      </c>
      <c r="T323" s="516">
        <v>6548</v>
      </c>
      <c r="U323" s="618">
        <v>5612</v>
      </c>
      <c r="V323" s="506">
        <f t="shared" si="171"/>
        <v>87491</v>
      </c>
      <c r="W323" s="510">
        <f t="shared" si="172"/>
        <v>87090</v>
      </c>
      <c r="X323" s="517"/>
      <c r="Y323" s="519"/>
      <c r="Z323" s="516">
        <v>240874</v>
      </c>
      <c r="AA323" s="519">
        <v>217187</v>
      </c>
      <c r="AB323" s="516">
        <v>141746</v>
      </c>
      <c r="AC323" s="519">
        <v>161699</v>
      </c>
      <c r="AD323" s="516">
        <v>244168</v>
      </c>
      <c r="AE323" s="519">
        <v>218120</v>
      </c>
      <c r="AF323" s="506">
        <f t="shared" si="173"/>
        <v>626788</v>
      </c>
      <c r="AG323" s="507">
        <f t="shared" si="174"/>
        <v>696.43111111111114</v>
      </c>
      <c r="AH323" s="508">
        <f t="shared" si="175"/>
        <v>597006</v>
      </c>
      <c r="AI323" s="508">
        <f t="shared" si="176"/>
        <v>663.34</v>
      </c>
      <c r="AJ323" s="516"/>
      <c r="AK323" s="519"/>
      <c r="AL323" s="506">
        <f t="shared" si="183"/>
        <v>0</v>
      </c>
      <c r="AM323" s="509">
        <f t="shared" si="184"/>
        <v>0</v>
      </c>
      <c r="AN323" s="518"/>
      <c r="AO323" s="520"/>
      <c r="AP323" s="516"/>
      <c r="AQ323" s="618"/>
      <c r="AR323" s="516"/>
      <c r="AS323" s="618"/>
      <c r="AT323" s="516"/>
      <c r="AU323" s="618"/>
      <c r="AV323" s="506">
        <f t="shared" si="177"/>
        <v>0</v>
      </c>
      <c r="AW323" s="511">
        <f t="shared" si="178"/>
        <v>0</v>
      </c>
      <c r="AX323" s="508">
        <f t="shared" si="179"/>
        <v>0</v>
      </c>
      <c r="AY323" s="512">
        <f t="shared" si="180"/>
        <v>0</v>
      </c>
      <c r="AZ323" s="513">
        <f t="shared" si="181"/>
        <v>3612.7977777777778</v>
      </c>
      <c r="BA323" s="508">
        <f t="shared" si="182"/>
        <v>3566.34</v>
      </c>
    </row>
    <row r="324" spans="1:53" ht="12.75" customHeight="1">
      <c r="A324" s="584" t="s">
        <v>364</v>
      </c>
      <c r="B324" s="579" t="s">
        <v>767</v>
      </c>
      <c r="C324" s="700"/>
      <c r="D324" s="701">
        <v>198817</v>
      </c>
      <c r="E324" s="590">
        <v>9</v>
      </c>
      <c r="F324" s="514" t="s">
        <v>41</v>
      </c>
      <c r="G324" s="515"/>
      <c r="H324" s="516"/>
      <c r="I324" s="519"/>
      <c r="J324" s="516">
        <v>29576</v>
      </c>
      <c r="K324" s="519">
        <v>25590</v>
      </c>
      <c r="L324" s="516">
        <v>11150</v>
      </c>
      <c r="M324" s="519">
        <v>8167</v>
      </c>
      <c r="N324" s="516">
        <v>31599</v>
      </c>
      <c r="O324" s="519">
        <v>28644</v>
      </c>
      <c r="P324" s="506">
        <f t="shared" si="167"/>
        <v>72325</v>
      </c>
      <c r="Q324" s="507">
        <f t="shared" si="168"/>
        <v>2410.8333333333335</v>
      </c>
      <c r="R324" s="508">
        <f t="shared" si="169"/>
        <v>62401</v>
      </c>
      <c r="S324" s="509">
        <f t="shared" si="170"/>
        <v>2080.0333333333333</v>
      </c>
      <c r="T324" s="516">
        <v>8845</v>
      </c>
      <c r="U324" s="618">
        <v>8958</v>
      </c>
      <c r="V324" s="506">
        <f t="shared" si="171"/>
        <v>72325</v>
      </c>
      <c r="W324" s="510">
        <f t="shared" si="172"/>
        <v>62401</v>
      </c>
      <c r="X324" s="517"/>
      <c r="Y324" s="519"/>
      <c r="Z324" s="516">
        <v>484995</v>
      </c>
      <c r="AA324" s="519">
        <v>505253</v>
      </c>
      <c r="AB324" s="516">
        <v>283510</v>
      </c>
      <c r="AC324" s="519">
        <v>392470</v>
      </c>
      <c r="AD324" s="516">
        <v>414928</v>
      </c>
      <c r="AE324" s="519">
        <v>506646</v>
      </c>
      <c r="AF324" s="506">
        <f t="shared" si="173"/>
        <v>1183433</v>
      </c>
      <c r="AG324" s="507">
        <f t="shared" si="174"/>
        <v>1314.9255555555555</v>
      </c>
      <c r="AH324" s="508">
        <f t="shared" si="175"/>
        <v>1404369</v>
      </c>
      <c r="AI324" s="508">
        <f t="shared" si="176"/>
        <v>1560.41</v>
      </c>
      <c r="AJ324" s="516"/>
      <c r="AK324" s="519"/>
      <c r="AL324" s="506">
        <f t="shared" si="183"/>
        <v>0</v>
      </c>
      <c r="AM324" s="509">
        <f t="shared" si="184"/>
        <v>0</v>
      </c>
      <c r="AN324" s="518"/>
      <c r="AO324" s="520"/>
      <c r="AP324" s="516"/>
      <c r="AQ324" s="618"/>
      <c r="AR324" s="516"/>
      <c r="AS324" s="618"/>
      <c r="AT324" s="516"/>
      <c r="AU324" s="618"/>
      <c r="AV324" s="506">
        <f t="shared" si="177"/>
        <v>0</v>
      </c>
      <c r="AW324" s="511">
        <f t="shared" si="178"/>
        <v>0</v>
      </c>
      <c r="AX324" s="508">
        <f t="shared" si="179"/>
        <v>0</v>
      </c>
      <c r="AY324" s="512">
        <f t="shared" si="180"/>
        <v>0</v>
      </c>
      <c r="AZ324" s="513">
        <f t="shared" si="181"/>
        <v>3725.758888888889</v>
      </c>
      <c r="BA324" s="508">
        <f t="shared" si="182"/>
        <v>3640.4433333333336</v>
      </c>
    </row>
    <row r="325" spans="1:53" ht="12.75" customHeight="1">
      <c r="A325" s="584" t="s">
        <v>364</v>
      </c>
      <c r="B325" s="579" t="s">
        <v>768</v>
      </c>
      <c r="C325" s="700"/>
      <c r="D325" s="701">
        <v>198987</v>
      </c>
      <c r="E325" s="590">
        <v>9</v>
      </c>
      <c r="F325" s="514" t="s">
        <v>41</v>
      </c>
      <c r="G325" s="515"/>
      <c r="H325" s="516"/>
      <c r="I325" s="519"/>
      <c r="J325" s="516">
        <v>31668</v>
      </c>
      <c r="K325" s="519">
        <v>30610</v>
      </c>
      <c r="L325" s="516">
        <v>8166</v>
      </c>
      <c r="M325" s="519">
        <v>6549</v>
      </c>
      <c r="N325" s="516">
        <v>32277</v>
      </c>
      <c r="O325" s="519">
        <v>32407</v>
      </c>
      <c r="P325" s="506">
        <f t="shared" si="167"/>
        <v>72111</v>
      </c>
      <c r="Q325" s="507">
        <f t="shared" si="168"/>
        <v>2403.6999999999998</v>
      </c>
      <c r="R325" s="508">
        <f t="shared" si="169"/>
        <v>69566</v>
      </c>
      <c r="S325" s="509">
        <f t="shared" si="170"/>
        <v>2318.8666666666668</v>
      </c>
      <c r="T325" s="516">
        <v>6829</v>
      </c>
      <c r="U325" s="618">
        <v>7841</v>
      </c>
      <c r="V325" s="506">
        <f t="shared" si="171"/>
        <v>72111</v>
      </c>
      <c r="W325" s="510">
        <f t="shared" si="172"/>
        <v>69566</v>
      </c>
      <c r="X325" s="517"/>
      <c r="Y325" s="519"/>
      <c r="Z325" s="516">
        <v>139801</v>
      </c>
      <c r="AA325" s="519">
        <v>131564</v>
      </c>
      <c r="AB325" s="516">
        <v>73965</v>
      </c>
      <c r="AC325" s="519">
        <v>98867</v>
      </c>
      <c r="AD325" s="516">
        <v>171595</v>
      </c>
      <c r="AE325" s="519">
        <v>140325</v>
      </c>
      <c r="AF325" s="506">
        <f t="shared" si="173"/>
        <v>385361</v>
      </c>
      <c r="AG325" s="507">
        <f t="shared" si="174"/>
        <v>428.17888888888888</v>
      </c>
      <c r="AH325" s="508">
        <f t="shared" si="175"/>
        <v>370756</v>
      </c>
      <c r="AI325" s="508">
        <f t="shared" si="176"/>
        <v>411.95111111111112</v>
      </c>
      <c r="AJ325" s="516"/>
      <c r="AK325" s="519"/>
      <c r="AL325" s="506">
        <f t="shared" si="183"/>
        <v>0</v>
      </c>
      <c r="AM325" s="509">
        <f t="shared" si="184"/>
        <v>0</v>
      </c>
      <c r="AN325" s="518"/>
      <c r="AO325" s="520"/>
      <c r="AP325" s="516"/>
      <c r="AQ325" s="618"/>
      <c r="AR325" s="516"/>
      <c r="AS325" s="618"/>
      <c r="AT325" s="516"/>
      <c r="AU325" s="618"/>
      <c r="AV325" s="506">
        <f t="shared" si="177"/>
        <v>0</v>
      </c>
      <c r="AW325" s="511">
        <f t="shared" si="178"/>
        <v>0</v>
      </c>
      <c r="AX325" s="508">
        <f t="shared" si="179"/>
        <v>0</v>
      </c>
      <c r="AY325" s="512">
        <f t="shared" si="180"/>
        <v>0</v>
      </c>
      <c r="AZ325" s="513">
        <f t="shared" si="181"/>
        <v>2831.8788888888885</v>
      </c>
      <c r="BA325" s="508">
        <f t="shared" si="182"/>
        <v>2730.8177777777778</v>
      </c>
    </row>
    <row r="326" spans="1:53" ht="12.75" customHeight="1">
      <c r="A326" s="584" t="s">
        <v>364</v>
      </c>
      <c r="B326" s="579" t="s">
        <v>769</v>
      </c>
      <c r="C326" s="700"/>
      <c r="D326" s="701">
        <v>199087</v>
      </c>
      <c r="E326" s="590">
        <v>9</v>
      </c>
      <c r="F326" s="514" t="s">
        <v>41</v>
      </c>
      <c r="G326" s="515"/>
      <c r="H326" s="516"/>
      <c r="I326" s="519"/>
      <c r="J326" s="516">
        <v>27056</v>
      </c>
      <c r="K326" s="519">
        <v>29552</v>
      </c>
      <c r="L326" s="516">
        <v>4984</v>
      </c>
      <c r="M326" s="519">
        <v>4699</v>
      </c>
      <c r="N326" s="516">
        <v>26861</v>
      </c>
      <c r="O326" s="519">
        <v>29577</v>
      </c>
      <c r="P326" s="506">
        <f t="shared" si="167"/>
        <v>58901</v>
      </c>
      <c r="Q326" s="507">
        <f t="shared" si="168"/>
        <v>1963.3666666666666</v>
      </c>
      <c r="R326" s="508">
        <f t="shared" si="169"/>
        <v>63828</v>
      </c>
      <c r="S326" s="509">
        <f t="shared" si="170"/>
        <v>2127.6</v>
      </c>
      <c r="T326" s="516">
        <v>5701</v>
      </c>
      <c r="U326" s="618">
        <v>5774</v>
      </c>
      <c r="V326" s="506">
        <f t="shared" si="171"/>
        <v>58901</v>
      </c>
      <c r="W326" s="510">
        <f t="shared" si="172"/>
        <v>63828</v>
      </c>
      <c r="X326" s="517"/>
      <c r="Y326" s="519"/>
      <c r="Z326" s="516">
        <v>145659</v>
      </c>
      <c r="AA326" s="519">
        <v>158437</v>
      </c>
      <c r="AB326" s="516">
        <v>93298</v>
      </c>
      <c r="AC326" s="519">
        <v>93385</v>
      </c>
      <c r="AD326" s="516">
        <v>166298</v>
      </c>
      <c r="AE326" s="519">
        <v>154894</v>
      </c>
      <c r="AF326" s="506">
        <f t="shared" si="173"/>
        <v>405255</v>
      </c>
      <c r="AG326" s="507">
        <f t="shared" si="174"/>
        <v>450.28333333333336</v>
      </c>
      <c r="AH326" s="508">
        <f t="shared" si="175"/>
        <v>406716</v>
      </c>
      <c r="AI326" s="508">
        <f t="shared" si="176"/>
        <v>451.90666666666669</v>
      </c>
      <c r="AJ326" s="516"/>
      <c r="AK326" s="519"/>
      <c r="AL326" s="506">
        <f t="shared" si="183"/>
        <v>0</v>
      </c>
      <c r="AM326" s="509">
        <f t="shared" si="184"/>
        <v>0</v>
      </c>
      <c r="AN326" s="518"/>
      <c r="AO326" s="520"/>
      <c r="AP326" s="516"/>
      <c r="AQ326" s="618"/>
      <c r="AR326" s="516"/>
      <c r="AS326" s="618"/>
      <c r="AT326" s="516"/>
      <c r="AU326" s="618"/>
      <c r="AV326" s="506">
        <f t="shared" si="177"/>
        <v>0</v>
      </c>
      <c r="AW326" s="511">
        <f t="shared" si="178"/>
        <v>0</v>
      </c>
      <c r="AX326" s="508">
        <f t="shared" si="179"/>
        <v>0</v>
      </c>
      <c r="AY326" s="512">
        <f t="shared" si="180"/>
        <v>0</v>
      </c>
      <c r="AZ326" s="513">
        <f t="shared" si="181"/>
        <v>2413.65</v>
      </c>
      <c r="BA326" s="508">
        <f t="shared" si="182"/>
        <v>2579.5066666666667</v>
      </c>
    </row>
    <row r="327" spans="1:53" ht="12.75" customHeight="1">
      <c r="A327" s="584" t="s">
        <v>364</v>
      </c>
      <c r="B327" s="579" t="s">
        <v>770</v>
      </c>
      <c r="C327" s="700"/>
      <c r="D327" s="701">
        <v>199421</v>
      </c>
      <c r="E327" s="590">
        <v>9</v>
      </c>
      <c r="F327" s="514" t="s">
        <v>41</v>
      </c>
      <c r="G327" s="515"/>
      <c r="H327" s="516"/>
      <c r="I327" s="519"/>
      <c r="J327" s="516">
        <v>26657</v>
      </c>
      <c r="K327" s="519">
        <v>25747</v>
      </c>
      <c r="L327" s="516">
        <v>6253</v>
      </c>
      <c r="M327" s="519">
        <v>4510</v>
      </c>
      <c r="N327" s="516">
        <v>27350</v>
      </c>
      <c r="O327" s="519">
        <v>27540</v>
      </c>
      <c r="P327" s="506">
        <f t="shared" si="167"/>
        <v>60260</v>
      </c>
      <c r="Q327" s="507">
        <f t="shared" si="168"/>
        <v>2008.6666666666667</v>
      </c>
      <c r="R327" s="508">
        <f t="shared" si="169"/>
        <v>57797</v>
      </c>
      <c r="S327" s="509">
        <f t="shared" si="170"/>
        <v>1926.5666666666666</v>
      </c>
      <c r="T327" s="516">
        <v>5908</v>
      </c>
      <c r="U327" s="618">
        <v>4981</v>
      </c>
      <c r="V327" s="506">
        <f t="shared" si="171"/>
        <v>60260</v>
      </c>
      <c r="W327" s="510">
        <f t="shared" si="172"/>
        <v>57797</v>
      </c>
      <c r="X327" s="517"/>
      <c r="Y327" s="519"/>
      <c r="Z327" s="516">
        <v>173369</v>
      </c>
      <c r="AA327" s="519">
        <v>189578</v>
      </c>
      <c r="AB327" s="516">
        <v>102383</v>
      </c>
      <c r="AC327" s="519">
        <v>92936</v>
      </c>
      <c r="AD327" s="516">
        <v>138148</v>
      </c>
      <c r="AE327" s="519">
        <v>166359</v>
      </c>
      <c r="AF327" s="506">
        <f t="shared" si="173"/>
        <v>413900</v>
      </c>
      <c r="AG327" s="507">
        <f t="shared" si="174"/>
        <v>459.88888888888891</v>
      </c>
      <c r="AH327" s="508">
        <f t="shared" si="175"/>
        <v>448873</v>
      </c>
      <c r="AI327" s="508">
        <f t="shared" si="176"/>
        <v>498.7477777777778</v>
      </c>
      <c r="AJ327" s="516"/>
      <c r="AK327" s="519"/>
      <c r="AL327" s="506">
        <f t="shared" si="183"/>
        <v>0</v>
      </c>
      <c r="AM327" s="509">
        <f t="shared" si="184"/>
        <v>0</v>
      </c>
      <c r="AN327" s="518"/>
      <c r="AO327" s="520"/>
      <c r="AP327" s="516"/>
      <c r="AQ327" s="618"/>
      <c r="AR327" s="516"/>
      <c r="AS327" s="618"/>
      <c r="AT327" s="516"/>
      <c r="AU327" s="618"/>
      <c r="AV327" s="506">
        <f t="shared" si="177"/>
        <v>0</v>
      </c>
      <c r="AW327" s="511">
        <f t="shared" si="178"/>
        <v>0</v>
      </c>
      <c r="AX327" s="508">
        <f t="shared" si="179"/>
        <v>0</v>
      </c>
      <c r="AY327" s="512">
        <f t="shared" si="180"/>
        <v>0</v>
      </c>
      <c r="AZ327" s="513">
        <f t="shared" si="181"/>
        <v>2468.5555555555557</v>
      </c>
      <c r="BA327" s="508">
        <f t="shared" si="182"/>
        <v>2425.3144444444442</v>
      </c>
    </row>
    <row r="328" spans="1:53" ht="12.75" customHeight="1">
      <c r="A328" s="584" t="s">
        <v>364</v>
      </c>
      <c r="B328" s="579" t="s">
        <v>771</v>
      </c>
      <c r="C328" s="700"/>
      <c r="D328" s="701">
        <v>199476</v>
      </c>
      <c r="E328" s="590">
        <v>9</v>
      </c>
      <c r="F328" s="514" t="s">
        <v>41</v>
      </c>
      <c r="G328" s="515"/>
      <c r="H328" s="516"/>
      <c r="I328" s="519"/>
      <c r="J328" s="516">
        <v>26206</v>
      </c>
      <c r="K328" s="519">
        <v>24532</v>
      </c>
      <c r="L328" s="516">
        <v>6692</v>
      </c>
      <c r="M328" s="519">
        <v>4537</v>
      </c>
      <c r="N328" s="516">
        <v>27098</v>
      </c>
      <c r="O328" s="519">
        <v>28227</v>
      </c>
      <c r="P328" s="506">
        <f t="shared" si="167"/>
        <v>59996</v>
      </c>
      <c r="Q328" s="507">
        <f t="shared" si="168"/>
        <v>1999.8666666666666</v>
      </c>
      <c r="R328" s="508">
        <f t="shared" si="169"/>
        <v>57296</v>
      </c>
      <c r="S328" s="509">
        <f t="shared" si="170"/>
        <v>1909.8666666666666</v>
      </c>
      <c r="T328" s="516">
        <v>1967</v>
      </c>
      <c r="U328" s="618">
        <v>2217</v>
      </c>
      <c r="V328" s="506">
        <f t="shared" si="171"/>
        <v>59996</v>
      </c>
      <c r="W328" s="510">
        <f t="shared" si="172"/>
        <v>57296</v>
      </c>
      <c r="X328" s="517"/>
      <c r="Y328" s="519"/>
      <c r="Z328" s="516">
        <v>399982</v>
      </c>
      <c r="AA328" s="519">
        <v>387360</v>
      </c>
      <c r="AB328" s="516">
        <v>257022</v>
      </c>
      <c r="AC328" s="519">
        <v>181675</v>
      </c>
      <c r="AD328" s="516">
        <v>424762</v>
      </c>
      <c r="AE328" s="519">
        <v>404657</v>
      </c>
      <c r="AF328" s="506">
        <f t="shared" si="173"/>
        <v>1081766</v>
      </c>
      <c r="AG328" s="507">
        <f t="shared" si="174"/>
        <v>1201.9622222222222</v>
      </c>
      <c r="AH328" s="508">
        <f t="shared" si="175"/>
        <v>973692</v>
      </c>
      <c r="AI328" s="508">
        <f t="shared" si="176"/>
        <v>1081.8800000000001</v>
      </c>
      <c r="AJ328" s="516"/>
      <c r="AK328" s="519"/>
      <c r="AL328" s="506">
        <f t="shared" si="183"/>
        <v>0</v>
      </c>
      <c r="AM328" s="509">
        <f t="shared" si="184"/>
        <v>0</v>
      </c>
      <c r="AN328" s="518"/>
      <c r="AO328" s="520"/>
      <c r="AP328" s="516"/>
      <c r="AQ328" s="618"/>
      <c r="AR328" s="516"/>
      <c r="AS328" s="618"/>
      <c r="AT328" s="516"/>
      <c r="AU328" s="618"/>
      <c r="AV328" s="506">
        <f t="shared" si="177"/>
        <v>0</v>
      </c>
      <c r="AW328" s="511">
        <f t="shared" si="178"/>
        <v>0</v>
      </c>
      <c r="AX328" s="508">
        <f t="shared" si="179"/>
        <v>0</v>
      </c>
      <c r="AY328" s="512">
        <f t="shared" si="180"/>
        <v>0</v>
      </c>
      <c r="AZ328" s="513">
        <f t="shared" si="181"/>
        <v>3201.8288888888887</v>
      </c>
      <c r="BA328" s="508">
        <f t="shared" si="182"/>
        <v>2991.7466666666669</v>
      </c>
    </row>
    <row r="329" spans="1:53" ht="12.75" customHeight="1">
      <c r="A329" s="584" t="s">
        <v>364</v>
      </c>
      <c r="B329" s="579" t="s">
        <v>772</v>
      </c>
      <c r="C329" s="700"/>
      <c r="D329" s="701">
        <v>199634</v>
      </c>
      <c r="E329" s="590">
        <v>9</v>
      </c>
      <c r="F329" s="514" t="s">
        <v>41</v>
      </c>
      <c r="G329" s="515"/>
      <c r="H329" s="516"/>
      <c r="I329" s="519"/>
      <c r="J329" s="516">
        <v>39214</v>
      </c>
      <c r="K329" s="519">
        <v>36985</v>
      </c>
      <c r="L329" s="516">
        <v>12499</v>
      </c>
      <c r="M329" s="519">
        <v>10644</v>
      </c>
      <c r="N329" s="516">
        <v>40790</v>
      </c>
      <c r="O329" s="519">
        <v>39601</v>
      </c>
      <c r="P329" s="506">
        <f t="shared" si="167"/>
        <v>92503</v>
      </c>
      <c r="Q329" s="507">
        <f t="shared" si="168"/>
        <v>3083.4333333333334</v>
      </c>
      <c r="R329" s="508">
        <f t="shared" si="169"/>
        <v>87230</v>
      </c>
      <c r="S329" s="509">
        <f t="shared" si="170"/>
        <v>2907.6666666666665</v>
      </c>
      <c r="T329" s="516">
        <v>6310</v>
      </c>
      <c r="U329" s="618">
        <v>4505</v>
      </c>
      <c r="V329" s="506">
        <f t="shared" si="171"/>
        <v>92503</v>
      </c>
      <c r="W329" s="510">
        <f t="shared" si="172"/>
        <v>87230</v>
      </c>
      <c r="X329" s="517"/>
      <c r="Y329" s="519"/>
      <c r="Z329" s="516">
        <v>182730</v>
      </c>
      <c r="AA329" s="519">
        <v>192210</v>
      </c>
      <c r="AB329" s="516">
        <v>101914</v>
      </c>
      <c r="AC329" s="519">
        <v>101747</v>
      </c>
      <c r="AD329" s="516">
        <v>186960</v>
      </c>
      <c r="AE329" s="519">
        <v>198274</v>
      </c>
      <c r="AF329" s="506">
        <f t="shared" si="173"/>
        <v>471604</v>
      </c>
      <c r="AG329" s="507">
        <f t="shared" si="174"/>
        <v>524.0044444444444</v>
      </c>
      <c r="AH329" s="508">
        <f t="shared" si="175"/>
        <v>492231</v>
      </c>
      <c r="AI329" s="508">
        <f t="shared" si="176"/>
        <v>546.92333333333329</v>
      </c>
      <c r="AJ329" s="516"/>
      <c r="AK329" s="519"/>
      <c r="AL329" s="506">
        <f t="shared" si="183"/>
        <v>0</v>
      </c>
      <c r="AM329" s="509">
        <f t="shared" si="184"/>
        <v>0</v>
      </c>
      <c r="AN329" s="518"/>
      <c r="AO329" s="520"/>
      <c r="AP329" s="516"/>
      <c r="AQ329" s="618"/>
      <c r="AR329" s="516"/>
      <c r="AS329" s="618"/>
      <c r="AT329" s="516"/>
      <c r="AU329" s="618"/>
      <c r="AV329" s="506">
        <f t="shared" si="177"/>
        <v>0</v>
      </c>
      <c r="AW329" s="511">
        <f t="shared" si="178"/>
        <v>0</v>
      </c>
      <c r="AX329" s="508">
        <f t="shared" si="179"/>
        <v>0</v>
      </c>
      <c r="AY329" s="512">
        <f t="shared" si="180"/>
        <v>0</v>
      </c>
      <c r="AZ329" s="513">
        <f t="shared" si="181"/>
        <v>3607.4377777777777</v>
      </c>
      <c r="BA329" s="508">
        <f t="shared" si="182"/>
        <v>3454.5899999999997</v>
      </c>
    </row>
    <row r="330" spans="1:53" ht="12.75" customHeight="1">
      <c r="A330" s="584" t="s">
        <v>364</v>
      </c>
      <c r="B330" s="579" t="s">
        <v>773</v>
      </c>
      <c r="C330" s="700"/>
      <c r="D330" s="701">
        <v>199740</v>
      </c>
      <c r="E330" s="590">
        <v>9</v>
      </c>
      <c r="F330" s="514" t="s">
        <v>41</v>
      </c>
      <c r="G330" s="515"/>
      <c r="H330" s="516"/>
      <c r="I330" s="519"/>
      <c r="J330" s="516">
        <v>28589</v>
      </c>
      <c r="K330" s="519">
        <v>26836</v>
      </c>
      <c r="L330" s="516">
        <v>8120</v>
      </c>
      <c r="M330" s="519">
        <v>6140</v>
      </c>
      <c r="N330" s="516">
        <v>29919</v>
      </c>
      <c r="O330" s="519">
        <v>29688</v>
      </c>
      <c r="P330" s="506">
        <f t="shared" si="167"/>
        <v>66628</v>
      </c>
      <c r="Q330" s="507">
        <f t="shared" si="168"/>
        <v>2220.9333333333334</v>
      </c>
      <c r="R330" s="508">
        <f t="shared" si="169"/>
        <v>62664</v>
      </c>
      <c r="S330" s="509">
        <f t="shared" si="170"/>
        <v>2088.8000000000002</v>
      </c>
      <c r="T330" s="516">
        <v>3454</v>
      </c>
      <c r="U330" s="618">
        <v>2788</v>
      </c>
      <c r="V330" s="506">
        <f t="shared" si="171"/>
        <v>66628</v>
      </c>
      <c r="W330" s="510">
        <f t="shared" si="172"/>
        <v>62664</v>
      </c>
      <c r="X330" s="517"/>
      <c r="Y330" s="519"/>
      <c r="Z330" s="516">
        <v>201212</v>
      </c>
      <c r="AA330" s="519">
        <v>218877</v>
      </c>
      <c r="AB330" s="516">
        <v>115870</v>
      </c>
      <c r="AC330" s="519">
        <v>103485</v>
      </c>
      <c r="AD330" s="516">
        <v>194112</v>
      </c>
      <c r="AE330" s="519">
        <v>212632</v>
      </c>
      <c r="AF330" s="506">
        <f t="shared" si="173"/>
        <v>511194</v>
      </c>
      <c r="AG330" s="507">
        <f t="shared" si="174"/>
        <v>567.99333333333334</v>
      </c>
      <c r="AH330" s="508">
        <f t="shared" si="175"/>
        <v>534994</v>
      </c>
      <c r="AI330" s="508">
        <f t="shared" si="176"/>
        <v>594.4377777777778</v>
      </c>
      <c r="AJ330" s="516"/>
      <c r="AK330" s="519"/>
      <c r="AL330" s="506">
        <f t="shared" si="183"/>
        <v>0</v>
      </c>
      <c r="AM330" s="509">
        <f t="shared" si="184"/>
        <v>0</v>
      </c>
      <c r="AN330" s="518"/>
      <c r="AO330" s="520"/>
      <c r="AP330" s="516"/>
      <c r="AQ330" s="618"/>
      <c r="AR330" s="516"/>
      <c r="AS330" s="618"/>
      <c r="AT330" s="516"/>
      <c r="AU330" s="618"/>
      <c r="AV330" s="506">
        <f t="shared" si="177"/>
        <v>0</v>
      </c>
      <c r="AW330" s="511">
        <f t="shared" si="178"/>
        <v>0</v>
      </c>
      <c r="AX330" s="508">
        <f t="shared" si="179"/>
        <v>0</v>
      </c>
      <c r="AY330" s="512">
        <f t="shared" si="180"/>
        <v>0</v>
      </c>
      <c r="AZ330" s="513">
        <f t="shared" si="181"/>
        <v>2788.9266666666667</v>
      </c>
      <c r="BA330" s="508">
        <f t="shared" si="182"/>
        <v>2683.2377777777779</v>
      </c>
    </row>
    <row r="331" spans="1:53" ht="12.75" customHeight="1">
      <c r="A331" s="584" t="s">
        <v>364</v>
      </c>
      <c r="B331" s="579" t="s">
        <v>774</v>
      </c>
      <c r="C331" s="700"/>
      <c r="D331" s="701">
        <v>199768</v>
      </c>
      <c r="E331" s="590">
        <v>9</v>
      </c>
      <c r="F331" s="514" t="s">
        <v>41</v>
      </c>
      <c r="G331" s="515"/>
      <c r="H331" s="516"/>
      <c r="I331" s="519"/>
      <c r="J331" s="516">
        <v>24817</v>
      </c>
      <c r="K331" s="519">
        <v>22310</v>
      </c>
      <c r="L331" s="516">
        <v>5453</v>
      </c>
      <c r="M331" s="519">
        <v>3786</v>
      </c>
      <c r="N331" s="516">
        <v>25633</v>
      </c>
      <c r="O331" s="519">
        <v>24425</v>
      </c>
      <c r="P331" s="506">
        <f t="shared" si="167"/>
        <v>55903</v>
      </c>
      <c r="Q331" s="507">
        <f t="shared" si="168"/>
        <v>1863.4333333333334</v>
      </c>
      <c r="R331" s="508">
        <f t="shared" si="169"/>
        <v>50521</v>
      </c>
      <c r="S331" s="509">
        <f t="shared" si="170"/>
        <v>1684.0333333333333</v>
      </c>
      <c r="T331" s="516">
        <v>6302</v>
      </c>
      <c r="U331" s="618">
        <v>6194</v>
      </c>
      <c r="V331" s="506">
        <f t="shared" si="171"/>
        <v>55903</v>
      </c>
      <c r="W331" s="510">
        <f t="shared" si="172"/>
        <v>50521</v>
      </c>
      <c r="X331" s="517"/>
      <c r="Y331" s="519"/>
      <c r="Z331" s="516">
        <v>156780</v>
      </c>
      <c r="AA331" s="519">
        <v>151490</v>
      </c>
      <c r="AB331" s="516">
        <v>140992</v>
      </c>
      <c r="AC331" s="519">
        <v>147580</v>
      </c>
      <c r="AD331" s="516">
        <v>224693</v>
      </c>
      <c r="AE331" s="519">
        <v>206788</v>
      </c>
      <c r="AF331" s="506">
        <f t="shared" si="173"/>
        <v>522465</v>
      </c>
      <c r="AG331" s="507">
        <f t="shared" si="174"/>
        <v>580.51666666666665</v>
      </c>
      <c r="AH331" s="508">
        <f t="shared" si="175"/>
        <v>505858</v>
      </c>
      <c r="AI331" s="508">
        <f t="shared" si="176"/>
        <v>562.06444444444446</v>
      </c>
      <c r="AJ331" s="516"/>
      <c r="AK331" s="519"/>
      <c r="AL331" s="506">
        <f t="shared" si="183"/>
        <v>0</v>
      </c>
      <c r="AM331" s="509">
        <f t="shared" si="184"/>
        <v>0</v>
      </c>
      <c r="AN331" s="518"/>
      <c r="AO331" s="520"/>
      <c r="AP331" s="516"/>
      <c r="AQ331" s="618"/>
      <c r="AR331" s="516"/>
      <c r="AS331" s="618"/>
      <c r="AT331" s="516"/>
      <c r="AU331" s="618"/>
      <c r="AV331" s="506">
        <f t="shared" si="177"/>
        <v>0</v>
      </c>
      <c r="AW331" s="511">
        <f t="shared" si="178"/>
        <v>0</v>
      </c>
      <c r="AX331" s="508">
        <f t="shared" si="179"/>
        <v>0</v>
      </c>
      <c r="AY331" s="512">
        <f t="shared" si="180"/>
        <v>0</v>
      </c>
      <c r="AZ331" s="513">
        <f t="shared" si="181"/>
        <v>2443.9499999999998</v>
      </c>
      <c r="BA331" s="508">
        <f t="shared" si="182"/>
        <v>2246.097777777778</v>
      </c>
    </row>
    <row r="332" spans="1:53" ht="12.75" customHeight="1">
      <c r="A332" s="584" t="s">
        <v>364</v>
      </c>
      <c r="B332" s="579" t="s">
        <v>775</v>
      </c>
      <c r="C332" s="700"/>
      <c r="D332" s="701">
        <v>199838</v>
      </c>
      <c r="E332" s="590">
        <v>9</v>
      </c>
      <c r="F332" s="514" t="s">
        <v>41</v>
      </c>
      <c r="G332" s="515"/>
      <c r="H332" s="516"/>
      <c r="I332" s="519"/>
      <c r="J332" s="516">
        <v>34653</v>
      </c>
      <c r="K332" s="519">
        <v>32390</v>
      </c>
      <c r="L332" s="516">
        <v>6727</v>
      </c>
      <c r="M332" s="519">
        <v>6548</v>
      </c>
      <c r="N332" s="516">
        <v>36513</v>
      </c>
      <c r="O332" s="519">
        <v>36047</v>
      </c>
      <c r="P332" s="506">
        <f t="shared" si="167"/>
        <v>77893</v>
      </c>
      <c r="Q332" s="507">
        <f t="shared" si="168"/>
        <v>2596.4333333333334</v>
      </c>
      <c r="R332" s="508">
        <f t="shared" si="169"/>
        <v>74985</v>
      </c>
      <c r="S332" s="509">
        <f t="shared" si="170"/>
        <v>2499.5</v>
      </c>
      <c r="T332" s="516">
        <v>7814</v>
      </c>
      <c r="U332" s="618">
        <v>8210</v>
      </c>
      <c r="V332" s="506">
        <f t="shared" si="171"/>
        <v>77893</v>
      </c>
      <c r="W332" s="510">
        <f t="shared" si="172"/>
        <v>74985</v>
      </c>
      <c r="X332" s="517"/>
      <c r="Y332" s="519"/>
      <c r="Z332" s="516">
        <v>257687</v>
      </c>
      <c r="AA332" s="519">
        <v>285456</v>
      </c>
      <c r="AB332" s="516">
        <v>178550</v>
      </c>
      <c r="AC332" s="519">
        <v>164413</v>
      </c>
      <c r="AD332" s="516">
        <v>272894</v>
      </c>
      <c r="AE332" s="519">
        <v>309488</v>
      </c>
      <c r="AF332" s="506">
        <f t="shared" si="173"/>
        <v>709131</v>
      </c>
      <c r="AG332" s="507">
        <f t="shared" si="174"/>
        <v>787.92333333333329</v>
      </c>
      <c r="AH332" s="508">
        <f t="shared" si="175"/>
        <v>759357</v>
      </c>
      <c r="AI332" s="508">
        <f t="shared" si="176"/>
        <v>843.73</v>
      </c>
      <c r="AJ332" s="516"/>
      <c r="AK332" s="519"/>
      <c r="AL332" s="506">
        <f t="shared" si="183"/>
        <v>0</v>
      </c>
      <c r="AM332" s="509">
        <f t="shared" si="184"/>
        <v>0</v>
      </c>
      <c r="AN332" s="518"/>
      <c r="AO332" s="520"/>
      <c r="AP332" s="516"/>
      <c r="AQ332" s="618"/>
      <c r="AR332" s="516"/>
      <c r="AS332" s="618"/>
      <c r="AT332" s="516"/>
      <c r="AU332" s="618"/>
      <c r="AV332" s="506">
        <f t="shared" si="177"/>
        <v>0</v>
      </c>
      <c r="AW332" s="511">
        <f t="shared" si="178"/>
        <v>0</v>
      </c>
      <c r="AX332" s="508">
        <f t="shared" si="179"/>
        <v>0</v>
      </c>
      <c r="AY332" s="512">
        <f t="shared" si="180"/>
        <v>0</v>
      </c>
      <c r="AZ332" s="513">
        <f t="shared" si="181"/>
        <v>3384.3566666666666</v>
      </c>
      <c r="BA332" s="508">
        <f t="shared" si="182"/>
        <v>3343.23</v>
      </c>
    </row>
    <row r="333" spans="1:53" ht="12.75" customHeight="1">
      <c r="A333" s="584" t="s">
        <v>364</v>
      </c>
      <c r="B333" s="579" t="s">
        <v>776</v>
      </c>
      <c r="C333" s="700"/>
      <c r="D333" s="701">
        <v>199892</v>
      </c>
      <c r="E333" s="590">
        <v>9</v>
      </c>
      <c r="F333" s="514" t="s">
        <v>41</v>
      </c>
      <c r="G333" s="515"/>
      <c r="H333" s="516"/>
      <c r="I333" s="519"/>
      <c r="J333" s="516">
        <v>36186</v>
      </c>
      <c r="K333" s="519">
        <v>34964</v>
      </c>
      <c r="L333" s="516">
        <v>7723</v>
      </c>
      <c r="M333" s="519">
        <v>6438</v>
      </c>
      <c r="N333" s="516">
        <v>37824</v>
      </c>
      <c r="O333" s="519">
        <v>36131</v>
      </c>
      <c r="P333" s="506">
        <f t="shared" si="167"/>
        <v>81733</v>
      </c>
      <c r="Q333" s="507">
        <f t="shared" si="168"/>
        <v>2724.4333333333334</v>
      </c>
      <c r="R333" s="508">
        <f t="shared" si="169"/>
        <v>77533</v>
      </c>
      <c r="S333" s="509">
        <f t="shared" si="170"/>
        <v>2584.4333333333334</v>
      </c>
      <c r="T333" s="516">
        <v>6234</v>
      </c>
      <c r="U333" s="618">
        <v>5990</v>
      </c>
      <c r="V333" s="506">
        <f t="shared" si="171"/>
        <v>81733</v>
      </c>
      <c r="W333" s="510">
        <f t="shared" si="172"/>
        <v>77533</v>
      </c>
      <c r="X333" s="517"/>
      <c r="Y333" s="519"/>
      <c r="Z333" s="516">
        <v>234252</v>
      </c>
      <c r="AA333" s="519">
        <v>224501</v>
      </c>
      <c r="AB333" s="516">
        <v>169748</v>
      </c>
      <c r="AC333" s="519">
        <v>122371</v>
      </c>
      <c r="AD333" s="516">
        <v>227560</v>
      </c>
      <c r="AE333" s="519">
        <v>220392</v>
      </c>
      <c r="AF333" s="506">
        <f t="shared" si="173"/>
        <v>631560</v>
      </c>
      <c r="AG333" s="507">
        <f t="shared" si="174"/>
        <v>701.73333333333335</v>
      </c>
      <c r="AH333" s="508">
        <f t="shared" si="175"/>
        <v>567264</v>
      </c>
      <c r="AI333" s="508">
        <f t="shared" si="176"/>
        <v>630.29333333333329</v>
      </c>
      <c r="AJ333" s="516"/>
      <c r="AK333" s="519"/>
      <c r="AL333" s="506">
        <f t="shared" si="183"/>
        <v>0</v>
      </c>
      <c r="AM333" s="509">
        <f t="shared" si="184"/>
        <v>0</v>
      </c>
      <c r="AN333" s="518"/>
      <c r="AO333" s="520"/>
      <c r="AP333" s="516"/>
      <c r="AQ333" s="618"/>
      <c r="AR333" s="516"/>
      <c r="AS333" s="618"/>
      <c r="AT333" s="516"/>
      <c r="AU333" s="618"/>
      <c r="AV333" s="506">
        <f t="shared" si="177"/>
        <v>0</v>
      </c>
      <c r="AW333" s="511">
        <f t="shared" si="178"/>
        <v>0</v>
      </c>
      <c r="AX333" s="508">
        <f t="shared" si="179"/>
        <v>0</v>
      </c>
      <c r="AY333" s="512">
        <f t="shared" si="180"/>
        <v>0</v>
      </c>
      <c r="AZ333" s="513">
        <f t="shared" si="181"/>
        <v>3426.166666666667</v>
      </c>
      <c r="BA333" s="508">
        <f t="shared" si="182"/>
        <v>3214.7266666666665</v>
      </c>
    </row>
    <row r="334" spans="1:53" ht="12.75" customHeight="1">
      <c r="A334" s="584" t="s">
        <v>364</v>
      </c>
      <c r="B334" s="579" t="s">
        <v>777</v>
      </c>
      <c r="C334" s="700"/>
      <c r="D334" s="701">
        <v>199908</v>
      </c>
      <c r="E334" s="590">
        <v>9</v>
      </c>
      <c r="F334" s="514" t="s">
        <v>41</v>
      </c>
      <c r="G334" s="515"/>
      <c r="H334" s="516"/>
      <c r="I334" s="519"/>
      <c r="J334" s="516">
        <v>31151</v>
      </c>
      <c r="K334" s="519">
        <v>26851</v>
      </c>
      <c r="L334" s="516">
        <v>9661</v>
      </c>
      <c r="M334" s="519">
        <v>5764</v>
      </c>
      <c r="N334" s="516">
        <v>33508</v>
      </c>
      <c r="O334" s="519">
        <v>30842</v>
      </c>
      <c r="P334" s="506">
        <f t="shared" si="167"/>
        <v>74320</v>
      </c>
      <c r="Q334" s="507">
        <f t="shared" si="168"/>
        <v>2477.3333333333335</v>
      </c>
      <c r="R334" s="508">
        <f t="shared" si="169"/>
        <v>63457</v>
      </c>
      <c r="S334" s="509">
        <f t="shared" si="170"/>
        <v>2115.2333333333331</v>
      </c>
      <c r="T334" s="516">
        <v>4398</v>
      </c>
      <c r="U334" s="618">
        <v>4056</v>
      </c>
      <c r="V334" s="506">
        <f t="shared" si="171"/>
        <v>74320</v>
      </c>
      <c r="W334" s="510">
        <f t="shared" si="172"/>
        <v>63457</v>
      </c>
      <c r="X334" s="517"/>
      <c r="Y334" s="519"/>
      <c r="Z334" s="516">
        <v>220525</v>
      </c>
      <c r="AA334" s="519">
        <v>212405</v>
      </c>
      <c r="AB334" s="516">
        <v>142139</v>
      </c>
      <c r="AC334" s="519">
        <v>135555</v>
      </c>
      <c r="AD334" s="516">
        <v>221320</v>
      </c>
      <c r="AE334" s="519">
        <v>219557</v>
      </c>
      <c r="AF334" s="506">
        <f t="shared" si="173"/>
        <v>583984</v>
      </c>
      <c r="AG334" s="507">
        <f t="shared" si="174"/>
        <v>648.87111111111108</v>
      </c>
      <c r="AH334" s="508">
        <f t="shared" si="175"/>
        <v>567517</v>
      </c>
      <c r="AI334" s="508">
        <f t="shared" si="176"/>
        <v>630.57444444444445</v>
      </c>
      <c r="AJ334" s="516"/>
      <c r="AK334" s="519"/>
      <c r="AL334" s="506">
        <f t="shared" si="183"/>
        <v>0</v>
      </c>
      <c r="AM334" s="509">
        <f t="shared" si="184"/>
        <v>0</v>
      </c>
      <c r="AN334" s="518"/>
      <c r="AO334" s="520"/>
      <c r="AP334" s="516"/>
      <c r="AQ334" s="618"/>
      <c r="AR334" s="516"/>
      <c r="AS334" s="618"/>
      <c r="AT334" s="516"/>
      <c r="AU334" s="618"/>
      <c r="AV334" s="506">
        <f t="shared" si="177"/>
        <v>0</v>
      </c>
      <c r="AW334" s="511">
        <f t="shared" si="178"/>
        <v>0</v>
      </c>
      <c r="AX334" s="508">
        <f t="shared" si="179"/>
        <v>0</v>
      </c>
      <c r="AY334" s="512">
        <f t="shared" si="180"/>
        <v>0</v>
      </c>
      <c r="AZ334" s="513">
        <f t="shared" si="181"/>
        <v>3126.2044444444446</v>
      </c>
      <c r="BA334" s="508">
        <f t="shared" si="182"/>
        <v>2745.8077777777776</v>
      </c>
    </row>
    <row r="335" spans="1:53" ht="12.75" customHeight="1">
      <c r="A335" s="584" t="s">
        <v>364</v>
      </c>
      <c r="B335" s="579" t="s">
        <v>778</v>
      </c>
      <c r="C335" s="700"/>
      <c r="D335" s="701">
        <v>199926</v>
      </c>
      <c r="E335" s="590">
        <v>9</v>
      </c>
      <c r="F335" s="514" t="s">
        <v>41</v>
      </c>
      <c r="G335" s="515"/>
      <c r="H335" s="516"/>
      <c r="I335" s="519"/>
      <c r="J335" s="516">
        <v>28537</v>
      </c>
      <c r="K335" s="519">
        <v>25522</v>
      </c>
      <c r="L335" s="516">
        <v>5850</v>
      </c>
      <c r="M335" s="519">
        <v>4216</v>
      </c>
      <c r="N335" s="516">
        <v>29977</v>
      </c>
      <c r="O335" s="519">
        <v>27165</v>
      </c>
      <c r="P335" s="506">
        <f t="shared" si="167"/>
        <v>64364</v>
      </c>
      <c r="Q335" s="507">
        <f t="shared" si="168"/>
        <v>2145.4666666666667</v>
      </c>
      <c r="R335" s="508">
        <f t="shared" si="169"/>
        <v>56903</v>
      </c>
      <c r="S335" s="509">
        <f t="shared" si="170"/>
        <v>1896.7666666666667</v>
      </c>
      <c r="T335" s="516">
        <v>2345</v>
      </c>
      <c r="U335" s="618">
        <v>3238</v>
      </c>
      <c r="V335" s="506">
        <f t="shared" si="171"/>
        <v>64364</v>
      </c>
      <c r="W335" s="510">
        <f t="shared" si="172"/>
        <v>56903</v>
      </c>
      <c r="X335" s="517"/>
      <c r="Y335" s="519"/>
      <c r="Z335" s="516">
        <v>194948</v>
      </c>
      <c r="AA335" s="519">
        <v>179547</v>
      </c>
      <c r="AB335" s="516">
        <v>139234</v>
      </c>
      <c r="AC335" s="519">
        <v>144074</v>
      </c>
      <c r="AD335" s="516">
        <v>203380</v>
      </c>
      <c r="AE335" s="519">
        <v>192181</v>
      </c>
      <c r="AF335" s="506">
        <f t="shared" si="173"/>
        <v>537562</v>
      </c>
      <c r="AG335" s="507">
        <f t="shared" si="174"/>
        <v>597.29111111111115</v>
      </c>
      <c r="AH335" s="508">
        <f t="shared" si="175"/>
        <v>515802</v>
      </c>
      <c r="AI335" s="508">
        <f t="shared" si="176"/>
        <v>573.11333333333334</v>
      </c>
      <c r="AJ335" s="516"/>
      <c r="AK335" s="519"/>
      <c r="AL335" s="506">
        <f t="shared" si="183"/>
        <v>0</v>
      </c>
      <c r="AM335" s="509">
        <f t="shared" si="184"/>
        <v>0</v>
      </c>
      <c r="AN335" s="518"/>
      <c r="AO335" s="520"/>
      <c r="AP335" s="516"/>
      <c r="AQ335" s="618"/>
      <c r="AR335" s="516"/>
      <c r="AS335" s="618"/>
      <c r="AT335" s="516"/>
      <c r="AU335" s="618"/>
      <c r="AV335" s="506">
        <f t="shared" si="177"/>
        <v>0</v>
      </c>
      <c r="AW335" s="511">
        <f t="shared" si="178"/>
        <v>0</v>
      </c>
      <c r="AX335" s="508">
        <f t="shared" si="179"/>
        <v>0</v>
      </c>
      <c r="AY335" s="512">
        <f t="shared" si="180"/>
        <v>0</v>
      </c>
      <c r="AZ335" s="513">
        <f t="shared" si="181"/>
        <v>2742.7577777777778</v>
      </c>
      <c r="BA335" s="508">
        <f t="shared" si="182"/>
        <v>2469.88</v>
      </c>
    </row>
    <row r="336" spans="1:53" ht="12.75" customHeight="1">
      <c r="A336" s="584" t="s">
        <v>364</v>
      </c>
      <c r="B336" s="579" t="s">
        <v>779</v>
      </c>
      <c r="C336" s="698"/>
      <c r="D336" s="701">
        <v>197966</v>
      </c>
      <c r="E336" s="590">
        <v>10</v>
      </c>
      <c r="F336" s="514" t="s">
        <v>41</v>
      </c>
      <c r="G336" s="515"/>
      <c r="H336" s="516"/>
      <c r="I336" s="519"/>
      <c r="J336" s="516">
        <v>17114</v>
      </c>
      <c r="K336" s="519">
        <v>17203</v>
      </c>
      <c r="L336" s="516">
        <v>3561</v>
      </c>
      <c r="M336" s="519">
        <v>2066</v>
      </c>
      <c r="N336" s="516">
        <v>18497</v>
      </c>
      <c r="O336" s="519">
        <v>18021</v>
      </c>
      <c r="P336" s="506">
        <f t="shared" si="167"/>
        <v>39172</v>
      </c>
      <c r="Q336" s="507">
        <f t="shared" si="168"/>
        <v>1305.7333333333333</v>
      </c>
      <c r="R336" s="508">
        <f t="shared" si="169"/>
        <v>37290</v>
      </c>
      <c r="S336" s="509">
        <f t="shared" si="170"/>
        <v>1243</v>
      </c>
      <c r="T336" s="516">
        <v>1971</v>
      </c>
      <c r="U336" s="618">
        <v>2787</v>
      </c>
      <c r="V336" s="506">
        <f t="shared" si="171"/>
        <v>39172</v>
      </c>
      <c r="W336" s="510">
        <f t="shared" si="172"/>
        <v>37290</v>
      </c>
      <c r="X336" s="517"/>
      <c r="Y336" s="519"/>
      <c r="Z336" s="516">
        <v>95561</v>
      </c>
      <c r="AA336" s="519">
        <v>104478</v>
      </c>
      <c r="AB336" s="516">
        <v>63789</v>
      </c>
      <c r="AC336" s="519">
        <v>75950</v>
      </c>
      <c r="AD336" s="516">
        <v>92605</v>
      </c>
      <c r="AE336" s="519">
        <v>93261</v>
      </c>
      <c r="AF336" s="506">
        <f t="shared" si="173"/>
        <v>251955</v>
      </c>
      <c r="AG336" s="507">
        <f t="shared" si="174"/>
        <v>279.95</v>
      </c>
      <c r="AH336" s="508">
        <f t="shared" si="175"/>
        <v>273689</v>
      </c>
      <c r="AI336" s="508">
        <f t="shared" si="176"/>
        <v>304.09888888888889</v>
      </c>
      <c r="AJ336" s="516"/>
      <c r="AK336" s="519"/>
      <c r="AL336" s="506">
        <f t="shared" si="183"/>
        <v>0</v>
      </c>
      <c r="AM336" s="509">
        <f t="shared" si="184"/>
        <v>0</v>
      </c>
      <c r="AN336" s="518"/>
      <c r="AO336" s="520"/>
      <c r="AP336" s="516"/>
      <c r="AQ336" s="618"/>
      <c r="AR336" s="516"/>
      <c r="AS336" s="618"/>
      <c r="AT336" s="516"/>
      <c r="AU336" s="618"/>
      <c r="AV336" s="506">
        <f t="shared" si="177"/>
        <v>0</v>
      </c>
      <c r="AW336" s="511">
        <f t="shared" si="178"/>
        <v>0</v>
      </c>
      <c r="AX336" s="508">
        <f t="shared" si="179"/>
        <v>0</v>
      </c>
      <c r="AY336" s="512">
        <f t="shared" si="180"/>
        <v>0</v>
      </c>
      <c r="AZ336" s="513">
        <f t="shared" si="181"/>
        <v>1585.6833333333334</v>
      </c>
      <c r="BA336" s="508">
        <f t="shared" si="182"/>
        <v>1547.098888888889</v>
      </c>
    </row>
    <row r="337" spans="1:53" ht="12.75" customHeight="1">
      <c r="A337" s="584" t="s">
        <v>364</v>
      </c>
      <c r="B337" s="579" t="s">
        <v>780</v>
      </c>
      <c r="C337" s="698"/>
      <c r="D337" s="701">
        <v>198011</v>
      </c>
      <c r="E337" s="590">
        <v>10</v>
      </c>
      <c r="F337" s="514" t="s">
        <v>41</v>
      </c>
      <c r="G337" s="515"/>
      <c r="H337" s="516"/>
      <c r="I337" s="519"/>
      <c r="J337" s="516">
        <v>18711</v>
      </c>
      <c r="K337" s="519">
        <v>16492</v>
      </c>
      <c r="L337" s="516">
        <v>2440</v>
      </c>
      <c r="M337" s="519">
        <v>2899</v>
      </c>
      <c r="N337" s="516">
        <v>20464</v>
      </c>
      <c r="O337" s="519">
        <v>17733</v>
      </c>
      <c r="P337" s="506">
        <f t="shared" si="167"/>
        <v>41615</v>
      </c>
      <c r="Q337" s="507">
        <f t="shared" si="168"/>
        <v>1387.1666666666667</v>
      </c>
      <c r="R337" s="508">
        <f t="shared" si="169"/>
        <v>37124</v>
      </c>
      <c r="S337" s="509">
        <f t="shared" si="170"/>
        <v>1237.4666666666667</v>
      </c>
      <c r="T337" s="516">
        <v>563</v>
      </c>
      <c r="U337" s="618">
        <v>296</v>
      </c>
      <c r="V337" s="506">
        <f t="shared" si="171"/>
        <v>41615</v>
      </c>
      <c r="W337" s="510">
        <f t="shared" si="172"/>
        <v>37124</v>
      </c>
      <c r="X337" s="517"/>
      <c r="Y337" s="519"/>
      <c r="Z337" s="516">
        <v>84866</v>
      </c>
      <c r="AA337" s="519">
        <v>91483</v>
      </c>
      <c r="AB337" s="516">
        <v>34652</v>
      </c>
      <c r="AC337" s="519">
        <v>50617</v>
      </c>
      <c r="AD337" s="516">
        <v>72724</v>
      </c>
      <c r="AE337" s="519">
        <v>81999</v>
      </c>
      <c r="AF337" s="506">
        <f t="shared" si="173"/>
        <v>192242</v>
      </c>
      <c r="AG337" s="507">
        <f t="shared" si="174"/>
        <v>213.60222222222222</v>
      </c>
      <c r="AH337" s="508">
        <f t="shared" si="175"/>
        <v>224099</v>
      </c>
      <c r="AI337" s="508">
        <f t="shared" si="176"/>
        <v>248.9988888888889</v>
      </c>
      <c r="AJ337" s="516"/>
      <c r="AK337" s="519"/>
      <c r="AL337" s="506">
        <f t="shared" si="183"/>
        <v>0</v>
      </c>
      <c r="AM337" s="509">
        <f t="shared" si="184"/>
        <v>0</v>
      </c>
      <c r="AN337" s="518"/>
      <c r="AO337" s="520"/>
      <c r="AP337" s="516"/>
      <c r="AQ337" s="618"/>
      <c r="AR337" s="516"/>
      <c r="AS337" s="618"/>
      <c r="AT337" s="516"/>
      <c r="AU337" s="618"/>
      <c r="AV337" s="506">
        <f t="shared" si="177"/>
        <v>0</v>
      </c>
      <c r="AW337" s="511">
        <f t="shared" si="178"/>
        <v>0</v>
      </c>
      <c r="AX337" s="508">
        <f t="shared" si="179"/>
        <v>0</v>
      </c>
      <c r="AY337" s="512">
        <f t="shared" si="180"/>
        <v>0</v>
      </c>
      <c r="AZ337" s="513">
        <f t="shared" si="181"/>
        <v>1600.768888888889</v>
      </c>
      <c r="BA337" s="508">
        <f t="shared" si="182"/>
        <v>1486.4655555555555</v>
      </c>
    </row>
    <row r="338" spans="1:53" ht="12.75" customHeight="1">
      <c r="A338" s="584" t="s">
        <v>364</v>
      </c>
      <c r="B338" s="699" t="s">
        <v>781</v>
      </c>
      <c r="C338" s="698"/>
      <c r="D338" s="702">
        <v>198039</v>
      </c>
      <c r="E338" s="585">
        <v>10</v>
      </c>
      <c r="F338" s="514" t="s">
        <v>41</v>
      </c>
      <c r="G338" s="515"/>
      <c r="H338" s="516"/>
      <c r="I338" s="519"/>
      <c r="J338" s="516">
        <v>17680</v>
      </c>
      <c r="K338" s="519">
        <v>18070</v>
      </c>
      <c r="L338" s="516">
        <v>4898</v>
      </c>
      <c r="M338" s="519">
        <v>4135</v>
      </c>
      <c r="N338" s="516">
        <v>18824</v>
      </c>
      <c r="O338" s="519">
        <v>17684</v>
      </c>
      <c r="P338" s="506">
        <f t="shared" si="167"/>
        <v>41402</v>
      </c>
      <c r="Q338" s="507">
        <f t="shared" si="168"/>
        <v>1380.0666666666666</v>
      </c>
      <c r="R338" s="508">
        <f t="shared" si="169"/>
        <v>39889</v>
      </c>
      <c r="S338" s="509">
        <f t="shared" si="170"/>
        <v>1329.6333333333334</v>
      </c>
      <c r="T338" s="516">
        <v>3217</v>
      </c>
      <c r="U338" s="618">
        <v>4042</v>
      </c>
      <c r="V338" s="506">
        <f t="shared" si="171"/>
        <v>41402</v>
      </c>
      <c r="W338" s="510">
        <f t="shared" si="172"/>
        <v>39889</v>
      </c>
      <c r="X338" s="517"/>
      <c r="Y338" s="519"/>
      <c r="Z338" s="516">
        <v>160287</v>
      </c>
      <c r="AA338" s="519">
        <v>193732</v>
      </c>
      <c r="AB338" s="516">
        <v>100833</v>
      </c>
      <c r="AC338" s="519">
        <v>99423</v>
      </c>
      <c r="AD338" s="516">
        <v>211175</v>
      </c>
      <c r="AE338" s="519">
        <v>190331</v>
      </c>
      <c r="AF338" s="506">
        <f t="shared" si="173"/>
        <v>472295</v>
      </c>
      <c r="AG338" s="507">
        <f t="shared" si="174"/>
        <v>524.77222222222224</v>
      </c>
      <c r="AH338" s="508">
        <f t="shared" si="175"/>
        <v>483486</v>
      </c>
      <c r="AI338" s="508">
        <f t="shared" si="176"/>
        <v>537.20666666666671</v>
      </c>
      <c r="AJ338" s="516"/>
      <c r="AK338" s="519"/>
      <c r="AL338" s="506">
        <f t="shared" si="183"/>
        <v>0</v>
      </c>
      <c r="AM338" s="509">
        <f t="shared" si="184"/>
        <v>0</v>
      </c>
      <c r="AN338" s="518"/>
      <c r="AO338" s="520"/>
      <c r="AP338" s="516"/>
      <c r="AQ338" s="618"/>
      <c r="AR338" s="516"/>
      <c r="AS338" s="618"/>
      <c r="AT338" s="516"/>
      <c r="AU338" s="618"/>
      <c r="AV338" s="506">
        <f t="shared" si="177"/>
        <v>0</v>
      </c>
      <c r="AW338" s="511">
        <f t="shared" si="178"/>
        <v>0</v>
      </c>
      <c r="AX338" s="508">
        <f t="shared" si="179"/>
        <v>0</v>
      </c>
      <c r="AY338" s="512">
        <f t="shared" si="180"/>
        <v>0</v>
      </c>
      <c r="AZ338" s="513">
        <f t="shared" si="181"/>
        <v>1904.838888888889</v>
      </c>
      <c r="BA338" s="508">
        <f t="shared" si="182"/>
        <v>1866.8400000000001</v>
      </c>
    </row>
    <row r="339" spans="1:53" ht="12.75" customHeight="1">
      <c r="A339" s="584" t="s">
        <v>364</v>
      </c>
      <c r="B339" s="579" t="s">
        <v>782</v>
      </c>
      <c r="C339" s="698"/>
      <c r="D339" s="701">
        <v>198084</v>
      </c>
      <c r="E339" s="590">
        <v>10</v>
      </c>
      <c r="F339" s="514" t="s">
        <v>41</v>
      </c>
      <c r="G339" s="515"/>
      <c r="H339" s="516"/>
      <c r="I339" s="519"/>
      <c r="J339" s="516">
        <v>13268</v>
      </c>
      <c r="K339" s="519">
        <v>13284</v>
      </c>
      <c r="L339" s="516">
        <v>2631</v>
      </c>
      <c r="M339" s="519">
        <v>2187</v>
      </c>
      <c r="N339" s="516">
        <v>13853</v>
      </c>
      <c r="O339" s="519">
        <v>14782</v>
      </c>
      <c r="P339" s="506">
        <f t="shared" si="167"/>
        <v>29752</v>
      </c>
      <c r="Q339" s="507">
        <f t="shared" si="168"/>
        <v>991.73333333333335</v>
      </c>
      <c r="R339" s="508">
        <f t="shared" si="169"/>
        <v>30253</v>
      </c>
      <c r="S339" s="509">
        <f t="shared" si="170"/>
        <v>1008.4333333333333</v>
      </c>
      <c r="T339" s="516">
        <v>3649</v>
      </c>
      <c r="U339" s="618">
        <v>3939</v>
      </c>
      <c r="V339" s="506">
        <f t="shared" si="171"/>
        <v>29752</v>
      </c>
      <c r="W339" s="510">
        <f t="shared" si="172"/>
        <v>30253</v>
      </c>
      <c r="X339" s="517"/>
      <c r="Y339" s="519"/>
      <c r="Z339" s="516">
        <v>146758</v>
      </c>
      <c r="AA339" s="519">
        <v>135862</v>
      </c>
      <c r="AB339" s="516">
        <v>96361</v>
      </c>
      <c r="AC339" s="519">
        <v>90871</v>
      </c>
      <c r="AD339" s="516">
        <v>142623</v>
      </c>
      <c r="AE339" s="519">
        <v>153167</v>
      </c>
      <c r="AF339" s="506">
        <f t="shared" si="173"/>
        <v>385742</v>
      </c>
      <c r="AG339" s="507">
        <f t="shared" si="174"/>
        <v>428.60222222222222</v>
      </c>
      <c r="AH339" s="508">
        <f t="shared" si="175"/>
        <v>379900</v>
      </c>
      <c r="AI339" s="508">
        <f t="shared" si="176"/>
        <v>422.11111111111109</v>
      </c>
      <c r="AJ339" s="516"/>
      <c r="AK339" s="519"/>
      <c r="AL339" s="506">
        <f t="shared" si="183"/>
        <v>0</v>
      </c>
      <c r="AM339" s="509">
        <f t="shared" si="184"/>
        <v>0</v>
      </c>
      <c r="AN339" s="518"/>
      <c r="AO339" s="520"/>
      <c r="AP339" s="516"/>
      <c r="AQ339" s="618"/>
      <c r="AR339" s="516"/>
      <c r="AS339" s="618"/>
      <c r="AT339" s="516"/>
      <c r="AU339" s="618"/>
      <c r="AV339" s="506">
        <f t="shared" si="177"/>
        <v>0</v>
      </c>
      <c r="AW339" s="511">
        <f t="shared" si="178"/>
        <v>0</v>
      </c>
      <c r="AX339" s="508">
        <f t="shared" si="179"/>
        <v>0</v>
      </c>
      <c r="AY339" s="512">
        <f t="shared" si="180"/>
        <v>0</v>
      </c>
      <c r="AZ339" s="513">
        <f t="shared" si="181"/>
        <v>1420.3355555555556</v>
      </c>
      <c r="BA339" s="508">
        <f t="shared" si="182"/>
        <v>1430.5444444444443</v>
      </c>
    </row>
    <row r="340" spans="1:53" ht="12.75" customHeight="1">
      <c r="A340" s="584" t="s">
        <v>364</v>
      </c>
      <c r="B340" s="579" t="s">
        <v>783</v>
      </c>
      <c r="C340" s="698"/>
      <c r="D340" s="701">
        <v>198206</v>
      </c>
      <c r="E340" s="590">
        <v>10</v>
      </c>
      <c r="F340" s="514" t="s">
        <v>41</v>
      </c>
      <c r="G340" s="515"/>
      <c r="H340" s="516"/>
      <c r="I340" s="519"/>
      <c r="J340" s="516">
        <v>17369</v>
      </c>
      <c r="K340" s="519">
        <v>16372</v>
      </c>
      <c r="L340" s="516">
        <v>4233</v>
      </c>
      <c r="M340" s="519">
        <v>3268</v>
      </c>
      <c r="N340" s="516">
        <v>17368</v>
      </c>
      <c r="O340" s="519">
        <v>16783</v>
      </c>
      <c r="P340" s="506">
        <f t="shared" si="167"/>
        <v>38970</v>
      </c>
      <c r="Q340" s="507">
        <f t="shared" si="168"/>
        <v>1299</v>
      </c>
      <c r="R340" s="508">
        <f t="shared" si="169"/>
        <v>36423</v>
      </c>
      <c r="S340" s="509">
        <f t="shared" si="170"/>
        <v>1214.0999999999999</v>
      </c>
      <c r="T340" s="516">
        <v>655</v>
      </c>
      <c r="U340" s="618">
        <v>690</v>
      </c>
      <c r="V340" s="506">
        <f t="shared" si="171"/>
        <v>38970</v>
      </c>
      <c r="W340" s="510">
        <f t="shared" si="172"/>
        <v>36423</v>
      </c>
      <c r="X340" s="517"/>
      <c r="Y340" s="519"/>
      <c r="Z340" s="516">
        <v>125029</v>
      </c>
      <c r="AA340" s="519">
        <v>131202</v>
      </c>
      <c r="AB340" s="516">
        <v>74729</v>
      </c>
      <c r="AC340" s="519">
        <v>83691</v>
      </c>
      <c r="AD340" s="516">
        <v>139039</v>
      </c>
      <c r="AE340" s="519">
        <v>124710</v>
      </c>
      <c r="AF340" s="506">
        <f t="shared" si="173"/>
        <v>338797</v>
      </c>
      <c r="AG340" s="507">
        <f t="shared" si="174"/>
        <v>376.44111111111113</v>
      </c>
      <c r="AH340" s="508">
        <f t="shared" si="175"/>
        <v>339603</v>
      </c>
      <c r="AI340" s="508">
        <f t="shared" si="176"/>
        <v>377.33666666666664</v>
      </c>
      <c r="AJ340" s="516"/>
      <c r="AK340" s="519"/>
      <c r="AL340" s="506">
        <f t="shared" si="183"/>
        <v>0</v>
      </c>
      <c r="AM340" s="509">
        <f t="shared" si="184"/>
        <v>0</v>
      </c>
      <c r="AN340" s="518"/>
      <c r="AO340" s="520"/>
      <c r="AP340" s="516"/>
      <c r="AQ340" s="618"/>
      <c r="AR340" s="516"/>
      <c r="AS340" s="618"/>
      <c r="AT340" s="516"/>
      <c r="AU340" s="618"/>
      <c r="AV340" s="506">
        <f t="shared" si="177"/>
        <v>0</v>
      </c>
      <c r="AW340" s="511">
        <f t="shared" si="178"/>
        <v>0</v>
      </c>
      <c r="AX340" s="508">
        <f t="shared" si="179"/>
        <v>0</v>
      </c>
      <c r="AY340" s="512">
        <f t="shared" si="180"/>
        <v>0</v>
      </c>
      <c r="AZ340" s="513">
        <f t="shared" si="181"/>
        <v>1675.4411111111112</v>
      </c>
      <c r="BA340" s="508">
        <f t="shared" si="182"/>
        <v>1591.4366666666665</v>
      </c>
    </row>
    <row r="341" spans="1:53" ht="12.75" customHeight="1">
      <c r="A341" s="584" t="s">
        <v>364</v>
      </c>
      <c r="B341" s="699" t="s">
        <v>784</v>
      </c>
      <c r="C341" s="698" t="s">
        <v>321</v>
      </c>
      <c r="D341" s="702">
        <v>197814</v>
      </c>
      <c r="E341" s="585">
        <v>10</v>
      </c>
      <c r="F341" s="514" t="s">
        <v>41</v>
      </c>
      <c r="G341" s="515"/>
      <c r="H341" s="516"/>
      <c r="I341" s="519"/>
      <c r="J341" s="516">
        <v>25102</v>
      </c>
      <c r="K341" s="519">
        <v>23574</v>
      </c>
      <c r="L341" s="516">
        <v>3884</v>
      </c>
      <c r="M341" s="519">
        <v>3858</v>
      </c>
      <c r="N341" s="516">
        <v>26393</v>
      </c>
      <c r="O341" s="519">
        <v>26541</v>
      </c>
      <c r="P341" s="506">
        <f t="shared" si="167"/>
        <v>55379</v>
      </c>
      <c r="Q341" s="507">
        <f t="shared" si="168"/>
        <v>1845.9666666666667</v>
      </c>
      <c r="R341" s="508">
        <f t="shared" si="169"/>
        <v>53973</v>
      </c>
      <c r="S341" s="509">
        <f t="shared" si="170"/>
        <v>1799.1</v>
      </c>
      <c r="T341" s="516">
        <v>4249</v>
      </c>
      <c r="U341" s="618">
        <v>4820</v>
      </c>
      <c r="V341" s="506">
        <f t="shared" si="171"/>
        <v>55379</v>
      </c>
      <c r="W341" s="510">
        <f t="shared" si="172"/>
        <v>53973</v>
      </c>
      <c r="X341" s="517"/>
      <c r="Y341" s="519"/>
      <c r="Z341" s="516">
        <v>152924</v>
      </c>
      <c r="AA341" s="519">
        <v>141875</v>
      </c>
      <c r="AB341" s="516">
        <v>66963</v>
      </c>
      <c r="AC341" s="519">
        <v>81230</v>
      </c>
      <c r="AD341" s="516">
        <v>169973</v>
      </c>
      <c r="AE341" s="519">
        <v>125580</v>
      </c>
      <c r="AF341" s="506">
        <f t="shared" si="173"/>
        <v>389860</v>
      </c>
      <c r="AG341" s="507">
        <f t="shared" si="174"/>
        <v>433.17777777777781</v>
      </c>
      <c r="AH341" s="508">
        <f t="shared" si="175"/>
        <v>348685</v>
      </c>
      <c r="AI341" s="508">
        <f t="shared" si="176"/>
        <v>387.42777777777781</v>
      </c>
      <c r="AJ341" s="516"/>
      <c r="AK341" s="519"/>
      <c r="AL341" s="506">
        <f t="shared" si="183"/>
        <v>0</v>
      </c>
      <c r="AM341" s="509">
        <f t="shared" si="184"/>
        <v>0</v>
      </c>
      <c r="AN341" s="518"/>
      <c r="AO341" s="520"/>
      <c r="AP341" s="516"/>
      <c r="AQ341" s="618"/>
      <c r="AR341" s="516"/>
      <c r="AS341" s="618"/>
      <c r="AT341" s="516"/>
      <c r="AU341" s="618"/>
      <c r="AV341" s="506">
        <f t="shared" si="177"/>
        <v>0</v>
      </c>
      <c r="AW341" s="511">
        <f t="shared" si="178"/>
        <v>0</v>
      </c>
      <c r="AX341" s="508">
        <f t="shared" si="179"/>
        <v>0</v>
      </c>
      <c r="AY341" s="512">
        <f t="shared" si="180"/>
        <v>0</v>
      </c>
      <c r="AZ341" s="513">
        <f t="shared" si="181"/>
        <v>2279.1444444444446</v>
      </c>
      <c r="BA341" s="508">
        <f t="shared" si="182"/>
        <v>2186.5277777777778</v>
      </c>
    </row>
    <row r="342" spans="1:53" ht="12.75" customHeight="1">
      <c r="A342" s="584" t="s">
        <v>364</v>
      </c>
      <c r="B342" s="579" t="s">
        <v>785</v>
      </c>
      <c r="C342" s="700"/>
      <c r="D342" s="701">
        <v>198640</v>
      </c>
      <c r="E342" s="590">
        <v>10</v>
      </c>
      <c r="F342" s="514" t="s">
        <v>41</v>
      </c>
      <c r="G342" s="515"/>
      <c r="H342" s="516"/>
      <c r="I342" s="519"/>
      <c r="J342" s="516">
        <v>17508</v>
      </c>
      <c r="K342" s="519">
        <v>16344</v>
      </c>
      <c r="L342" s="516">
        <v>2773</v>
      </c>
      <c r="M342" s="519">
        <v>1586</v>
      </c>
      <c r="N342" s="516">
        <v>18665</v>
      </c>
      <c r="O342" s="519">
        <v>17138</v>
      </c>
      <c r="P342" s="506">
        <f t="shared" si="167"/>
        <v>38946</v>
      </c>
      <c r="Q342" s="507">
        <f t="shared" si="168"/>
        <v>1298.2</v>
      </c>
      <c r="R342" s="508">
        <f t="shared" si="169"/>
        <v>35068</v>
      </c>
      <c r="S342" s="509">
        <f t="shared" si="170"/>
        <v>1168.9333333333334</v>
      </c>
      <c r="T342" s="516">
        <v>883</v>
      </c>
      <c r="U342" s="618">
        <v>1028</v>
      </c>
      <c r="V342" s="506">
        <f t="shared" si="171"/>
        <v>38946</v>
      </c>
      <c r="W342" s="510">
        <f t="shared" si="172"/>
        <v>35068</v>
      </c>
      <c r="X342" s="517"/>
      <c r="Y342" s="519"/>
      <c r="Z342" s="516">
        <v>107803</v>
      </c>
      <c r="AA342" s="519">
        <v>134468</v>
      </c>
      <c r="AB342" s="516">
        <v>40421</v>
      </c>
      <c r="AC342" s="519">
        <v>72182</v>
      </c>
      <c r="AD342" s="516">
        <v>101370</v>
      </c>
      <c r="AE342" s="519">
        <v>122318</v>
      </c>
      <c r="AF342" s="506">
        <f t="shared" si="173"/>
        <v>249594</v>
      </c>
      <c r="AG342" s="507">
        <f t="shared" si="174"/>
        <v>277.32666666666665</v>
      </c>
      <c r="AH342" s="508">
        <f t="shared" si="175"/>
        <v>328968</v>
      </c>
      <c r="AI342" s="508">
        <f t="shared" si="176"/>
        <v>365.52</v>
      </c>
      <c r="AJ342" s="516"/>
      <c r="AK342" s="519"/>
      <c r="AL342" s="506">
        <f t="shared" si="183"/>
        <v>0</v>
      </c>
      <c r="AM342" s="509">
        <f t="shared" si="184"/>
        <v>0</v>
      </c>
      <c r="AN342" s="518"/>
      <c r="AO342" s="520"/>
      <c r="AP342" s="516"/>
      <c r="AQ342" s="618"/>
      <c r="AR342" s="516"/>
      <c r="AS342" s="618"/>
      <c r="AT342" s="516"/>
      <c r="AU342" s="618"/>
      <c r="AV342" s="506">
        <f t="shared" si="177"/>
        <v>0</v>
      </c>
      <c r="AW342" s="511">
        <f t="shared" si="178"/>
        <v>0</v>
      </c>
      <c r="AX342" s="508">
        <f t="shared" si="179"/>
        <v>0</v>
      </c>
      <c r="AY342" s="512">
        <f t="shared" si="180"/>
        <v>0</v>
      </c>
      <c r="AZ342" s="513">
        <f t="shared" si="181"/>
        <v>1575.5266666666666</v>
      </c>
      <c r="BA342" s="508">
        <f t="shared" si="182"/>
        <v>1534.4533333333334</v>
      </c>
    </row>
    <row r="343" spans="1:53">
      <c r="A343" s="584" t="s">
        <v>364</v>
      </c>
      <c r="B343" s="579" t="s">
        <v>786</v>
      </c>
      <c r="C343" s="700"/>
      <c r="D343" s="701">
        <v>198729</v>
      </c>
      <c r="E343" s="590">
        <v>10</v>
      </c>
      <c r="F343" s="514" t="s">
        <v>41</v>
      </c>
      <c r="G343" s="515"/>
      <c r="H343" s="516"/>
      <c r="I343" s="519"/>
      <c r="J343" s="516">
        <v>14166</v>
      </c>
      <c r="K343" s="519">
        <v>13964</v>
      </c>
      <c r="L343" s="516">
        <v>1250</v>
      </c>
      <c r="M343" s="519">
        <v>1648</v>
      </c>
      <c r="N343" s="516">
        <v>13773</v>
      </c>
      <c r="O343" s="519">
        <v>13575</v>
      </c>
      <c r="P343" s="506">
        <f t="shared" si="167"/>
        <v>29189</v>
      </c>
      <c r="Q343" s="507">
        <f t="shared" si="168"/>
        <v>972.9666666666667</v>
      </c>
      <c r="R343" s="508">
        <f t="shared" si="169"/>
        <v>29187</v>
      </c>
      <c r="S343" s="509">
        <f t="shared" si="170"/>
        <v>972.9</v>
      </c>
      <c r="T343" s="516">
        <v>3546</v>
      </c>
      <c r="U343" s="618">
        <v>3270</v>
      </c>
      <c r="V343" s="506">
        <f t="shared" si="171"/>
        <v>29189</v>
      </c>
      <c r="W343" s="510">
        <f t="shared" si="172"/>
        <v>29187</v>
      </c>
      <c r="X343" s="517"/>
      <c r="Y343" s="519"/>
      <c r="Z343" s="516">
        <v>117773</v>
      </c>
      <c r="AA343" s="519">
        <v>109336</v>
      </c>
      <c r="AB343" s="516">
        <v>62686</v>
      </c>
      <c r="AC343" s="519">
        <v>102367</v>
      </c>
      <c r="AD343" s="516">
        <v>127666</v>
      </c>
      <c r="AE343" s="519">
        <v>97915</v>
      </c>
      <c r="AF343" s="506">
        <f t="shared" si="173"/>
        <v>308125</v>
      </c>
      <c r="AG343" s="507">
        <f t="shared" si="174"/>
        <v>342.36111111111109</v>
      </c>
      <c r="AH343" s="508">
        <f t="shared" si="175"/>
        <v>309618</v>
      </c>
      <c r="AI343" s="508">
        <f t="shared" si="176"/>
        <v>344.02</v>
      </c>
      <c r="AJ343" s="516"/>
      <c r="AK343" s="519"/>
      <c r="AL343" s="506">
        <f t="shared" si="183"/>
        <v>0</v>
      </c>
      <c r="AM343" s="509">
        <f t="shared" si="184"/>
        <v>0</v>
      </c>
      <c r="AN343" s="518"/>
      <c r="AO343" s="520"/>
      <c r="AP343" s="516"/>
      <c r="AQ343" s="618"/>
      <c r="AR343" s="516"/>
      <c r="AS343" s="618"/>
      <c r="AT343" s="516"/>
      <c r="AU343" s="618"/>
      <c r="AV343" s="506">
        <f t="shared" si="177"/>
        <v>0</v>
      </c>
      <c r="AW343" s="511">
        <f t="shared" si="178"/>
        <v>0</v>
      </c>
      <c r="AX343" s="508">
        <f t="shared" si="179"/>
        <v>0</v>
      </c>
      <c r="AY343" s="512">
        <f t="shared" si="180"/>
        <v>0</v>
      </c>
      <c r="AZ343" s="513">
        <f t="shared" si="181"/>
        <v>1315.3277777777778</v>
      </c>
      <c r="BA343" s="508">
        <f t="shared" si="182"/>
        <v>1316.92</v>
      </c>
    </row>
    <row r="344" spans="1:53">
      <c r="A344" s="584" t="s">
        <v>364</v>
      </c>
      <c r="B344" s="579" t="s">
        <v>787</v>
      </c>
      <c r="C344" s="700"/>
      <c r="D344" s="701">
        <v>198905</v>
      </c>
      <c r="E344" s="590">
        <v>10</v>
      </c>
      <c r="F344" s="514" t="s">
        <v>41</v>
      </c>
      <c r="G344" s="515"/>
      <c r="H344" s="516"/>
      <c r="I344" s="519"/>
      <c r="J344" s="516">
        <v>8261</v>
      </c>
      <c r="K344" s="519">
        <v>7602</v>
      </c>
      <c r="L344" s="516">
        <v>502</v>
      </c>
      <c r="M344" s="519">
        <v>395</v>
      </c>
      <c r="N344" s="516">
        <v>8385</v>
      </c>
      <c r="O344" s="519">
        <v>8054</v>
      </c>
      <c r="P344" s="506">
        <f t="shared" si="167"/>
        <v>17148</v>
      </c>
      <c r="Q344" s="507">
        <f t="shared" si="168"/>
        <v>571.6</v>
      </c>
      <c r="R344" s="508">
        <f t="shared" si="169"/>
        <v>16051</v>
      </c>
      <c r="S344" s="509">
        <f t="shared" si="170"/>
        <v>535.0333333333333</v>
      </c>
      <c r="T344" s="516">
        <v>450</v>
      </c>
      <c r="U344" s="618">
        <v>1102</v>
      </c>
      <c r="V344" s="506">
        <f t="shared" si="171"/>
        <v>17148</v>
      </c>
      <c r="W344" s="510">
        <f t="shared" si="172"/>
        <v>16051</v>
      </c>
      <c r="X344" s="517"/>
      <c r="Y344" s="519"/>
      <c r="Z344" s="516">
        <v>84561</v>
      </c>
      <c r="AA344" s="519">
        <v>91402</v>
      </c>
      <c r="AB344" s="516">
        <v>47365</v>
      </c>
      <c r="AC344" s="519">
        <v>55043</v>
      </c>
      <c r="AD344" s="516">
        <v>103248</v>
      </c>
      <c r="AE344" s="519">
        <v>87818</v>
      </c>
      <c r="AF344" s="506">
        <f t="shared" si="173"/>
        <v>235174</v>
      </c>
      <c r="AG344" s="507">
        <f t="shared" si="174"/>
        <v>261.30444444444447</v>
      </c>
      <c r="AH344" s="508">
        <f t="shared" si="175"/>
        <v>234263</v>
      </c>
      <c r="AI344" s="508">
        <f t="shared" si="176"/>
        <v>260.29222222222222</v>
      </c>
      <c r="AJ344" s="516"/>
      <c r="AK344" s="519"/>
      <c r="AL344" s="506">
        <f t="shared" si="183"/>
        <v>0</v>
      </c>
      <c r="AM344" s="509">
        <f t="shared" si="184"/>
        <v>0</v>
      </c>
      <c r="AN344" s="518"/>
      <c r="AO344" s="520"/>
      <c r="AP344" s="516"/>
      <c r="AQ344" s="618"/>
      <c r="AR344" s="516"/>
      <c r="AS344" s="618"/>
      <c r="AT344" s="516"/>
      <c r="AU344" s="618"/>
      <c r="AV344" s="506">
        <f t="shared" si="177"/>
        <v>0</v>
      </c>
      <c r="AW344" s="511">
        <f t="shared" si="178"/>
        <v>0</v>
      </c>
      <c r="AX344" s="508">
        <f t="shared" si="179"/>
        <v>0</v>
      </c>
      <c r="AY344" s="512">
        <f t="shared" si="180"/>
        <v>0</v>
      </c>
      <c r="AZ344" s="513">
        <f t="shared" si="181"/>
        <v>832.90444444444449</v>
      </c>
      <c r="BA344" s="508">
        <f t="shared" si="182"/>
        <v>795.32555555555552</v>
      </c>
    </row>
    <row r="345" spans="1:53">
      <c r="A345" s="584" t="s">
        <v>364</v>
      </c>
      <c r="B345" s="699" t="s">
        <v>788</v>
      </c>
      <c r="C345" s="698"/>
      <c r="D345" s="702">
        <v>198914</v>
      </c>
      <c r="E345" s="585">
        <v>10</v>
      </c>
      <c r="F345" s="514" t="s">
        <v>41</v>
      </c>
      <c r="G345" s="515"/>
      <c r="H345" s="516"/>
      <c r="I345" s="519"/>
      <c r="J345" s="516">
        <v>8630</v>
      </c>
      <c r="K345" s="519">
        <v>10171</v>
      </c>
      <c r="L345" s="516">
        <v>1021</v>
      </c>
      <c r="M345" s="519">
        <v>774</v>
      </c>
      <c r="N345" s="516">
        <v>9845</v>
      </c>
      <c r="O345" s="519">
        <v>8736</v>
      </c>
      <c r="P345" s="506">
        <f t="shared" si="167"/>
        <v>19496</v>
      </c>
      <c r="Q345" s="507">
        <f t="shared" si="168"/>
        <v>649.86666666666667</v>
      </c>
      <c r="R345" s="508">
        <f t="shared" si="169"/>
        <v>19681</v>
      </c>
      <c r="S345" s="509">
        <f t="shared" si="170"/>
        <v>656.0333333333333</v>
      </c>
      <c r="T345" s="516">
        <v>5745</v>
      </c>
      <c r="U345" s="618">
        <v>3140</v>
      </c>
      <c r="V345" s="506">
        <f t="shared" si="171"/>
        <v>19496</v>
      </c>
      <c r="W345" s="510">
        <f t="shared" si="172"/>
        <v>19681</v>
      </c>
      <c r="X345" s="517"/>
      <c r="Y345" s="519"/>
      <c r="Z345" s="516">
        <v>135721</v>
      </c>
      <c r="AA345" s="519">
        <v>207942</v>
      </c>
      <c r="AB345" s="516">
        <v>123968</v>
      </c>
      <c r="AC345" s="519">
        <v>150919</v>
      </c>
      <c r="AD345" s="516">
        <v>128741</v>
      </c>
      <c r="AE345" s="519">
        <v>192831</v>
      </c>
      <c r="AF345" s="506">
        <f t="shared" si="173"/>
        <v>388430</v>
      </c>
      <c r="AG345" s="507">
        <f t="shared" si="174"/>
        <v>431.5888888888889</v>
      </c>
      <c r="AH345" s="508">
        <f t="shared" si="175"/>
        <v>551692</v>
      </c>
      <c r="AI345" s="508">
        <f t="shared" si="176"/>
        <v>612.99111111111108</v>
      </c>
      <c r="AJ345" s="516"/>
      <c r="AK345" s="519"/>
      <c r="AL345" s="506">
        <f t="shared" si="183"/>
        <v>0</v>
      </c>
      <c r="AM345" s="509">
        <f t="shared" si="184"/>
        <v>0</v>
      </c>
      <c r="AN345" s="518"/>
      <c r="AO345" s="520"/>
      <c r="AP345" s="516"/>
      <c r="AQ345" s="618"/>
      <c r="AR345" s="516"/>
      <c r="AS345" s="618"/>
      <c r="AT345" s="516"/>
      <c r="AU345" s="618"/>
      <c r="AV345" s="506">
        <f t="shared" si="177"/>
        <v>0</v>
      </c>
      <c r="AW345" s="511">
        <f t="shared" si="178"/>
        <v>0</v>
      </c>
      <c r="AX345" s="508">
        <f t="shared" si="179"/>
        <v>0</v>
      </c>
      <c r="AY345" s="512">
        <f t="shared" si="180"/>
        <v>0</v>
      </c>
      <c r="AZ345" s="513">
        <f t="shared" si="181"/>
        <v>1081.4555555555555</v>
      </c>
      <c r="BA345" s="508">
        <f t="shared" si="182"/>
        <v>1269.0244444444443</v>
      </c>
    </row>
    <row r="346" spans="1:53">
      <c r="A346" s="584" t="s">
        <v>364</v>
      </c>
      <c r="B346" s="579" t="s">
        <v>789</v>
      </c>
      <c r="C346" s="700"/>
      <c r="D346" s="701">
        <v>198923</v>
      </c>
      <c r="E346" s="590">
        <v>10</v>
      </c>
      <c r="F346" s="514" t="s">
        <v>41</v>
      </c>
      <c r="G346" s="515"/>
      <c r="H346" s="516"/>
      <c r="I346" s="519"/>
      <c r="J346" s="516">
        <v>12163</v>
      </c>
      <c r="K346" s="519">
        <v>11194</v>
      </c>
      <c r="L346" s="516">
        <v>5014</v>
      </c>
      <c r="M346" s="519">
        <v>3416</v>
      </c>
      <c r="N346" s="516">
        <v>13808</v>
      </c>
      <c r="O346" s="519">
        <v>11437</v>
      </c>
      <c r="P346" s="506">
        <f t="shared" si="167"/>
        <v>30985</v>
      </c>
      <c r="Q346" s="507">
        <f t="shared" si="168"/>
        <v>1032.8333333333333</v>
      </c>
      <c r="R346" s="508">
        <f t="shared" si="169"/>
        <v>26047</v>
      </c>
      <c r="S346" s="509">
        <f t="shared" si="170"/>
        <v>868.23333333333335</v>
      </c>
      <c r="T346" s="516">
        <v>2992</v>
      </c>
      <c r="U346" s="618">
        <v>2662</v>
      </c>
      <c r="V346" s="506">
        <f t="shared" si="171"/>
        <v>30985</v>
      </c>
      <c r="W346" s="510">
        <f t="shared" si="172"/>
        <v>26047</v>
      </c>
      <c r="X346" s="517"/>
      <c r="Y346" s="519"/>
      <c r="Z346" s="516">
        <v>112853</v>
      </c>
      <c r="AA346" s="519">
        <v>118266</v>
      </c>
      <c r="AB346" s="516">
        <v>54493</v>
      </c>
      <c r="AC346" s="519">
        <v>72034</v>
      </c>
      <c r="AD346" s="516">
        <v>85912</v>
      </c>
      <c r="AE346" s="519">
        <v>102041</v>
      </c>
      <c r="AF346" s="506">
        <f t="shared" si="173"/>
        <v>253258</v>
      </c>
      <c r="AG346" s="507">
        <f t="shared" si="174"/>
        <v>281.39777777777778</v>
      </c>
      <c r="AH346" s="508">
        <f t="shared" si="175"/>
        <v>292341</v>
      </c>
      <c r="AI346" s="508">
        <f t="shared" si="176"/>
        <v>324.82333333333332</v>
      </c>
      <c r="AJ346" s="516"/>
      <c r="AK346" s="519"/>
      <c r="AL346" s="506">
        <f t="shared" si="183"/>
        <v>0</v>
      </c>
      <c r="AM346" s="509">
        <f t="shared" si="184"/>
        <v>0</v>
      </c>
      <c r="AN346" s="518"/>
      <c r="AO346" s="520"/>
      <c r="AP346" s="516"/>
      <c r="AQ346" s="618"/>
      <c r="AR346" s="516"/>
      <c r="AS346" s="618"/>
      <c r="AT346" s="516"/>
      <c r="AU346" s="618"/>
      <c r="AV346" s="506">
        <f t="shared" si="177"/>
        <v>0</v>
      </c>
      <c r="AW346" s="511">
        <f t="shared" si="178"/>
        <v>0</v>
      </c>
      <c r="AX346" s="508">
        <f t="shared" si="179"/>
        <v>0</v>
      </c>
      <c r="AY346" s="512">
        <f t="shared" si="180"/>
        <v>0</v>
      </c>
      <c r="AZ346" s="513">
        <f t="shared" si="181"/>
        <v>1314.231111111111</v>
      </c>
      <c r="BA346" s="508">
        <f t="shared" si="182"/>
        <v>1193.0566666666666</v>
      </c>
    </row>
    <row r="347" spans="1:53">
      <c r="A347" s="584" t="s">
        <v>364</v>
      </c>
      <c r="B347" s="579" t="s">
        <v>790</v>
      </c>
      <c r="C347" s="700"/>
      <c r="D347" s="701">
        <v>199023</v>
      </c>
      <c r="E347" s="590">
        <v>10</v>
      </c>
      <c r="F347" s="514" t="s">
        <v>41</v>
      </c>
      <c r="G347" s="515"/>
      <c r="H347" s="516"/>
      <c r="I347" s="519"/>
      <c r="J347" s="516">
        <v>7548</v>
      </c>
      <c r="K347" s="519">
        <v>7548</v>
      </c>
      <c r="L347" s="516">
        <v>2480</v>
      </c>
      <c r="M347" s="519">
        <v>1731</v>
      </c>
      <c r="N347" s="516">
        <v>7898</v>
      </c>
      <c r="O347" s="519">
        <v>7589</v>
      </c>
      <c r="P347" s="506">
        <f t="shared" si="167"/>
        <v>17926</v>
      </c>
      <c r="Q347" s="507">
        <f t="shared" si="168"/>
        <v>597.5333333333333</v>
      </c>
      <c r="R347" s="508">
        <f t="shared" si="169"/>
        <v>16868</v>
      </c>
      <c r="S347" s="509">
        <f t="shared" si="170"/>
        <v>562.26666666666665</v>
      </c>
      <c r="T347" s="516">
        <v>928</v>
      </c>
      <c r="U347" s="618">
        <v>473</v>
      </c>
      <c r="V347" s="506">
        <f t="shared" si="171"/>
        <v>17926</v>
      </c>
      <c r="W347" s="510">
        <f t="shared" si="172"/>
        <v>16868</v>
      </c>
      <c r="X347" s="517"/>
      <c r="Y347" s="519"/>
      <c r="Z347" s="516">
        <v>80586</v>
      </c>
      <c r="AA347" s="519">
        <v>97923</v>
      </c>
      <c r="AB347" s="516">
        <v>49314</v>
      </c>
      <c r="AC347" s="519">
        <v>54352</v>
      </c>
      <c r="AD347" s="516">
        <v>87212</v>
      </c>
      <c r="AE347" s="519">
        <v>99652</v>
      </c>
      <c r="AF347" s="506">
        <f t="shared" si="173"/>
        <v>217112</v>
      </c>
      <c r="AG347" s="507">
        <f t="shared" si="174"/>
        <v>241.23555555555555</v>
      </c>
      <c r="AH347" s="508">
        <f t="shared" si="175"/>
        <v>251927</v>
      </c>
      <c r="AI347" s="508">
        <f t="shared" si="176"/>
        <v>279.91888888888889</v>
      </c>
      <c r="AJ347" s="516"/>
      <c r="AK347" s="519"/>
      <c r="AL347" s="506">
        <f t="shared" si="183"/>
        <v>0</v>
      </c>
      <c r="AM347" s="509">
        <f t="shared" si="184"/>
        <v>0</v>
      </c>
      <c r="AN347" s="518"/>
      <c r="AO347" s="520"/>
      <c r="AP347" s="516"/>
      <c r="AQ347" s="618"/>
      <c r="AR347" s="516"/>
      <c r="AS347" s="618"/>
      <c r="AT347" s="516"/>
      <c r="AU347" s="618"/>
      <c r="AV347" s="506">
        <f t="shared" si="177"/>
        <v>0</v>
      </c>
      <c r="AW347" s="511">
        <f t="shared" si="178"/>
        <v>0</v>
      </c>
      <c r="AX347" s="508">
        <f t="shared" si="179"/>
        <v>0</v>
      </c>
      <c r="AY347" s="512">
        <f t="shared" si="180"/>
        <v>0</v>
      </c>
      <c r="AZ347" s="513">
        <f t="shared" si="181"/>
        <v>838.7688888888888</v>
      </c>
      <c r="BA347" s="508">
        <f t="shared" si="182"/>
        <v>842.18555555555554</v>
      </c>
    </row>
    <row r="348" spans="1:53">
      <c r="A348" s="584" t="s">
        <v>364</v>
      </c>
      <c r="B348" s="579" t="s">
        <v>791</v>
      </c>
      <c r="C348" s="700"/>
      <c r="D348" s="701">
        <v>199263</v>
      </c>
      <c r="E348" s="590">
        <v>10</v>
      </c>
      <c r="F348" s="514" t="s">
        <v>41</v>
      </c>
      <c r="G348" s="515"/>
      <c r="H348" s="516"/>
      <c r="I348" s="519"/>
      <c r="J348" s="516">
        <v>4817</v>
      </c>
      <c r="K348" s="519">
        <v>2909</v>
      </c>
      <c r="L348" s="516">
        <v>760</v>
      </c>
      <c r="M348" s="519">
        <v>275</v>
      </c>
      <c r="N348" s="516">
        <v>4947</v>
      </c>
      <c r="O348" s="519">
        <v>3516</v>
      </c>
      <c r="P348" s="506">
        <f t="shared" si="167"/>
        <v>10524</v>
      </c>
      <c r="Q348" s="507">
        <f t="shared" si="168"/>
        <v>350.8</v>
      </c>
      <c r="R348" s="508">
        <f t="shared" si="169"/>
        <v>6700</v>
      </c>
      <c r="S348" s="509">
        <f t="shared" si="170"/>
        <v>223.33333333333334</v>
      </c>
      <c r="T348" s="516">
        <v>2375</v>
      </c>
      <c r="U348" s="618">
        <v>2239</v>
      </c>
      <c r="V348" s="506">
        <f t="shared" si="171"/>
        <v>10524</v>
      </c>
      <c r="W348" s="510">
        <f t="shared" si="172"/>
        <v>6700</v>
      </c>
      <c r="X348" s="517"/>
      <c r="Y348" s="519"/>
      <c r="Z348" s="516">
        <v>42796</v>
      </c>
      <c r="AA348" s="519">
        <v>86416</v>
      </c>
      <c r="AB348" s="516">
        <v>49292</v>
      </c>
      <c r="AC348" s="519">
        <v>45399</v>
      </c>
      <c r="AD348" s="516">
        <v>43149</v>
      </c>
      <c r="AE348" s="519">
        <v>52000</v>
      </c>
      <c r="AF348" s="506">
        <f t="shared" si="173"/>
        <v>135237</v>
      </c>
      <c r="AG348" s="507">
        <f t="shared" si="174"/>
        <v>150.26333333333332</v>
      </c>
      <c r="AH348" s="508">
        <f t="shared" si="175"/>
        <v>183815</v>
      </c>
      <c r="AI348" s="508">
        <f t="shared" si="176"/>
        <v>204.23888888888888</v>
      </c>
      <c r="AJ348" s="516"/>
      <c r="AK348" s="519"/>
      <c r="AL348" s="506">
        <f t="shared" si="183"/>
        <v>0</v>
      </c>
      <c r="AM348" s="509">
        <f t="shared" si="184"/>
        <v>0</v>
      </c>
      <c r="AN348" s="518"/>
      <c r="AO348" s="520"/>
      <c r="AP348" s="516"/>
      <c r="AQ348" s="618"/>
      <c r="AR348" s="516"/>
      <c r="AS348" s="618"/>
      <c r="AT348" s="516"/>
      <c r="AU348" s="618"/>
      <c r="AV348" s="506">
        <f t="shared" si="177"/>
        <v>0</v>
      </c>
      <c r="AW348" s="511">
        <f t="shared" si="178"/>
        <v>0</v>
      </c>
      <c r="AX348" s="508">
        <f t="shared" si="179"/>
        <v>0</v>
      </c>
      <c r="AY348" s="512">
        <f t="shared" si="180"/>
        <v>0</v>
      </c>
      <c r="AZ348" s="513">
        <f t="shared" si="181"/>
        <v>501.06333333333333</v>
      </c>
      <c r="BA348" s="508">
        <f t="shared" si="182"/>
        <v>427.57222222222219</v>
      </c>
    </row>
    <row r="349" spans="1:53">
      <c r="A349" s="584" t="s">
        <v>364</v>
      </c>
      <c r="B349" s="699" t="s">
        <v>792</v>
      </c>
      <c r="C349" s="698"/>
      <c r="D349" s="702">
        <v>199324</v>
      </c>
      <c r="E349" s="585">
        <v>10</v>
      </c>
      <c r="F349" s="514" t="s">
        <v>41</v>
      </c>
      <c r="G349" s="515"/>
      <c r="H349" s="516"/>
      <c r="I349" s="519"/>
      <c r="J349" s="516">
        <v>21429</v>
      </c>
      <c r="K349" s="519">
        <v>17467</v>
      </c>
      <c r="L349" s="516">
        <v>2342</v>
      </c>
      <c r="M349" s="519">
        <v>2340</v>
      </c>
      <c r="N349" s="516">
        <v>22761</v>
      </c>
      <c r="O349" s="519">
        <v>18852</v>
      </c>
      <c r="P349" s="506">
        <f t="shared" si="167"/>
        <v>46532</v>
      </c>
      <c r="Q349" s="507">
        <f t="shared" si="168"/>
        <v>1551.0666666666666</v>
      </c>
      <c r="R349" s="508">
        <f t="shared" si="169"/>
        <v>38659</v>
      </c>
      <c r="S349" s="509">
        <f t="shared" si="170"/>
        <v>1288.6333333333334</v>
      </c>
      <c r="T349" s="516">
        <v>8272</v>
      </c>
      <c r="U349" s="618">
        <v>4912</v>
      </c>
      <c r="V349" s="506">
        <f t="shared" si="171"/>
        <v>46532</v>
      </c>
      <c r="W349" s="510">
        <f t="shared" si="172"/>
        <v>38659</v>
      </c>
      <c r="X349" s="517"/>
      <c r="Y349" s="519"/>
      <c r="Z349" s="516">
        <v>153527</v>
      </c>
      <c r="AA349" s="683">
        <v>209670</v>
      </c>
      <c r="AB349" s="516">
        <v>79157</v>
      </c>
      <c r="AC349" s="684">
        <v>112376</v>
      </c>
      <c r="AD349" s="516">
        <v>171347</v>
      </c>
      <c r="AE349" s="759">
        <v>203081</v>
      </c>
      <c r="AF349" s="506">
        <f t="shared" si="173"/>
        <v>404031</v>
      </c>
      <c r="AG349" s="507">
        <f t="shared" si="174"/>
        <v>448.92333333333335</v>
      </c>
      <c r="AH349" s="508">
        <f t="shared" si="175"/>
        <v>525127</v>
      </c>
      <c r="AI349" s="508">
        <f t="shared" si="176"/>
        <v>583.47444444444443</v>
      </c>
      <c r="AJ349" s="516"/>
      <c r="AK349" s="519"/>
      <c r="AL349" s="506">
        <f t="shared" si="183"/>
        <v>0</v>
      </c>
      <c r="AM349" s="509">
        <f t="shared" si="184"/>
        <v>0</v>
      </c>
      <c r="AN349" s="518"/>
      <c r="AO349" s="520"/>
      <c r="AP349" s="516"/>
      <c r="AQ349" s="618"/>
      <c r="AR349" s="516"/>
      <c r="AS349" s="618"/>
      <c r="AT349" s="516"/>
      <c r="AU349" s="618"/>
      <c r="AV349" s="506">
        <f t="shared" si="177"/>
        <v>0</v>
      </c>
      <c r="AW349" s="511">
        <f t="shared" si="178"/>
        <v>0</v>
      </c>
      <c r="AX349" s="508">
        <f t="shared" si="179"/>
        <v>0</v>
      </c>
      <c r="AY349" s="512">
        <f t="shared" si="180"/>
        <v>0</v>
      </c>
      <c r="AZ349" s="513">
        <f t="shared" si="181"/>
        <v>1999.99</v>
      </c>
      <c r="BA349" s="508">
        <f t="shared" si="182"/>
        <v>1872.1077777777778</v>
      </c>
    </row>
    <row r="350" spans="1:53">
      <c r="A350" s="584" t="s">
        <v>364</v>
      </c>
      <c r="B350" s="699" t="s">
        <v>793</v>
      </c>
      <c r="C350" s="698" t="s">
        <v>321</v>
      </c>
      <c r="D350" s="702">
        <v>199449</v>
      </c>
      <c r="E350" s="585">
        <v>10</v>
      </c>
      <c r="F350" s="514" t="s">
        <v>41</v>
      </c>
      <c r="G350" s="515"/>
      <c r="H350" s="516"/>
      <c r="I350" s="519"/>
      <c r="J350" s="516">
        <v>19596</v>
      </c>
      <c r="K350" s="519">
        <v>21833</v>
      </c>
      <c r="L350" s="516">
        <v>5350</v>
      </c>
      <c r="M350" s="519">
        <v>4236</v>
      </c>
      <c r="N350" s="516">
        <v>19527</v>
      </c>
      <c r="O350" s="519">
        <v>23413</v>
      </c>
      <c r="P350" s="506">
        <f t="shared" si="167"/>
        <v>44473</v>
      </c>
      <c r="Q350" s="507">
        <f t="shared" si="168"/>
        <v>1482.4333333333334</v>
      </c>
      <c r="R350" s="508">
        <f t="shared" si="169"/>
        <v>49482</v>
      </c>
      <c r="S350" s="509">
        <f t="shared" si="170"/>
        <v>1649.4</v>
      </c>
      <c r="T350" s="516">
        <v>4057</v>
      </c>
      <c r="U350" s="618">
        <v>5980</v>
      </c>
      <c r="V350" s="506">
        <f t="shared" si="171"/>
        <v>44473</v>
      </c>
      <c r="W350" s="510">
        <f t="shared" si="172"/>
        <v>49482</v>
      </c>
      <c r="X350" s="517"/>
      <c r="Y350" s="519"/>
      <c r="Z350" s="516">
        <v>176480</v>
      </c>
      <c r="AA350" s="683">
        <v>194240</v>
      </c>
      <c r="AB350" s="516">
        <v>145615</v>
      </c>
      <c r="AC350" s="684">
        <v>142381</v>
      </c>
      <c r="AD350" s="516">
        <v>201698</v>
      </c>
      <c r="AE350" s="759">
        <v>208897</v>
      </c>
      <c r="AF350" s="506">
        <f t="shared" si="173"/>
        <v>523793</v>
      </c>
      <c r="AG350" s="507">
        <f t="shared" si="174"/>
        <v>581.99222222222227</v>
      </c>
      <c r="AH350" s="508">
        <f t="shared" si="175"/>
        <v>545518</v>
      </c>
      <c r="AI350" s="508">
        <f t="shared" si="176"/>
        <v>606.13111111111107</v>
      </c>
      <c r="AJ350" s="516"/>
      <c r="AK350" s="519"/>
      <c r="AL350" s="506">
        <f t="shared" si="183"/>
        <v>0</v>
      </c>
      <c r="AM350" s="509">
        <f t="shared" si="184"/>
        <v>0</v>
      </c>
      <c r="AN350" s="518"/>
      <c r="AO350" s="520"/>
      <c r="AP350" s="516"/>
      <c r="AQ350" s="618"/>
      <c r="AR350" s="516"/>
      <c r="AS350" s="618"/>
      <c r="AT350" s="516"/>
      <c r="AU350" s="618"/>
      <c r="AV350" s="506">
        <f t="shared" si="177"/>
        <v>0</v>
      </c>
      <c r="AW350" s="511">
        <f t="shared" si="178"/>
        <v>0</v>
      </c>
      <c r="AX350" s="508">
        <f t="shared" si="179"/>
        <v>0</v>
      </c>
      <c r="AY350" s="512">
        <f t="shared" si="180"/>
        <v>0</v>
      </c>
      <c r="AZ350" s="513">
        <f t="shared" si="181"/>
        <v>2064.4255555555555</v>
      </c>
      <c r="BA350" s="508">
        <f t="shared" si="182"/>
        <v>2255.5311111111114</v>
      </c>
    </row>
    <row r="351" spans="1:53">
      <c r="A351" s="584" t="s">
        <v>364</v>
      </c>
      <c r="B351" s="579" t="s">
        <v>794</v>
      </c>
      <c r="C351" s="700"/>
      <c r="D351" s="701">
        <v>199467</v>
      </c>
      <c r="E351" s="590">
        <v>10</v>
      </c>
      <c r="F351" s="514" t="s">
        <v>41</v>
      </c>
      <c r="G351" s="515"/>
      <c r="H351" s="516"/>
      <c r="I351" s="519"/>
      <c r="J351" s="516">
        <v>8412</v>
      </c>
      <c r="K351" s="519">
        <v>7716</v>
      </c>
      <c r="L351" s="516">
        <v>1</v>
      </c>
      <c r="M351" s="519">
        <v>0</v>
      </c>
      <c r="N351" s="516">
        <v>8427</v>
      </c>
      <c r="O351" s="519">
        <v>8566</v>
      </c>
      <c r="P351" s="506">
        <f t="shared" si="167"/>
        <v>16840</v>
      </c>
      <c r="Q351" s="507">
        <f t="shared" si="168"/>
        <v>561.33333333333337</v>
      </c>
      <c r="R351" s="508">
        <f t="shared" si="169"/>
        <v>16282</v>
      </c>
      <c r="S351" s="509">
        <f t="shared" si="170"/>
        <v>542.73333333333335</v>
      </c>
      <c r="T351" s="516">
        <v>2033</v>
      </c>
      <c r="U351" s="618">
        <v>2172</v>
      </c>
      <c r="V351" s="506">
        <f t="shared" si="171"/>
        <v>16840</v>
      </c>
      <c r="W351" s="510">
        <f t="shared" si="172"/>
        <v>16282</v>
      </c>
      <c r="X351" s="517"/>
      <c r="Y351" s="519"/>
      <c r="Z351" s="516">
        <v>60093</v>
      </c>
      <c r="AA351" s="683">
        <v>74253</v>
      </c>
      <c r="AB351" s="516">
        <v>40508</v>
      </c>
      <c r="AC351" s="684">
        <v>46554</v>
      </c>
      <c r="AD351" s="516">
        <v>69663</v>
      </c>
      <c r="AE351" s="759">
        <v>63832</v>
      </c>
      <c r="AF351" s="506">
        <f t="shared" si="173"/>
        <v>170264</v>
      </c>
      <c r="AG351" s="507">
        <f t="shared" si="174"/>
        <v>189.18222222222221</v>
      </c>
      <c r="AH351" s="508">
        <f t="shared" si="175"/>
        <v>184639</v>
      </c>
      <c r="AI351" s="508">
        <f t="shared" si="176"/>
        <v>205.15444444444444</v>
      </c>
      <c r="AJ351" s="516"/>
      <c r="AK351" s="519"/>
      <c r="AL351" s="506">
        <f t="shared" si="183"/>
        <v>0</v>
      </c>
      <c r="AM351" s="509">
        <f t="shared" si="184"/>
        <v>0</v>
      </c>
      <c r="AN351" s="518"/>
      <c r="AO351" s="520"/>
      <c r="AP351" s="516"/>
      <c r="AQ351" s="618"/>
      <c r="AR351" s="516"/>
      <c r="AS351" s="618"/>
      <c r="AT351" s="516"/>
      <c r="AU351" s="618"/>
      <c r="AV351" s="506">
        <f t="shared" si="177"/>
        <v>0</v>
      </c>
      <c r="AW351" s="511">
        <f t="shared" si="178"/>
        <v>0</v>
      </c>
      <c r="AX351" s="508">
        <f t="shared" si="179"/>
        <v>0</v>
      </c>
      <c r="AY351" s="512">
        <f t="shared" si="180"/>
        <v>0</v>
      </c>
      <c r="AZ351" s="513">
        <f t="shared" si="181"/>
        <v>750.51555555555558</v>
      </c>
      <c r="BA351" s="508">
        <f t="shared" si="182"/>
        <v>747.88777777777773</v>
      </c>
    </row>
    <row r="352" spans="1:53">
      <c r="A352" s="584" t="s">
        <v>364</v>
      </c>
      <c r="B352" s="699" t="s">
        <v>795</v>
      </c>
      <c r="C352" s="698"/>
      <c r="D352" s="702">
        <v>199485</v>
      </c>
      <c r="E352" s="585">
        <v>10</v>
      </c>
      <c r="F352" s="514" t="s">
        <v>41</v>
      </c>
      <c r="G352" s="515"/>
      <c r="H352" s="516"/>
      <c r="I352" s="519"/>
      <c r="J352" s="516">
        <v>22309</v>
      </c>
      <c r="K352" s="519">
        <v>19300</v>
      </c>
      <c r="L352" s="516">
        <v>5213</v>
      </c>
      <c r="M352" s="519">
        <v>3816</v>
      </c>
      <c r="N352" s="516">
        <v>24293</v>
      </c>
      <c r="O352" s="519">
        <v>21803</v>
      </c>
      <c r="P352" s="506">
        <f t="shared" si="167"/>
        <v>51815</v>
      </c>
      <c r="Q352" s="507">
        <f t="shared" si="168"/>
        <v>1727.1666666666667</v>
      </c>
      <c r="R352" s="508">
        <f t="shared" si="169"/>
        <v>44919</v>
      </c>
      <c r="S352" s="509">
        <f t="shared" si="170"/>
        <v>1497.3</v>
      </c>
      <c r="T352" s="516">
        <v>1621</v>
      </c>
      <c r="U352" s="618">
        <v>2597</v>
      </c>
      <c r="V352" s="506">
        <f t="shared" si="171"/>
        <v>51815</v>
      </c>
      <c r="W352" s="510">
        <f t="shared" si="172"/>
        <v>44919</v>
      </c>
      <c r="X352" s="517"/>
      <c r="Y352" s="519"/>
      <c r="Z352" s="516">
        <v>92181</v>
      </c>
      <c r="AA352" s="683">
        <v>111454</v>
      </c>
      <c r="AB352" s="516">
        <v>65626</v>
      </c>
      <c r="AC352" s="684">
        <v>65301</v>
      </c>
      <c r="AD352" s="516">
        <v>117267</v>
      </c>
      <c r="AE352" s="759">
        <v>113318</v>
      </c>
      <c r="AF352" s="506">
        <f t="shared" si="173"/>
        <v>275074</v>
      </c>
      <c r="AG352" s="507">
        <f t="shared" si="174"/>
        <v>305.63777777777779</v>
      </c>
      <c r="AH352" s="508">
        <f t="shared" si="175"/>
        <v>290073</v>
      </c>
      <c r="AI352" s="508">
        <f t="shared" si="176"/>
        <v>322.30333333333334</v>
      </c>
      <c r="AJ352" s="516"/>
      <c r="AK352" s="519"/>
      <c r="AL352" s="506">
        <f t="shared" si="183"/>
        <v>0</v>
      </c>
      <c r="AM352" s="509">
        <f t="shared" si="184"/>
        <v>0</v>
      </c>
      <c r="AN352" s="518"/>
      <c r="AO352" s="520"/>
      <c r="AP352" s="516"/>
      <c r="AQ352" s="618"/>
      <c r="AR352" s="516"/>
      <c r="AS352" s="618"/>
      <c r="AT352" s="516"/>
      <c r="AU352" s="618"/>
      <c r="AV352" s="506">
        <f t="shared" si="177"/>
        <v>0</v>
      </c>
      <c r="AW352" s="511">
        <f t="shared" si="178"/>
        <v>0</v>
      </c>
      <c r="AX352" s="508">
        <f t="shared" si="179"/>
        <v>0</v>
      </c>
      <c r="AY352" s="512">
        <f t="shared" si="180"/>
        <v>0</v>
      </c>
      <c r="AZ352" s="513">
        <f t="shared" si="181"/>
        <v>2032.8044444444445</v>
      </c>
      <c r="BA352" s="508">
        <f t="shared" si="182"/>
        <v>1819.6033333333332</v>
      </c>
    </row>
    <row r="353" spans="1:53">
      <c r="A353" s="584" t="s">
        <v>364</v>
      </c>
      <c r="B353" s="579" t="s">
        <v>796</v>
      </c>
      <c r="C353" s="698"/>
      <c r="D353" s="701">
        <v>199625</v>
      </c>
      <c r="E353" s="590">
        <v>10</v>
      </c>
      <c r="F353" s="514" t="s">
        <v>41</v>
      </c>
      <c r="G353" s="515"/>
      <c r="H353" s="516"/>
      <c r="I353" s="519"/>
      <c r="J353" s="516">
        <v>13486</v>
      </c>
      <c r="K353" s="519">
        <v>13272</v>
      </c>
      <c r="L353" s="516">
        <v>809</v>
      </c>
      <c r="M353" s="519">
        <v>863</v>
      </c>
      <c r="N353" s="516">
        <v>14399</v>
      </c>
      <c r="O353" s="519">
        <v>13836</v>
      </c>
      <c r="P353" s="506">
        <f t="shared" ref="P353:P416" si="185">SUM(H353,J353,L353,N353)</f>
        <v>28694</v>
      </c>
      <c r="Q353" s="507">
        <f t="shared" ref="Q353:Q416" si="186">+P353/30</f>
        <v>956.4666666666667</v>
      </c>
      <c r="R353" s="508">
        <f t="shared" ref="R353:R416" si="187">SUM(I353,K353,M353,O353)</f>
        <v>27971</v>
      </c>
      <c r="S353" s="509">
        <f t="shared" ref="S353:S416" si="188">+R353/30</f>
        <v>932.36666666666667</v>
      </c>
      <c r="T353" s="516">
        <v>3649</v>
      </c>
      <c r="U353" s="618">
        <v>3462</v>
      </c>
      <c r="V353" s="506">
        <f t="shared" ref="V353:V416" si="189">IF(ISBLANK(T353),0,P353)</f>
        <v>28694</v>
      </c>
      <c r="W353" s="510">
        <f t="shared" ref="W353:W416" si="190">IF(ISBLANK(U353),0,R353)</f>
        <v>27971</v>
      </c>
      <c r="X353" s="517"/>
      <c r="Y353" s="519"/>
      <c r="Z353" s="516">
        <v>143871</v>
      </c>
      <c r="AA353" s="683">
        <v>143346</v>
      </c>
      <c r="AB353" s="516">
        <v>132606</v>
      </c>
      <c r="AC353" s="684">
        <v>113581</v>
      </c>
      <c r="AD353" s="516">
        <v>205930</v>
      </c>
      <c r="AE353" s="759">
        <v>205855</v>
      </c>
      <c r="AF353" s="506">
        <f t="shared" ref="AF353:AF416" si="191">SUM(X353,Z353,AB353,AD353)</f>
        <v>482407</v>
      </c>
      <c r="AG353" s="507">
        <f t="shared" ref="AG353:AG416" si="192">+AF353/900</f>
        <v>536.00777777777773</v>
      </c>
      <c r="AH353" s="508">
        <f t="shared" ref="AH353:AH416" si="193">SUM(Y353,AA353,AC353,AE353)</f>
        <v>462782</v>
      </c>
      <c r="AI353" s="508">
        <f t="shared" ref="AI353:AI416" si="194">+AH353/900</f>
        <v>514.20222222222219</v>
      </c>
      <c r="AJ353" s="516"/>
      <c r="AK353" s="519"/>
      <c r="AL353" s="506">
        <f t="shared" ref="AL353:AL416" si="195">IF(ISBLANK(AJ353),0,AF353)</f>
        <v>0</v>
      </c>
      <c r="AM353" s="509">
        <f t="shared" ref="AM353:AM416" si="196">IF(ISBLANK(AK353),0,AH353)</f>
        <v>0</v>
      </c>
      <c r="AN353" s="518"/>
      <c r="AO353" s="520"/>
      <c r="AP353" s="516"/>
      <c r="AQ353" s="618"/>
      <c r="AR353" s="516"/>
      <c r="AS353" s="618"/>
      <c r="AT353" s="516"/>
      <c r="AU353" s="618"/>
      <c r="AV353" s="506">
        <f t="shared" ref="AV353:AV416" si="197">SUM(AN353,AP353,AR353,AT353)</f>
        <v>0</v>
      </c>
      <c r="AW353" s="511">
        <f t="shared" ref="AW353:AW416" si="198">+AV353/24</f>
        <v>0</v>
      </c>
      <c r="AX353" s="508">
        <f t="shared" ref="AX353:AX416" si="199">SUM(AO353,AQ353,AS353,AU353)</f>
        <v>0</v>
      </c>
      <c r="AY353" s="512">
        <f t="shared" ref="AY353:AY416" si="200">+AX353/24</f>
        <v>0</v>
      </c>
      <c r="AZ353" s="513">
        <f t="shared" ref="AZ353:AZ416" si="201">SUM(Q353,AG353,AW353)</f>
        <v>1492.4744444444445</v>
      </c>
      <c r="BA353" s="508">
        <f t="shared" ref="BA353:BA416" si="202">SUM(S353,AI353,AY353)</f>
        <v>1446.568888888889</v>
      </c>
    </row>
    <row r="354" spans="1:53">
      <c r="A354" s="584" t="s">
        <v>364</v>
      </c>
      <c r="B354" s="699" t="s">
        <v>797</v>
      </c>
      <c r="C354" s="698" t="s">
        <v>321</v>
      </c>
      <c r="D354" s="702">
        <v>197850</v>
      </c>
      <c r="E354" s="585">
        <v>10</v>
      </c>
      <c r="F354" s="514" t="s">
        <v>41</v>
      </c>
      <c r="G354" s="515"/>
      <c r="H354" s="516"/>
      <c r="I354" s="519"/>
      <c r="J354" s="516">
        <v>19979</v>
      </c>
      <c r="K354" s="519">
        <v>17968</v>
      </c>
      <c r="L354" s="516">
        <v>3697</v>
      </c>
      <c r="M354" s="519">
        <v>3430</v>
      </c>
      <c r="N354" s="516">
        <v>22431</v>
      </c>
      <c r="O354" s="519">
        <v>20086</v>
      </c>
      <c r="P354" s="506">
        <f t="shared" si="185"/>
        <v>46107</v>
      </c>
      <c r="Q354" s="507">
        <f t="shared" si="186"/>
        <v>1536.9</v>
      </c>
      <c r="R354" s="508">
        <f t="shared" si="187"/>
        <v>41484</v>
      </c>
      <c r="S354" s="509">
        <f t="shared" si="188"/>
        <v>1382.8</v>
      </c>
      <c r="T354" s="516">
        <v>6356</v>
      </c>
      <c r="U354" s="618">
        <v>6889</v>
      </c>
      <c r="V354" s="506">
        <f t="shared" si="189"/>
        <v>46107</v>
      </c>
      <c r="W354" s="510">
        <f t="shared" si="190"/>
        <v>41484</v>
      </c>
      <c r="X354" s="517"/>
      <c r="Y354" s="519"/>
      <c r="Z354" s="516">
        <v>231117</v>
      </c>
      <c r="AA354" s="683">
        <v>249826</v>
      </c>
      <c r="AB354" s="516">
        <v>157789</v>
      </c>
      <c r="AC354" s="684">
        <v>171283</v>
      </c>
      <c r="AD354" s="516">
        <v>271992</v>
      </c>
      <c r="AE354" s="759">
        <v>271279</v>
      </c>
      <c r="AF354" s="506">
        <f t="shared" si="191"/>
        <v>660898</v>
      </c>
      <c r="AG354" s="507">
        <f t="shared" si="192"/>
        <v>734.33111111111111</v>
      </c>
      <c r="AH354" s="508">
        <f t="shared" si="193"/>
        <v>692388</v>
      </c>
      <c r="AI354" s="508">
        <f t="shared" si="194"/>
        <v>769.32</v>
      </c>
      <c r="AJ354" s="516"/>
      <c r="AK354" s="519"/>
      <c r="AL354" s="506">
        <f t="shared" si="195"/>
        <v>0</v>
      </c>
      <c r="AM354" s="509">
        <f t="shared" si="196"/>
        <v>0</v>
      </c>
      <c r="AN354" s="518"/>
      <c r="AO354" s="520"/>
      <c r="AP354" s="516"/>
      <c r="AQ354" s="618"/>
      <c r="AR354" s="516"/>
      <c r="AS354" s="618"/>
      <c r="AT354" s="516"/>
      <c r="AU354" s="618"/>
      <c r="AV354" s="506">
        <f t="shared" si="197"/>
        <v>0</v>
      </c>
      <c r="AW354" s="511">
        <f t="shared" si="198"/>
        <v>0</v>
      </c>
      <c r="AX354" s="508">
        <f t="shared" si="199"/>
        <v>0</v>
      </c>
      <c r="AY354" s="512">
        <f t="shared" si="200"/>
        <v>0</v>
      </c>
      <c r="AZ354" s="513">
        <f t="shared" si="201"/>
        <v>2271.2311111111112</v>
      </c>
      <c r="BA354" s="508">
        <f t="shared" si="202"/>
        <v>2152.12</v>
      </c>
    </row>
    <row r="355" spans="1:53">
      <c r="A355" s="584" t="s">
        <v>364</v>
      </c>
      <c r="B355" s="699" t="s">
        <v>798</v>
      </c>
      <c r="C355" s="698" t="s">
        <v>321</v>
      </c>
      <c r="D355" s="702">
        <v>199722</v>
      </c>
      <c r="E355" s="585">
        <v>10</v>
      </c>
      <c r="F355" s="514" t="s">
        <v>41</v>
      </c>
      <c r="G355" s="515"/>
      <c r="H355" s="516"/>
      <c r="I355" s="519"/>
      <c r="J355" s="516">
        <v>19478</v>
      </c>
      <c r="K355" s="519">
        <v>16228</v>
      </c>
      <c r="L355" s="516">
        <v>6672</v>
      </c>
      <c r="M355" s="519">
        <v>4842</v>
      </c>
      <c r="N355" s="516">
        <v>21083</v>
      </c>
      <c r="O355" s="519">
        <v>19135</v>
      </c>
      <c r="P355" s="506">
        <f t="shared" si="185"/>
        <v>47233</v>
      </c>
      <c r="Q355" s="507">
        <f t="shared" si="186"/>
        <v>1574.4333333333334</v>
      </c>
      <c r="R355" s="508">
        <f t="shared" si="187"/>
        <v>40205</v>
      </c>
      <c r="S355" s="509">
        <f t="shared" si="188"/>
        <v>1340.1666666666667</v>
      </c>
      <c r="T355" s="516">
        <v>3605</v>
      </c>
      <c r="U355" s="618">
        <v>3032</v>
      </c>
      <c r="V355" s="506">
        <f t="shared" si="189"/>
        <v>47233</v>
      </c>
      <c r="W355" s="510">
        <f t="shared" si="190"/>
        <v>40205</v>
      </c>
      <c r="X355" s="517"/>
      <c r="Y355" s="519"/>
      <c r="Z355" s="516">
        <v>255090</v>
      </c>
      <c r="AA355" s="683">
        <v>265023</v>
      </c>
      <c r="AB355" s="516">
        <v>159526</v>
      </c>
      <c r="AC355" s="684">
        <v>167311</v>
      </c>
      <c r="AD355" s="516">
        <v>256512</v>
      </c>
      <c r="AE355" s="759">
        <v>307655</v>
      </c>
      <c r="AF355" s="506">
        <f t="shared" si="191"/>
        <v>671128</v>
      </c>
      <c r="AG355" s="507">
        <f t="shared" si="192"/>
        <v>745.69777777777779</v>
      </c>
      <c r="AH355" s="508">
        <f t="shared" si="193"/>
        <v>739989</v>
      </c>
      <c r="AI355" s="508">
        <f t="shared" si="194"/>
        <v>822.21</v>
      </c>
      <c r="AJ355" s="516"/>
      <c r="AK355" s="519"/>
      <c r="AL355" s="506">
        <f t="shared" si="195"/>
        <v>0</v>
      </c>
      <c r="AM355" s="509">
        <f t="shared" si="196"/>
        <v>0</v>
      </c>
      <c r="AN355" s="518"/>
      <c r="AO355" s="520"/>
      <c r="AP355" s="516"/>
      <c r="AQ355" s="618"/>
      <c r="AR355" s="516"/>
      <c r="AS355" s="618"/>
      <c r="AT355" s="516"/>
      <c r="AU355" s="618"/>
      <c r="AV355" s="506">
        <f t="shared" si="197"/>
        <v>0</v>
      </c>
      <c r="AW355" s="511">
        <f t="shared" si="198"/>
        <v>0</v>
      </c>
      <c r="AX355" s="508">
        <f t="shared" si="199"/>
        <v>0</v>
      </c>
      <c r="AY355" s="512">
        <f t="shared" si="200"/>
        <v>0</v>
      </c>
      <c r="AZ355" s="513">
        <f t="shared" si="201"/>
        <v>2320.1311111111113</v>
      </c>
      <c r="BA355" s="508">
        <f t="shared" si="202"/>
        <v>2162.376666666667</v>
      </c>
    </row>
    <row r="356" spans="1:53">
      <c r="A356" s="584" t="s">
        <v>364</v>
      </c>
      <c r="B356" s="699" t="s">
        <v>799</v>
      </c>
      <c r="C356" s="698" t="s">
        <v>321</v>
      </c>
      <c r="D356" s="702">
        <v>199731</v>
      </c>
      <c r="E356" s="585">
        <v>10</v>
      </c>
      <c r="F356" s="514" t="s">
        <v>41</v>
      </c>
      <c r="G356" s="515"/>
      <c r="H356" s="516"/>
      <c r="I356" s="519"/>
      <c r="J356" s="516">
        <v>21253</v>
      </c>
      <c r="K356" s="519">
        <v>21882</v>
      </c>
      <c r="L356" s="516">
        <v>6275</v>
      </c>
      <c r="M356" s="519">
        <v>5625</v>
      </c>
      <c r="N356" s="516">
        <v>22664</v>
      </c>
      <c r="O356" s="519">
        <v>21977</v>
      </c>
      <c r="P356" s="506">
        <f t="shared" si="185"/>
        <v>50192</v>
      </c>
      <c r="Q356" s="507">
        <f t="shared" si="186"/>
        <v>1673.0666666666666</v>
      </c>
      <c r="R356" s="508">
        <f t="shared" si="187"/>
        <v>49484</v>
      </c>
      <c r="S356" s="509">
        <f t="shared" si="188"/>
        <v>1649.4666666666667</v>
      </c>
      <c r="T356" s="516">
        <v>6592</v>
      </c>
      <c r="U356" s="618">
        <v>6882</v>
      </c>
      <c r="V356" s="506">
        <f t="shared" si="189"/>
        <v>50192</v>
      </c>
      <c r="W356" s="510">
        <f t="shared" si="190"/>
        <v>49484</v>
      </c>
      <c r="X356" s="517"/>
      <c r="Y356" s="618"/>
      <c r="Z356" s="516">
        <v>190333</v>
      </c>
      <c r="AA356" s="683">
        <v>166775</v>
      </c>
      <c r="AB356" s="516">
        <v>99890</v>
      </c>
      <c r="AC356" s="684">
        <v>71369</v>
      </c>
      <c r="AD356" s="516">
        <v>199345</v>
      </c>
      <c r="AE356" s="759">
        <v>164413</v>
      </c>
      <c r="AF356" s="506">
        <f t="shared" si="191"/>
        <v>489568</v>
      </c>
      <c r="AG356" s="507">
        <f t="shared" si="192"/>
        <v>543.96444444444444</v>
      </c>
      <c r="AH356" s="508">
        <f t="shared" si="193"/>
        <v>402557</v>
      </c>
      <c r="AI356" s="508">
        <f t="shared" si="194"/>
        <v>447.28555555555556</v>
      </c>
      <c r="AJ356" s="516"/>
      <c r="AK356" s="519"/>
      <c r="AL356" s="506">
        <f t="shared" si="195"/>
        <v>0</v>
      </c>
      <c r="AM356" s="509">
        <f t="shared" si="196"/>
        <v>0</v>
      </c>
      <c r="AN356" s="518"/>
      <c r="AO356" s="520"/>
      <c r="AP356" s="516"/>
      <c r="AQ356" s="520"/>
      <c r="AR356" s="516"/>
      <c r="AS356" s="520"/>
      <c r="AT356" s="516"/>
      <c r="AU356" s="520"/>
      <c r="AV356" s="506">
        <f t="shared" si="197"/>
        <v>0</v>
      </c>
      <c r="AW356" s="511">
        <f t="shared" si="198"/>
        <v>0</v>
      </c>
      <c r="AX356" s="508">
        <f t="shared" si="199"/>
        <v>0</v>
      </c>
      <c r="AY356" s="512">
        <f t="shared" si="200"/>
        <v>0</v>
      </c>
      <c r="AZ356" s="513">
        <f t="shared" si="201"/>
        <v>2217.0311111111109</v>
      </c>
      <c r="BA356" s="508">
        <f t="shared" si="202"/>
        <v>2096.7522222222224</v>
      </c>
    </row>
    <row r="357" spans="1:53">
      <c r="A357" s="584" t="s">
        <v>364</v>
      </c>
      <c r="B357" s="579" t="s">
        <v>800</v>
      </c>
      <c r="C357" s="700"/>
      <c r="D357" s="701">
        <v>199795</v>
      </c>
      <c r="E357" s="590">
        <v>10</v>
      </c>
      <c r="F357" s="514" t="s">
        <v>41</v>
      </c>
      <c r="G357" s="515"/>
      <c r="H357" s="516"/>
      <c r="I357" s="519"/>
      <c r="J357" s="516">
        <v>11498</v>
      </c>
      <c r="K357" s="519">
        <v>11742</v>
      </c>
      <c r="L357" s="516">
        <v>2450</v>
      </c>
      <c r="M357" s="519">
        <v>1808</v>
      </c>
      <c r="N357" s="516">
        <v>11545</v>
      </c>
      <c r="O357" s="519">
        <v>12576</v>
      </c>
      <c r="P357" s="506">
        <f t="shared" si="185"/>
        <v>25493</v>
      </c>
      <c r="Q357" s="507">
        <f t="shared" si="186"/>
        <v>849.76666666666665</v>
      </c>
      <c r="R357" s="508">
        <f t="shared" si="187"/>
        <v>26126</v>
      </c>
      <c r="S357" s="509">
        <f t="shared" si="188"/>
        <v>870.86666666666667</v>
      </c>
      <c r="T357" s="516">
        <v>4834</v>
      </c>
      <c r="U357" s="618">
        <v>4048</v>
      </c>
      <c r="V357" s="506">
        <f t="shared" si="189"/>
        <v>25493</v>
      </c>
      <c r="W357" s="510">
        <f t="shared" si="190"/>
        <v>26126</v>
      </c>
      <c r="X357" s="517"/>
      <c r="Y357" s="618"/>
      <c r="Z357" s="516">
        <v>62294</v>
      </c>
      <c r="AA357" s="683">
        <v>49211</v>
      </c>
      <c r="AB357" s="516">
        <v>36042</v>
      </c>
      <c r="AC357" s="684">
        <v>34904</v>
      </c>
      <c r="AD357" s="516">
        <v>78550</v>
      </c>
      <c r="AE357" s="759">
        <v>78978</v>
      </c>
      <c r="AF357" s="506">
        <f t="shared" si="191"/>
        <v>176886</v>
      </c>
      <c r="AG357" s="507">
        <f t="shared" si="192"/>
        <v>196.54</v>
      </c>
      <c r="AH357" s="508">
        <f t="shared" si="193"/>
        <v>163093</v>
      </c>
      <c r="AI357" s="508">
        <f t="shared" si="194"/>
        <v>181.21444444444444</v>
      </c>
      <c r="AJ357" s="516"/>
      <c r="AK357" s="519"/>
      <c r="AL357" s="506">
        <f t="shared" si="195"/>
        <v>0</v>
      </c>
      <c r="AM357" s="509">
        <f t="shared" si="196"/>
        <v>0</v>
      </c>
      <c r="AN357" s="518"/>
      <c r="AO357" s="520"/>
      <c r="AP357" s="516"/>
      <c r="AQ357" s="520"/>
      <c r="AR357" s="516"/>
      <c r="AS357" s="520"/>
      <c r="AT357" s="516"/>
      <c r="AU357" s="520"/>
      <c r="AV357" s="506">
        <f t="shared" si="197"/>
        <v>0</v>
      </c>
      <c r="AW357" s="511">
        <f t="shared" si="198"/>
        <v>0</v>
      </c>
      <c r="AX357" s="508">
        <f t="shared" si="199"/>
        <v>0</v>
      </c>
      <c r="AY357" s="512">
        <f t="shared" si="200"/>
        <v>0</v>
      </c>
      <c r="AZ357" s="513">
        <f t="shared" si="201"/>
        <v>1046.3066666666666</v>
      </c>
      <c r="BA357" s="508">
        <f t="shared" si="202"/>
        <v>1052.0811111111111</v>
      </c>
    </row>
    <row r="358" spans="1:53">
      <c r="A358" s="584" t="s">
        <v>364</v>
      </c>
      <c r="B358" s="699" t="s">
        <v>801</v>
      </c>
      <c r="C358" s="698"/>
      <c r="D358" s="702">
        <v>199953</v>
      </c>
      <c r="E358" s="585">
        <v>10</v>
      </c>
      <c r="F358" s="514" t="s">
        <v>41</v>
      </c>
      <c r="G358" s="515"/>
      <c r="H358" s="516"/>
      <c r="I358" s="519"/>
      <c r="J358" s="516">
        <v>19804</v>
      </c>
      <c r="K358" s="519">
        <v>17037</v>
      </c>
      <c r="L358" s="516">
        <v>9162</v>
      </c>
      <c r="M358" s="519">
        <v>6508</v>
      </c>
      <c r="N358" s="516">
        <v>20492</v>
      </c>
      <c r="O358" s="519">
        <v>17755</v>
      </c>
      <c r="P358" s="506">
        <f t="shared" si="185"/>
        <v>49458</v>
      </c>
      <c r="Q358" s="507">
        <f t="shared" si="186"/>
        <v>1648.6</v>
      </c>
      <c r="R358" s="508">
        <f t="shared" si="187"/>
        <v>41300</v>
      </c>
      <c r="S358" s="509">
        <f t="shared" si="188"/>
        <v>1376.6666666666667</v>
      </c>
      <c r="T358" s="516">
        <v>1425</v>
      </c>
      <c r="U358" s="618">
        <v>2185</v>
      </c>
      <c r="V358" s="506">
        <f t="shared" si="189"/>
        <v>49458</v>
      </c>
      <c r="W358" s="510">
        <f t="shared" si="190"/>
        <v>41300</v>
      </c>
      <c r="X358" s="517"/>
      <c r="Y358" s="618"/>
      <c r="Z358" s="516">
        <v>144901</v>
      </c>
      <c r="AA358" s="683">
        <v>142061</v>
      </c>
      <c r="AB358" s="516">
        <v>81745</v>
      </c>
      <c r="AC358" s="684">
        <v>86191</v>
      </c>
      <c r="AD358" s="516">
        <v>140580</v>
      </c>
      <c r="AE358" s="759">
        <v>138636</v>
      </c>
      <c r="AF358" s="506">
        <f t="shared" si="191"/>
        <v>367226</v>
      </c>
      <c r="AG358" s="507">
        <f t="shared" si="192"/>
        <v>408.0288888888889</v>
      </c>
      <c r="AH358" s="508">
        <f t="shared" si="193"/>
        <v>366888</v>
      </c>
      <c r="AI358" s="508">
        <f t="shared" si="194"/>
        <v>407.65333333333331</v>
      </c>
      <c r="AJ358" s="516"/>
      <c r="AK358" s="519"/>
      <c r="AL358" s="506">
        <f t="shared" si="195"/>
        <v>0</v>
      </c>
      <c r="AM358" s="509">
        <f t="shared" si="196"/>
        <v>0</v>
      </c>
      <c r="AN358" s="518"/>
      <c r="AO358" s="520"/>
      <c r="AP358" s="516"/>
      <c r="AQ358" s="520"/>
      <c r="AR358" s="516"/>
      <c r="AS358" s="520"/>
      <c r="AT358" s="516"/>
      <c r="AU358" s="520"/>
      <c r="AV358" s="506">
        <f t="shared" si="197"/>
        <v>0</v>
      </c>
      <c r="AW358" s="511">
        <f t="shared" si="198"/>
        <v>0</v>
      </c>
      <c r="AX358" s="508">
        <f t="shared" si="199"/>
        <v>0</v>
      </c>
      <c r="AY358" s="512">
        <f t="shared" si="200"/>
        <v>0</v>
      </c>
      <c r="AZ358" s="513">
        <f t="shared" si="201"/>
        <v>2056.6288888888889</v>
      </c>
      <c r="BA358" s="508">
        <f t="shared" si="202"/>
        <v>1784.3200000000002</v>
      </c>
    </row>
    <row r="359" spans="1:53" ht="15.75">
      <c r="A359" s="749" t="s">
        <v>452</v>
      </c>
      <c r="B359" s="503" t="s">
        <v>502</v>
      </c>
      <c r="C359" s="621"/>
      <c r="D359" s="622">
        <v>207388</v>
      </c>
      <c r="E359" s="490">
        <v>1</v>
      </c>
      <c r="F359" s="514" t="s">
        <v>41</v>
      </c>
      <c r="G359" s="515" t="s">
        <v>41</v>
      </c>
      <c r="H359" s="516"/>
      <c r="I359" s="519"/>
      <c r="J359" s="516">
        <v>243811</v>
      </c>
      <c r="K359" s="623">
        <v>238876</v>
      </c>
      <c r="L359" s="516">
        <v>32147</v>
      </c>
      <c r="M359" s="624">
        <v>29304</v>
      </c>
      <c r="N359" s="516">
        <v>268237</v>
      </c>
      <c r="O359" s="519">
        <v>271847</v>
      </c>
      <c r="P359" s="506">
        <f t="shared" si="185"/>
        <v>544195</v>
      </c>
      <c r="Q359" s="507">
        <f t="shared" si="186"/>
        <v>18139.833333333332</v>
      </c>
      <c r="R359" s="508">
        <f t="shared" si="187"/>
        <v>540027</v>
      </c>
      <c r="S359" s="509">
        <f t="shared" si="188"/>
        <v>18000.900000000001</v>
      </c>
      <c r="T359" s="516">
        <v>1384</v>
      </c>
      <c r="U359" s="756">
        <v>928</v>
      </c>
      <c r="V359" s="506">
        <f t="shared" si="189"/>
        <v>544195</v>
      </c>
      <c r="W359" s="510">
        <f t="shared" si="190"/>
        <v>540027</v>
      </c>
      <c r="X359" s="517"/>
      <c r="Y359" s="618"/>
      <c r="Z359" s="516"/>
      <c r="AA359" s="519"/>
      <c r="AB359" s="516"/>
      <c r="AC359" s="519"/>
      <c r="AD359" s="516"/>
      <c r="AE359" s="519"/>
      <c r="AF359" s="506">
        <f t="shared" si="191"/>
        <v>0</v>
      </c>
      <c r="AG359" s="507">
        <f t="shared" si="192"/>
        <v>0</v>
      </c>
      <c r="AH359" s="508">
        <f t="shared" si="193"/>
        <v>0</v>
      </c>
      <c r="AI359" s="508">
        <f t="shared" si="194"/>
        <v>0</v>
      </c>
      <c r="AJ359" s="516"/>
      <c r="AK359" s="519"/>
      <c r="AL359" s="506">
        <f t="shared" si="195"/>
        <v>0</v>
      </c>
      <c r="AM359" s="509">
        <f t="shared" si="196"/>
        <v>0</v>
      </c>
      <c r="AN359" s="518"/>
      <c r="AO359" s="520"/>
      <c r="AP359" s="516">
        <v>46816</v>
      </c>
      <c r="AQ359" s="520">
        <v>29834</v>
      </c>
      <c r="AR359" s="516">
        <v>23316</v>
      </c>
      <c r="AS359" s="520">
        <v>11592</v>
      </c>
      <c r="AT359" s="516">
        <v>46543</v>
      </c>
      <c r="AU359" s="520">
        <v>31804</v>
      </c>
      <c r="AV359" s="506">
        <f t="shared" si="197"/>
        <v>116675</v>
      </c>
      <c r="AW359" s="511">
        <f t="shared" si="198"/>
        <v>4861.458333333333</v>
      </c>
      <c r="AX359" s="508">
        <f t="shared" si="199"/>
        <v>73230</v>
      </c>
      <c r="AY359" s="512">
        <f t="shared" si="200"/>
        <v>3051.25</v>
      </c>
      <c r="AZ359" s="513">
        <f t="shared" si="201"/>
        <v>23001.291666666664</v>
      </c>
      <c r="BA359" s="508">
        <f t="shared" si="202"/>
        <v>21052.15</v>
      </c>
    </row>
    <row r="360" spans="1:53" ht="15.75">
      <c r="A360" s="749" t="s">
        <v>452</v>
      </c>
      <c r="B360" s="503" t="s">
        <v>503</v>
      </c>
      <c r="C360" s="621"/>
      <c r="D360" s="622">
        <v>207500</v>
      </c>
      <c r="E360" s="490">
        <v>1</v>
      </c>
      <c r="F360" s="514" t="s">
        <v>41</v>
      </c>
      <c r="G360" s="515" t="s">
        <v>41</v>
      </c>
      <c r="H360" s="516"/>
      <c r="I360" s="519"/>
      <c r="J360" s="516">
        <v>242922</v>
      </c>
      <c r="K360" s="623">
        <v>252252</v>
      </c>
      <c r="L360" s="516">
        <v>34284</v>
      </c>
      <c r="M360" s="624">
        <v>35800</v>
      </c>
      <c r="N360" s="516">
        <v>269398</v>
      </c>
      <c r="O360" s="519">
        <v>274415</v>
      </c>
      <c r="P360" s="506">
        <f t="shared" si="185"/>
        <v>546604</v>
      </c>
      <c r="Q360" s="507">
        <f t="shared" si="186"/>
        <v>18220.133333333335</v>
      </c>
      <c r="R360" s="508">
        <f t="shared" si="187"/>
        <v>562467</v>
      </c>
      <c r="S360" s="509">
        <f t="shared" si="188"/>
        <v>18748.900000000001</v>
      </c>
      <c r="T360" s="516">
        <v>578</v>
      </c>
      <c r="U360" s="756">
        <v>615</v>
      </c>
      <c r="V360" s="506">
        <f t="shared" si="189"/>
        <v>546604</v>
      </c>
      <c r="W360" s="510">
        <f t="shared" si="190"/>
        <v>562467</v>
      </c>
      <c r="X360" s="517"/>
      <c r="Y360" s="618"/>
      <c r="Z360" s="516"/>
      <c r="AA360" s="519"/>
      <c r="AB360" s="516"/>
      <c r="AC360" s="519"/>
      <c r="AD360" s="516"/>
      <c r="AE360" s="519"/>
      <c r="AF360" s="506">
        <f t="shared" si="191"/>
        <v>0</v>
      </c>
      <c r="AG360" s="507">
        <f t="shared" si="192"/>
        <v>0</v>
      </c>
      <c r="AH360" s="508">
        <f t="shared" si="193"/>
        <v>0</v>
      </c>
      <c r="AI360" s="508">
        <f t="shared" si="194"/>
        <v>0</v>
      </c>
      <c r="AJ360" s="516"/>
      <c r="AK360" s="519"/>
      <c r="AL360" s="506">
        <f t="shared" si="195"/>
        <v>0</v>
      </c>
      <c r="AM360" s="509">
        <f t="shared" si="196"/>
        <v>0</v>
      </c>
      <c r="AN360" s="518"/>
      <c r="AO360" s="520"/>
      <c r="AP360" s="516">
        <v>53722</v>
      </c>
      <c r="AQ360" s="520">
        <v>45703</v>
      </c>
      <c r="AR360" s="516">
        <v>17476</v>
      </c>
      <c r="AS360" s="520">
        <v>14435</v>
      </c>
      <c r="AT360" s="516">
        <v>52520</v>
      </c>
      <c r="AU360" s="520">
        <v>46245</v>
      </c>
      <c r="AV360" s="506">
        <f t="shared" si="197"/>
        <v>123718</v>
      </c>
      <c r="AW360" s="511">
        <f t="shared" si="198"/>
        <v>5154.916666666667</v>
      </c>
      <c r="AX360" s="508">
        <f t="shared" si="199"/>
        <v>106383</v>
      </c>
      <c r="AY360" s="512">
        <f t="shared" si="200"/>
        <v>4432.625</v>
      </c>
      <c r="AZ360" s="513">
        <f t="shared" si="201"/>
        <v>23375.050000000003</v>
      </c>
      <c r="BA360" s="508">
        <f t="shared" si="202"/>
        <v>23181.525000000001</v>
      </c>
    </row>
    <row r="361" spans="1:53" ht="15.75">
      <c r="A361" s="749" t="s">
        <v>452</v>
      </c>
      <c r="B361" s="503" t="s">
        <v>504</v>
      </c>
      <c r="C361" s="621"/>
      <c r="D361" s="622">
        <v>207263</v>
      </c>
      <c r="E361" s="490">
        <v>3</v>
      </c>
      <c r="F361" s="514" t="s">
        <v>41</v>
      </c>
      <c r="G361" s="515" t="s">
        <v>41</v>
      </c>
      <c r="H361" s="516"/>
      <c r="I361" s="519"/>
      <c r="J361" s="516">
        <v>94451</v>
      </c>
      <c r="K361" s="623">
        <v>85290</v>
      </c>
      <c r="L361" s="516">
        <v>19543</v>
      </c>
      <c r="M361" s="624">
        <v>14964</v>
      </c>
      <c r="N361" s="516">
        <v>97194</v>
      </c>
      <c r="O361" s="519">
        <v>89074</v>
      </c>
      <c r="P361" s="506">
        <f t="shared" si="185"/>
        <v>211188</v>
      </c>
      <c r="Q361" s="507">
        <f t="shared" si="186"/>
        <v>7039.6</v>
      </c>
      <c r="R361" s="508">
        <f t="shared" si="187"/>
        <v>189328</v>
      </c>
      <c r="S361" s="509">
        <f t="shared" si="188"/>
        <v>6310.9333333333334</v>
      </c>
      <c r="T361" s="516">
        <v>1257</v>
      </c>
      <c r="U361" s="756">
        <v>1291</v>
      </c>
      <c r="V361" s="506">
        <f t="shared" si="189"/>
        <v>211188</v>
      </c>
      <c r="W361" s="510">
        <f t="shared" si="190"/>
        <v>189328</v>
      </c>
      <c r="X361" s="517"/>
      <c r="Y361" s="618"/>
      <c r="Z361" s="516"/>
      <c r="AA361" s="519"/>
      <c r="AB361" s="516"/>
      <c r="AC361" s="519"/>
      <c r="AD361" s="516"/>
      <c r="AE361" s="519"/>
      <c r="AF361" s="506">
        <f t="shared" si="191"/>
        <v>0</v>
      </c>
      <c r="AG361" s="507">
        <f t="shared" si="192"/>
        <v>0</v>
      </c>
      <c r="AH361" s="508">
        <f t="shared" si="193"/>
        <v>0</v>
      </c>
      <c r="AI361" s="508">
        <f t="shared" si="194"/>
        <v>0</v>
      </c>
      <c r="AJ361" s="516"/>
      <c r="AK361" s="519"/>
      <c r="AL361" s="506">
        <f t="shared" si="195"/>
        <v>0</v>
      </c>
      <c r="AM361" s="509">
        <f t="shared" si="196"/>
        <v>0</v>
      </c>
      <c r="AN361" s="518"/>
      <c r="AO361" s="520"/>
      <c r="AP361" s="516">
        <v>8145</v>
      </c>
      <c r="AQ361" s="520">
        <v>9024</v>
      </c>
      <c r="AR361" s="516">
        <v>3699</v>
      </c>
      <c r="AS361" s="520">
        <v>3839</v>
      </c>
      <c r="AT361" s="516">
        <v>8755</v>
      </c>
      <c r="AU361" s="520">
        <v>9167</v>
      </c>
      <c r="AV361" s="506">
        <f t="shared" si="197"/>
        <v>20599</v>
      </c>
      <c r="AW361" s="511">
        <f t="shared" si="198"/>
        <v>858.29166666666663</v>
      </c>
      <c r="AX361" s="508">
        <f t="shared" si="199"/>
        <v>22030</v>
      </c>
      <c r="AY361" s="512">
        <f t="shared" si="200"/>
        <v>917.91666666666663</v>
      </c>
      <c r="AZ361" s="513">
        <f t="shared" si="201"/>
        <v>7897.8916666666673</v>
      </c>
      <c r="BA361" s="508">
        <f t="shared" si="202"/>
        <v>7228.85</v>
      </c>
    </row>
    <row r="362" spans="1:53" ht="15.75">
      <c r="A362" s="749" t="s">
        <v>452</v>
      </c>
      <c r="B362" s="503" t="s">
        <v>505</v>
      </c>
      <c r="C362" s="621"/>
      <c r="D362" s="622">
        <v>206941</v>
      </c>
      <c r="E362" s="490">
        <v>3</v>
      </c>
      <c r="F362" s="514" t="s">
        <v>41</v>
      </c>
      <c r="G362" s="515" t="s">
        <v>41</v>
      </c>
      <c r="H362" s="516"/>
      <c r="I362" s="519"/>
      <c r="J362" s="516">
        <v>163355</v>
      </c>
      <c r="K362" s="623">
        <v>162812</v>
      </c>
      <c r="L362" s="516">
        <v>28818</v>
      </c>
      <c r="M362" s="624">
        <v>28321</v>
      </c>
      <c r="N362" s="516">
        <v>181141</v>
      </c>
      <c r="O362" s="519">
        <v>179556</v>
      </c>
      <c r="P362" s="506">
        <f t="shared" si="185"/>
        <v>373314</v>
      </c>
      <c r="Q362" s="507">
        <f t="shared" si="186"/>
        <v>12443.8</v>
      </c>
      <c r="R362" s="508">
        <f t="shared" si="187"/>
        <v>370689</v>
      </c>
      <c r="S362" s="509">
        <f t="shared" si="188"/>
        <v>12356.3</v>
      </c>
      <c r="T362" s="516">
        <v>1280</v>
      </c>
      <c r="U362" s="756">
        <v>1221</v>
      </c>
      <c r="V362" s="506">
        <f t="shared" si="189"/>
        <v>373314</v>
      </c>
      <c r="W362" s="510">
        <f t="shared" si="190"/>
        <v>370689</v>
      </c>
      <c r="X362" s="517"/>
      <c r="Y362" s="618"/>
      <c r="Z362" s="516"/>
      <c r="AA362" s="519"/>
      <c r="AB362" s="516"/>
      <c r="AC362" s="519"/>
      <c r="AD362" s="516"/>
      <c r="AE362" s="519"/>
      <c r="AF362" s="506">
        <f t="shared" si="191"/>
        <v>0</v>
      </c>
      <c r="AG362" s="507">
        <f t="shared" si="192"/>
        <v>0</v>
      </c>
      <c r="AH362" s="508">
        <f t="shared" si="193"/>
        <v>0</v>
      </c>
      <c r="AI362" s="508">
        <f t="shared" si="194"/>
        <v>0</v>
      </c>
      <c r="AJ362" s="516"/>
      <c r="AK362" s="519"/>
      <c r="AL362" s="506">
        <f t="shared" si="195"/>
        <v>0</v>
      </c>
      <c r="AM362" s="509">
        <f t="shared" si="196"/>
        <v>0</v>
      </c>
      <c r="AN362" s="518"/>
      <c r="AO362" s="520"/>
      <c r="AP362" s="516">
        <v>11856</v>
      </c>
      <c r="AQ362" s="520">
        <v>12486</v>
      </c>
      <c r="AR362" s="516">
        <v>4480</v>
      </c>
      <c r="AS362" s="520">
        <v>4394</v>
      </c>
      <c r="AT362" s="516">
        <v>11896</v>
      </c>
      <c r="AU362" s="520">
        <v>12704</v>
      </c>
      <c r="AV362" s="506">
        <f t="shared" si="197"/>
        <v>28232</v>
      </c>
      <c r="AW362" s="511">
        <f t="shared" si="198"/>
        <v>1176.3333333333333</v>
      </c>
      <c r="AX362" s="508">
        <f t="shared" si="199"/>
        <v>29584</v>
      </c>
      <c r="AY362" s="512">
        <f t="shared" si="200"/>
        <v>1232.6666666666667</v>
      </c>
      <c r="AZ362" s="513">
        <f t="shared" si="201"/>
        <v>13620.133333333333</v>
      </c>
      <c r="BA362" s="508">
        <f t="shared" si="202"/>
        <v>13588.966666666665</v>
      </c>
    </row>
    <row r="363" spans="1:53" ht="15.75">
      <c r="A363" s="749" t="s">
        <v>452</v>
      </c>
      <c r="B363" s="503" t="s">
        <v>510</v>
      </c>
      <c r="C363" s="633" t="s">
        <v>415</v>
      </c>
      <c r="D363" s="489">
        <v>207847</v>
      </c>
      <c r="E363" s="634">
        <v>4</v>
      </c>
      <c r="F363" s="514" t="s">
        <v>41</v>
      </c>
      <c r="G363" s="515" t="s">
        <v>41</v>
      </c>
      <c r="H363" s="516"/>
      <c r="I363" s="519"/>
      <c r="J363" s="516">
        <v>41875</v>
      </c>
      <c r="K363" s="623">
        <v>41668</v>
      </c>
      <c r="L363" s="516">
        <v>9763</v>
      </c>
      <c r="M363" s="624">
        <v>7910</v>
      </c>
      <c r="N363" s="516">
        <v>46242</v>
      </c>
      <c r="O363" s="519">
        <v>45303</v>
      </c>
      <c r="P363" s="506">
        <f t="shared" si="185"/>
        <v>97880</v>
      </c>
      <c r="Q363" s="507">
        <f t="shared" si="186"/>
        <v>3262.6666666666665</v>
      </c>
      <c r="R363" s="508">
        <f t="shared" si="187"/>
        <v>94881</v>
      </c>
      <c r="S363" s="509">
        <f t="shared" si="188"/>
        <v>3162.7</v>
      </c>
      <c r="T363" s="516">
        <v>1492</v>
      </c>
      <c r="U363" s="756">
        <v>1420</v>
      </c>
      <c r="V363" s="506">
        <f t="shared" si="189"/>
        <v>97880</v>
      </c>
      <c r="W363" s="510">
        <f t="shared" si="190"/>
        <v>94881</v>
      </c>
      <c r="X363" s="517"/>
      <c r="Y363" s="618"/>
      <c r="Z363" s="516"/>
      <c r="AA363" s="519"/>
      <c r="AB363" s="516"/>
      <c r="AC363" s="519"/>
      <c r="AD363" s="516"/>
      <c r="AE363" s="519"/>
      <c r="AF363" s="506">
        <f t="shared" si="191"/>
        <v>0</v>
      </c>
      <c r="AG363" s="507">
        <f t="shared" si="192"/>
        <v>0</v>
      </c>
      <c r="AH363" s="508">
        <f t="shared" si="193"/>
        <v>0</v>
      </c>
      <c r="AI363" s="508">
        <f t="shared" si="194"/>
        <v>0</v>
      </c>
      <c r="AJ363" s="516"/>
      <c r="AK363" s="519"/>
      <c r="AL363" s="506">
        <f t="shared" si="195"/>
        <v>0</v>
      </c>
      <c r="AM363" s="509">
        <f t="shared" si="196"/>
        <v>0</v>
      </c>
      <c r="AN363" s="518"/>
      <c r="AO363" s="520"/>
      <c r="AP363" s="516">
        <v>2540</v>
      </c>
      <c r="AQ363" s="520">
        <v>2410</v>
      </c>
      <c r="AR363" s="516">
        <v>1179</v>
      </c>
      <c r="AS363" s="520">
        <v>1192</v>
      </c>
      <c r="AT363" s="516">
        <v>2460</v>
      </c>
      <c r="AU363" s="520">
        <v>2539</v>
      </c>
      <c r="AV363" s="506">
        <f t="shared" si="197"/>
        <v>6179</v>
      </c>
      <c r="AW363" s="511">
        <f t="shared" si="198"/>
        <v>257.45833333333331</v>
      </c>
      <c r="AX363" s="508">
        <f t="shared" si="199"/>
        <v>6141</v>
      </c>
      <c r="AY363" s="512">
        <f t="shared" si="200"/>
        <v>255.875</v>
      </c>
      <c r="AZ363" s="513">
        <f t="shared" si="201"/>
        <v>3520.125</v>
      </c>
      <c r="BA363" s="508">
        <f t="shared" si="202"/>
        <v>3418.5749999999998</v>
      </c>
    </row>
    <row r="364" spans="1:53" ht="15.75">
      <c r="A364" s="749" t="s">
        <v>452</v>
      </c>
      <c r="B364" s="503" t="s">
        <v>506</v>
      </c>
      <c r="C364" s="621"/>
      <c r="D364" s="622">
        <v>206914</v>
      </c>
      <c r="E364" s="490">
        <v>5</v>
      </c>
      <c r="F364" s="514" t="s">
        <v>41</v>
      </c>
      <c r="G364" s="515" t="s">
        <v>41</v>
      </c>
      <c r="H364" s="516"/>
      <c r="I364" s="519"/>
      <c r="J364" s="516">
        <v>60437</v>
      </c>
      <c r="K364" s="623">
        <v>60373</v>
      </c>
      <c r="L364" s="516">
        <v>13235</v>
      </c>
      <c r="M364" s="624">
        <v>11666</v>
      </c>
      <c r="N364" s="516">
        <v>65372</v>
      </c>
      <c r="O364" s="519">
        <v>61514</v>
      </c>
      <c r="P364" s="506">
        <f t="shared" si="185"/>
        <v>139044</v>
      </c>
      <c r="Q364" s="507">
        <f t="shared" si="186"/>
        <v>4634.8</v>
      </c>
      <c r="R364" s="508">
        <f t="shared" si="187"/>
        <v>133553</v>
      </c>
      <c r="S364" s="509">
        <f t="shared" si="188"/>
        <v>4451.7666666666664</v>
      </c>
      <c r="T364" s="516">
        <v>2388</v>
      </c>
      <c r="U364" s="756">
        <v>2422</v>
      </c>
      <c r="V364" s="506">
        <f t="shared" si="189"/>
        <v>139044</v>
      </c>
      <c r="W364" s="510">
        <f t="shared" si="190"/>
        <v>133553</v>
      </c>
      <c r="X364" s="517"/>
      <c r="Y364" s="618"/>
      <c r="Z364" s="516"/>
      <c r="AA364" s="519"/>
      <c r="AB364" s="516"/>
      <c r="AC364" s="519"/>
      <c r="AD364" s="516"/>
      <c r="AE364" s="519"/>
      <c r="AF364" s="506">
        <f t="shared" si="191"/>
        <v>0</v>
      </c>
      <c r="AG364" s="507">
        <f t="shared" si="192"/>
        <v>0</v>
      </c>
      <c r="AH364" s="508">
        <f t="shared" si="193"/>
        <v>0</v>
      </c>
      <c r="AI364" s="508">
        <f t="shared" si="194"/>
        <v>0</v>
      </c>
      <c r="AJ364" s="516"/>
      <c r="AK364" s="519"/>
      <c r="AL364" s="506">
        <f t="shared" si="195"/>
        <v>0</v>
      </c>
      <c r="AM364" s="509">
        <f t="shared" si="196"/>
        <v>0</v>
      </c>
      <c r="AN364" s="518"/>
      <c r="AO364" s="520"/>
      <c r="AP364" s="516">
        <v>2960</v>
      </c>
      <c r="AQ364" s="520">
        <v>3606</v>
      </c>
      <c r="AR364" s="516">
        <v>1065</v>
      </c>
      <c r="AS364" s="520">
        <v>1038</v>
      </c>
      <c r="AT364" s="516">
        <v>3424</v>
      </c>
      <c r="AU364" s="520">
        <v>3734</v>
      </c>
      <c r="AV364" s="506">
        <f t="shared" si="197"/>
        <v>7449</v>
      </c>
      <c r="AW364" s="511">
        <f t="shared" si="198"/>
        <v>310.375</v>
      </c>
      <c r="AX364" s="508">
        <f t="shared" si="199"/>
        <v>8378</v>
      </c>
      <c r="AY364" s="512">
        <f t="shared" si="200"/>
        <v>349.08333333333331</v>
      </c>
      <c r="AZ364" s="513">
        <f t="shared" si="201"/>
        <v>4945.1750000000002</v>
      </c>
      <c r="BA364" s="508">
        <f t="shared" si="202"/>
        <v>4800.8499999999995</v>
      </c>
    </row>
    <row r="365" spans="1:53" ht="15.75">
      <c r="A365" s="749" t="s">
        <v>452</v>
      </c>
      <c r="B365" s="503" t="s">
        <v>507</v>
      </c>
      <c r="C365" s="621"/>
      <c r="D365" s="622">
        <v>207041</v>
      </c>
      <c r="E365" s="490">
        <v>5</v>
      </c>
      <c r="F365" s="514" t="s">
        <v>41</v>
      </c>
      <c r="G365" s="515" t="s">
        <v>41</v>
      </c>
      <c r="H365" s="516"/>
      <c r="I365" s="519"/>
      <c r="J365" s="516">
        <v>47494</v>
      </c>
      <c r="K365" s="623">
        <v>46437</v>
      </c>
      <c r="L365" s="516">
        <v>9511</v>
      </c>
      <c r="M365" s="624">
        <v>7929</v>
      </c>
      <c r="N365" s="516">
        <v>49659</v>
      </c>
      <c r="O365" s="519">
        <v>48375</v>
      </c>
      <c r="P365" s="506">
        <f t="shared" si="185"/>
        <v>106664</v>
      </c>
      <c r="Q365" s="507">
        <f t="shared" si="186"/>
        <v>3555.4666666666667</v>
      </c>
      <c r="R365" s="508">
        <f t="shared" si="187"/>
        <v>102741</v>
      </c>
      <c r="S365" s="509">
        <f t="shared" si="188"/>
        <v>3424.7</v>
      </c>
      <c r="T365" s="516">
        <v>924</v>
      </c>
      <c r="U365" s="756">
        <v>1013</v>
      </c>
      <c r="V365" s="506">
        <f t="shared" si="189"/>
        <v>106664</v>
      </c>
      <c r="W365" s="510">
        <f t="shared" si="190"/>
        <v>102741</v>
      </c>
      <c r="X365" s="517"/>
      <c r="Y365" s="618"/>
      <c r="Z365" s="516"/>
      <c r="AA365" s="519"/>
      <c r="AB365" s="516"/>
      <c r="AC365" s="519"/>
      <c r="AD365" s="516"/>
      <c r="AE365" s="519"/>
      <c r="AF365" s="506">
        <f t="shared" si="191"/>
        <v>0</v>
      </c>
      <c r="AG365" s="507">
        <f t="shared" si="192"/>
        <v>0</v>
      </c>
      <c r="AH365" s="508">
        <f t="shared" si="193"/>
        <v>0</v>
      </c>
      <c r="AI365" s="508">
        <f t="shared" si="194"/>
        <v>0</v>
      </c>
      <c r="AJ365" s="516"/>
      <c r="AK365" s="519"/>
      <c r="AL365" s="506">
        <f t="shared" si="195"/>
        <v>0</v>
      </c>
      <c r="AM365" s="509">
        <f t="shared" si="196"/>
        <v>0</v>
      </c>
      <c r="AN365" s="518"/>
      <c r="AO365" s="520"/>
      <c r="AP365" s="516">
        <v>5983</v>
      </c>
      <c r="AQ365" s="520">
        <v>6248</v>
      </c>
      <c r="AR365" s="516">
        <v>3886</v>
      </c>
      <c r="AS365" s="520">
        <v>3766</v>
      </c>
      <c r="AT365" s="516">
        <v>5887</v>
      </c>
      <c r="AU365" s="520">
        <v>6269</v>
      </c>
      <c r="AV365" s="506">
        <f t="shared" si="197"/>
        <v>15756</v>
      </c>
      <c r="AW365" s="511">
        <f t="shared" si="198"/>
        <v>656.5</v>
      </c>
      <c r="AX365" s="508">
        <f t="shared" si="199"/>
        <v>16283</v>
      </c>
      <c r="AY365" s="512">
        <f t="shared" si="200"/>
        <v>678.45833333333337</v>
      </c>
      <c r="AZ365" s="513">
        <f t="shared" si="201"/>
        <v>4211.9666666666672</v>
      </c>
      <c r="BA365" s="508">
        <f t="shared" si="202"/>
        <v>4103.1583333333328</v>
      </c>
    </row>
    <row r="366" spans="1:53" ht="15.75">
      <c r="A366" s="749" t="s">
        <v>452</v>
      </c>
      <c r="B366" s="503" t="s">
        <v>508</v>
      </c>
      <c r="C366" s="621"/>
      <c r="D366" s="622">
        <v>207209</v>
      </c>
      <c r="E366" s="490">
        <v>5</v>
      </c>
      <c r="F366" s="514" t="s">
        <v>41</v>
      </c>
      <c r="G366" s="515" t="s">
        <v>41</v>
      </c>
      <c r="H366" s="516"/>
      <c r="I366" s="519"/>
      <c r="J366" s="516">
        <v>27007</v>
      </c>
      <c r="K366" s="623">
        <v>27049</v>
      </c>
      <c r="L366" s="516">
        <v>4709</v>
      </c>
      <c r="M366" s="624">
        <v>3147</v>
      </c>
      <c r="N366" s="516">
        <v>30254</v>
      </c>
      <c r="O366" s="519">
        <v>26360</v>
      </c>
      <c r="P366" s="506">
        <f t="shared" si="185"/>
        <v>61970</v>
      </c>
      <c r="Q366" s="507">
        <f t="shared" si="186"/>
        <v>2065.6666666666665</v>
      </c>
      <c r="R366" s="508">
        <f t="shared" si="187"/>
        <v>56556</v>
      </c>
      <c r="S366" s="509">
        <f t="shared" si="188"/>
        <v>1885.2</v>
      </c>
      <c r="T366" s="516">
        <v>23</v>
      </c>
      <c r="U366" s="756"/>
      <c r="V366" s="506">
        <f t="shared" si="189"/>
        <v>61970</v>
      </c>
      <c r="W366" s="510">
        <f t="shared" si="190"/>
        <v>0</v>
      </c>
      <c r="X366" s="517"/>
      <c r="Y366" s="618"/>
      <c r="Z366" s="516"/>
      <c r="AA366" s="519"/>
      <c r="AB366" s="516"/>
      <c r="AC366" s="519"/>
      <c r="AD366" s="516"/>
      <c r="AE366" s="519"/>
      <c r="AF366" s="506">
        <f t="shared" si="191"/>
        <v>0</v>
      </c>
      <c r="AG366" s="507">
        <f t="shared" si="192"/>
        <v>0</v>
      </c>
      <c r="AH366" s="508">
        <f t="shared" si="193"/>
        <v>0</v>
      </c>
      <c r="AI366" s="508">
        <f t="shared" si="194"/>
        <v>0</v>
      </c>
      <c r="AJ366" s="516"/>
      <c r="AK366" s="519"/>
      <c r="AL366" s="506">
        <f t="shared" si="195"/>
        <v>0</v>
      </c>
      <c r="AM366" s="509">
        <f t="shared" si="196"/>
        <v>0</v>
      </c>
      <c r="AN366" s="518"/>
      <c r="AO366" s="520"/>
      <c r="AP366" s="516">
        <v>3946</v>
      </c>
      <c r="AQ366" s="520">
        <v>3575</v>
      </c>
      <c r="AR366" s="516">
        <v>1925</v>
      </c>
      <c r="AS366" s="520">
        <v>1614</v>
      </c>
      <c r="AT366" s="516">
        <v>4124</v>
      </c>
      <c r="AU366" s="520">
        <v>3147</v>
      </c>
      <c r="AV366" s="506">
        <f t="shared" si="197"/>
        <v>9995</v>
      </c>
      <c r="AW366" s="511">
        <f t="shared" si="198"/>
        <v>416.45833333333331</v>
      </c>
      <c r="AX366" s="508">
        <f t="shared" si="199"/>
        <v>8336</v>
      </c>
      <c r="AY366" s="512">
        <f t="shared" si="200"/>
        <v>347.33333333333331</v>
      </c>
      <c r="AZ366" s="513">
        <f t="shared" si="201"/>
        <v>2482.125</v>
      </c>
      <c r="BA366" s="508">
        <f t="shared" si="202"/>
        <v>2232.5333333333333</v>
      </c>
    </row>
    <row r="367" spans="1:53" ht="15.75">
      <c r="A367" s="620" t="s">
        <v>452</v>
      </c>
      <c r="B367" s="503" t="s">
        <v>509</v>
      </c>
      <c r="C367" s="621"/>
      <c r="D367" s="622">
        <v>207306</v>
      </c>
      <c r="E367" s="490">
        <v>5</v>
      </c>
      <c r="F367" s="514" t="s">
        <v>41</v>
      </c>
      <c r="G367" s="515" t="s">
        <v>41</v>
      </c>
      <c r="H367" s="516"/>
      <c r="I367" s="519"/>
      <c r="J367" s="516">
        <v>25289</v>
      </c>
      <c r="K367" s="623">
        <v>22172</v>
      </c>
      <c r="L367" s="516">
        <v>3916</v>
      </c>
      <c r="M367" s="624">
        <v>3215</v>
      </c>
      <c r="N367" s="516">
        <v>27352</v>
      </c>
      <c r="O367" s="519">
        <v>24835</v>
      </c>
      <c r="P367" s="506">
        <f t="shared" si="185"/>
        <v>56557</v>
      </c>
      <c r="Q367" s="507">
        <f t="shared" si="186"/>
        <v>1885.2333333333333</v>
      </c>
      <c r="R367" s="508">
        <f t="shared" si="187"/>
        <v>50222</v>
      </c>
      <c r="S367" s="509">
        <f t="shared" si="188"/>
        <v>1674.0666666666666</v>
      </c>
      <c r="T367" s="516">
        <v>300</v>
      </c>
      <c r="U367" s="756">
        <v>498</v>
      </c>
      <c r="V367" s="506">
        <f t="shared" si="189"/>
        <v>56557</v>
      </c>
      <c r="W367" s="510">
        <f t="shared" si="190"/>
        <v>50222</v>
      </c>
      <c r="X367" s="517"/>
      <c r="Y367" s="618"/>
      <c r="Z367" s="516"/>
      <c r="AA367" s="519"/>
      <c r="AB367" s="516"/>
      <c r="AC367" s="519"/>
      <c r="AD367" s="516"/>
      <c r="AE367" s="519"/>
      <c r="AF367" s="506">
        <f t="shared" si="191"/>
        <v>0</v>
      </c>
      <c r="AG367" s="507">
        <f t="shared" si="192"/>
        <v>0</v>
      </c>
      <c r="AH367" s="508">
        <f t="shared" si="193"/>
        <v>0</v>
      </c>
      <c r="AI367" s="508">
        <f t="shared" si="194"/>
        <v>0</v>
      </c>
      <c r="AJ367" s="516"/>
      <c r="AK367" s="519"/>
      <c r="AL367" s="506">
        <f t="shared" si="195"/>
        <v>0</v>
      </c>
      <c r="AM367" s="509">
        <f t="shared" si="196"/>
        <v>0</v>
      </c>
      <c r="AN367" s="518"/>
      <c r="AO367" s="520"/>
      <c r="AP367" s="516">
        <v>965</v>
      </c>
      <c r="AQ367" s="520">
        <v>978</v>
      </c>
      <c r="AR367" s="516">
        <v>566</v>
      </c>
      <c r="AS367" s="520">
        <v>787</v>
      </c>
      <c r="AT367" s="516">
        <v>911</v>
      </c>
      <c r="AU367" s="520">
        <v>1061</v>
      </c>
      <c r="AV367" s="506">
        <f t="shared" si="197"/>
        <v>2442</v>
      </c>
      <c r="AW367" s="511">
        <f t="shared" si="198"/>
        <v>101.75</v>
      </c>
      <c r="AX367" s="508">
        <f t="shared" si="199"/>
        <v>2826</v>
      </c>
      <c r="AY367" s="512">
        <f t="shared" si="200"/>
        <v>117.75</v>
      </c>
      <c r="AZ367" s="513">
        <f t="shared" si="201"/>
        <v>1986.9833333333333</v>
      </c>
      <c r="BA367" s="508">
        <f t="shared" si="202"/>
        <v>1791.8166666666666</v>
      </c>
    </row>
    <row r="368" spans="1:53" ht="15.75">
      <c r="A368" s="749" t="s">
        <v>452</v>
      </c>
      <c r="B368" s="503" t="s">
        <v>511</v>
      </c>
      <c r="C368" s="621"/>
      <c r="D368" s="622">
        <v>207865</v>
      </c>
      <c r="E368" s="490">
        <v>5</v>
      </c>
      <c r="F368" s="514" t="s">
        <v>41</v>
      </c>
      <c r="G368" s="515" t="s">
        <v>41</v>
      </c>
      <c r="H368" s="516"/>
      <c r="I368" s="519"/>
      <c r="J368" s="516">
        <v>54953</v>
      </c>
      <c r="K368" s="623">
        <v>50372</v>
      </c>
      <c r="L368" s="516">
        <v>9752</v>
      </c>
      <c r="M368" s="624">
        <v>8626</v>
      </c>
      <c r="N368" s="516">
        <v>60072</v>
      </c>
      <c r="O368" s="519">
        <v>55001</v>
      </c>
      <c r="P368" s="506">
        <f t="shared" si="185"/>
        <v>124777</v>
      </c>
      <c r="Q368" s="507">
        <f t="shared" si="186"/>
        <v>4159.2333333333336</v>
      </c>
      <c r="R368" s="508">
        <f t="shared" si="187"/>
        <v>113999</v>
      </c>
      <c r="S368" s="509">
        <f t="shared" si="188"/>
        <v>3799.9666666666667</v>
      </c>
      <c r="T368" s="516">
        <v>1578</v>
      </c>
      <c r="U368" s="756">
        <v>1434</v>
      </c>
      <c r="V368" s="506">
        <f t="shared" si="189"/>
        <v>124777</v>
      </c>
      <c r="W368" s="510">
        <f t="shared" si="190"/>
        <v>113999</v>
      </c>
      <c r="X368" s="517"/>
      <c r="Y368" s="618"/>
      <c r="Z368" s="516"/>
      <c r="AA368" s="519"/>
      <c r="AB368" s="516"/>
      <c r="AC368" s="519"/>
      <c r="AD368" s="516"/>
      <c r="AE368" s="519"/>
      <c r="AF368" s="506">
        <f t="shared" si="191"/>
        <v>0</v>
      </c>
      <c r="AG368" s="507">
        <f t="shared" si="192"/>
        <v>0</v>
      </c>
      <c r="AH368" s="508">
        <f t="shared" si="193"/>
        <v>0</v>
      </c>
      <c r="AI368" s="508">
        <f t="shared" si="194"/>
        <v>0</v>
      </c>
      <c r="AJ368" s="516"/>
      <c r="AK368" s="519"/>
      <c r="AL368" s="506">
        <f t="shared" si="195"/>
        <v>0</v>
      </c>
      <c r="AM368" s="509">
        <f t="shared" si="196"/>
        <v>0</v>
      </c>
      <c r="AN368" s="518"/>
      <c r="AO368" s="520"/>
      <c r="AP368" s="516">
        <v>5593</v>
      </c>
      <c r="AQ368" s="520">
        <v>8514</v>
      </c>
      <c r="AR368" s="516">
        <v>3039</v>
      </c>
      <c r="AS368" s="520">
        <v>2357</v>
      </c>
      <c r="AT368" s="516">
        <v>5546</v>
      </c>
      <c r="AU368" s="520">
        <v>8610</v>
      </c>
      <c r="AV368" s="506">
        <f t="shared" si="197"/>
        <v>14178</v>
      </c>
      <c r="AW368" s="511">
        <f t="shared" si="198"/>
        <v>590.75</v>
      </c>
      <c r="AX368" s="508">
        <f t="shared" si="199"/>
        <v>19481</v>
      </c>
      <c r="AY368" s="512">
        <f t="shared" si="200"/>
        <v>811.70833333333337</v>
      </c>
      <c r="AZ368" s="513">
        <f t="shared" si="201"/>
        <v>4749.9833333333336</v>
      </c>
      <c r="BA368" s="508">
        <f t="shared" si="202"/>
        <v>4611.6750000000002</v>
      </c>
    </row>
    <row r="369" spans="1:53" ht="15.75">
      <c r="A369" s="749" t="s">
        <v>452</v>
      </c>
      <c r="B369" s="503" t="s">
        <v>512</v>
      </c>
      <c r="C369" s="621"/>
      <c r="D369" s="622">
        <v>207351</v>
      </c>
      <c r="E369" s="490">
        <v>6</v>
      </c>
      <c r="F369" s="514" t="s">
        <v>41</v>
      </c>
      <c r="G369" s="515" t="s">
        <v>41</v>
      </c>
      <c r="H369" s="516"/>
      <c r="I369" s="519"/>
      <c r="J369" s="516">
        <v>16985</v>
      </c>
      <c r="K369" s="623">
        <v>19721</v>
      </c>
      <c r="L369" s="516">
        <v>0</v>
      </c>
      <c r="M369" s="624">
        <v>1777</v>
      </c>
      <c r="N369" s="516">
        <v>19682</v>
      </c>
      <c r="O369" s="519">
        <v>20787</v>
      </c>
      <c r="P369" s="506">
        <f t="shared" si="185"/>
        <v>36667</v>
      </c>
      <c r="Q369" s="507">
        <f t="shared" si="186"/>
        <v>1222.2333333333333</v>
      </c>
      <c r="R369" s="508">
        <f t="shared" si="187"/>
        <v>42285</v>
      </c>
      <c r="S369" s="509">
        <f t="shared" si="188"/>
        <v>1409.5</v>
      </c>
      <c r="T369" s="516">
        <v>531</v>
      </c>
      <c r="U369" s="756">
        <v>27</v>
      </c>
      <c r="V369" s="506">
        <f t="shared" si="189"/>
        <v>36667</v>
      </c>
      <c r="W369" s="510">
        <f t="shared" si="190"/>
        <v>42285</v>
      </c>
      <c r="X369" s="517"/>
      <c r="Y369" s="618"/>
      <c r="Z369" s="516"/>
      <c r="AA369" s="519"/>
      <c r="AB369" s="516"/>
      <c r="AC369" s="519"/>
      <c r="AD369" s="516"/>
      <c r="AE369" s="519"/>
      <c r="AF369" s="506">
        <f t="shared" si="191"/>
        <v>0</v>
      </c>
      <c r="AG369" s="507">
        <f t="shared" si="192"/>
        <v>0</v>
      </c>
      <c r="AH369" s="508">
        <f t="shared" si="193"/>
        <v>0</v>
      </c>
      <c r="AI369" s="508">
        <f t="shared" si="194"/>
        <v>0</v>
      </c>
      <c r="AJ369" s="516"/>
      <c r="AK369" s="519"/>
      <c r="AL369" s="506">
        <f t="shared" si="195"/>
        <v>0</v>
      </c>
      <c r="AM369" s="509">
        <f t="shared" si="196"/>
        <v>0</v>
      </c>
      <c r="AN369" s="518"/>
      <c r="AO369" s="520"/>
      <c r="AP369" s="516"/>
      <c r="AQ369" s="520"/>
      <c r="AR369" s="516"/>
      <c r="AS369" s="520"/>
      <c r="AT369" s="516"/>
      <c r="AU369" s="520"/>
      <c r="AV369" s="506">
        <f t="shared" si="197"/>
        <v>0</v>
      </c>
      <c r="AW369" s="511">
        <f t="shared" si="198"/>
        <v>0</v>
      </c>
      <c r="AX369" s="508">
        <f t="shared" si="199"/>
        <v>0</v>
      </c>
      <c r="AY369" s="512">
        <f t="shared" si="200"/>
        <v>0</v>
      </c>
      <c r="AZ369" s="513">
        <f t="shared" si="201"/>
        <v>1222.2333333333333</v>
      </c>
      <c r="BA369" s="508">
        <f t="shared" si="202"/>
        <v>1409.5</v>
      </c>
    </row>
    <row r="370" spans="1:53" ht="15.75">
      <c r="A370" s="748" t="s">
        <v>452</v>
      </c>
      <c r="B370" s="626" t="s">
        <v>513</v>
      </c>
      <c r="C370" s="627"/>
      <c r="D370" s="500">
        <v>207661</v>
      </c>
      <c r="E370" s="628">
        <v>6</v>
      </c>
      <c r="F370" s="514" t="s">
        <v>41</v>
      </c>
      <c r="G370" s="515" t="s">
        <v>41</v>
      </c>
      <c r="H370" s="516"/>
      <c r="I370" s="519"/>
      <c r="J370" s="516">
        <v>45542</v>
      </c>
      <c r="K370" s="623">
        <v>47320</v>
      </c>
      <c r="L370" s="516">
        <v>7889</v>
      </c>
      <c r="M370" s="624">
        <v>7856</v>
      </c>
      <c r="N370" s="516">
        <v>51415</v>
      </c>
      <c r="O370" s="519">
        <v>69164</v>
      </c>
      <c r="P370" s="506">
        <f t="shared" si="185"/>
        <v>104846</v>
      </c>
      <c r="Q370" s="507">
        <f t="shared" si="186"/>
        <v>3494.8666666666668</v>
      </c>
      <c r="R370" s="508">
        <f t="shared" si="187"/>
        <v>124340</v>
      </c>
      <c r="S370" s="509">
        <f t="shared" si="188"/>
        <v>4144.666666666667</v>
      </c>
      <c r="T370" s="516">
        <v>4439</v>
      </c>
      <c r="U370" s="756">
        <v>4343</v>
      </c>
      <c r="V370" s="506">
        <f t="shared" si="189"/>
        <v>104846</v>
      </c>
      <c r="W370" s="510">
        <f t="shared" si="190"/>
        <v>124340</v>
      </c>
      <c r="X370" s="517"/>
      <c r="Y370" s="618"/>
      <c r="Z370" s="516"/>
      <c r="AA370" s="519"/>
      <c r="AB370" s="516"/>
      <c r="AC370" s="519"/>
      <c r="AD370" s="516"/>
      <c r="AE370" s="519"/>
      <c r="AF370" s="506">
        <f t="shared" si="191"/>
        <v>0</v>
      </c>
      <c r="AG370" s="507">
        <f t="shared" si="192"/>
        <v>0</v>
      </c>
      <c r="AH370" s="508">
        <f t="shared" si="193"/>
        <v>0</v>
      </c>
      <c r="AI370" s="508">
        <f t="shared" si="194"/>
        <v>0</v>
      </c>
      <c r="AJ370" s="516"/>
      <c r="AK370" s="519"/>
      <c r="AL370" s="506">
        <f t="shared" si="195"/>
        <v>0</v>
      </c>
      <c r="AM370" s="509">
        <f t="shared" si="196"/>
        <v>0</v>
      </c>
      <c r="AN370" s="518"/>
      <c r="AO370" s="520"/>
      <c r="AP370" s="516"/>
      <c r="AQ370" s="520"/>
      <c r="AR370" s="516"/>
      <c r="AS370" s="520"/>
      <c r="AT370" s="516"/>
      <c r="AU370" s="520"/>
      <c r="AV370" s="506">
        <f t="shared" si="197"/>
        <v>0</v>
      </c>
      <c r="AW370" s="511">
        <f t="shared" si="198"/>
        <v>0</v>
      </c>
      <c r="AX370" s="508">
        <f t="shared" si="199"/>
        <v>0</v>
      </c>
      <c r="AY370" s="512">
        <f t="shared" si="200"/>
        <v>0</v>
      </c>
      <c r="AZ370" s="513">
        <f t="shared" si="201"/>
        <v>3494.8666666666668</v>
      </c>
      <c r="BA370" s="508">
        <f t="shared" si="202"/>
        <v>4144.666666666667</v>
      </c>
    </row>
    <row r="371" spans="1:53" ht="15.75">
      <c r="A371" s="749" t="s">
        <v>452</v>
      </c>
      <c r="B371" s="503" t="s">
        <v>514</v>
      </c>
      <c r="C371" s="621"/>
      <c r="D371" s="622">
        <v>207722</v>
      </c>
      <c r="E371" s="490">
        <v>6</v>
      </c>
      <c r="F371" s="514" t="s">
        <v>41</v>
      </c>
      <c r="G371" s="515" t="s">
        <v>41</v>
      </c>
      <c r="H371" s="516"/>
      <c r="I371" s="519"/>
      <c r="J371" s="516">
        <v>12170</v>
      </c>
      <c r="K371" s="623">
        <v>11408</v>
      </c>
      <c r="L371" s="516">
        <v>5124</v>
      </c>
      <c r="M371" s="624">
        <v>4533</v>
      </c>
      <c r="N371" s="516">
        <v>13516</v>
      </c>
      <c r="O371" s="519">
        <v>12452</v>
      </c>
      <c r="P371" s="506">
        <f t="shared" si="185"/>
        <v>30810</v>
      </c>
      <c r="Q371" s="507">
        <f t="shared" si="186"/>
        <v>1027</v>
      </c>
      <c r="R371" s="508">
        <f t="shared" si="187"/>
        <v>28393</v>
      </c>
      <c r="S371" s="509">
        <f t="shared" si="188"/>
        <v>946.43333333333328</v>
      </c>
      <c r="T371" s="516">
        <v>107</v>
      </c>
      <c r="U371" s="756">
        <v>81</v>
      </c>
      <c r="V371" s="506">
        <f t="shared" si="189"/>
        <v>30810</v>
      </c>
      <c r="W371" s="510">
        <f t="shared" si="190"/>
        <v>28393</v>
      </c>
      <c r="X371" s="517"/>
      <c r="Y371" s="618"/>
      <c r="Z371" s="516"/>
      <c r="AA371" s="519"/>
      <c r="AB371" s="516"/>
      <c r="AC371" s="519"/>
      <c r="AD371" s="516"/>
      <c r="AE371" s="519"/>
      <c r="AF371" s="506">
        <f t="shared" si="191"/>
        <v>0</v>
      </c>
      <c r="AG371" s="507">
        <f t="shared" si="192"/>
        <v>0</v>
      </c>
      <c r="AH371" s="508">
        <f t="shared" si="193"/>
        <v>0</v>
      </c>
      <c r="AI371" s="508">
        <f t="shared" si="194"/>
        <v>0</v>
      </c>
      <c r="AJ371" s="516"/>
      <c r="AK371" s="519"/>
      <c r="AL371" s="506">
        <f t="shared" si="195"/>
        <v>0</v>
      </c>
      <c r="AM371" s="509">
        <f t="shared" si="196"/>
        <v>0</v>
      </c>
      <c r="AN371" s="518"/>
      <c r="AO371" s="520"/>
      <c r="AP371" s="516"/>
      <c r="AQ371" s="520"/>
      <c r="AR371" s="516"/>
      <c r="AS371" s="520"/>
      <c r="AT371" s="516"/>
      <c r="AU371" s="520"/>
      <c r="AV371" s="506">
        <f t="shared" si="197"/>
        <v>0</v>
      </c>
      <c r="AW371" s="511">
        <f t="shared" si="198"/>
        <v>0</v>
      </c>
      <c r="AX371" s="508">
        <f t="shared" si="199"/>
        <v>0</v>
      </c>
      <c r="AY371" s="512">
        <f t="shared" si="200"/>
        <v>0</v>
      </c>
      <c r="AZ371" s="513">
        <f t="shared" si="201"/>
        <v>1027</v>
      </c>
      <c r="BA371" s="508">
        <f t="shared" si="202"/>
        <v>946.43333333333328</v>
      </c>
    </row>
    <row r="372" spans="1:53" ht="15">
      <c r="A372" s="522" t="s">
        <v>452</v>
      </c>
      <c r="B372" s="523" t="s">
        <v>515</v>
      </c>
      <c r="C372" s="621" t="s">
        <v>529</v>
      </c>
      <c r="D372" s="489">
        <v>207564</v>
      </c>
      <c r="E372" s="536">
        <v>7</v>
      </c>
      <c r="F372" s="514" t="s">
        <v>41</v>
      </c>
      <c r="G372" s="515" t="s">
        <v>41</v>
      </c>
      <c r="H372" s="516"/>
      <c r="I372" s="519"/>
      <c r="J372" s="516">
        <v>33722</v>
      </c>
      <c r="K372" s="630">
        <v>35913</v>
      </c>
      <c r="L372" s="516">
        <v>23376</v>
      </c>
      <c r="M372" s="624">
        <v>23086</v>
      </c>
      <c r="N372" s="516">
        <v>38717</v>
      </c>
      <c r="O372" s="519">
        <v>63107</v>
      </c>
      <c r="P372" s="506">
        <f t="shared" si="185"/>
        <v>95815</v>
      </c>
      <c r="Q372" s="507">
        <f t="shared" si="186"/>
        <v>3193.8333333333335</v>
      </c>
      <c r="R372" s="508">
        <f t="shared" si="187"/>
        <v>122106</v>
      </c>
      <c r="S372" s="509">
        <f t="shared" si="188"/>
        <v>4070.2</v>
      </c>
      <c r="T372" s="516">
        <v>6242</v>
      </c>
      <c r="U372" s="756">
        <v>6935</v>
      </c>
      <c r="V372" s="506">
        <f t="shared" si="189"/>
        <v>95815</v>
      </c>
      <c r="W372" s="510">
        <f t="shared" si="190"/>
        <v>122106</v>
      </c>
      <c r="X372" s="517"/>
      <c r="Y372" s="618"/>
      <c r="Z372" s="516"/>
      <c r="AA372" s="519"/>
      <c r="AB372" s="516"/>
      <c r="AC372" s="519"/>
      <c r="AD372" s="516"/>
      <c r="AE372" s="519"/>
      <c r="AF372" s="506">
        <f t="shared" si="191"/>
        <v>0</v>
      </c>
      <c r="AG372" s="507">
        <f t="shared" si="192"/>
        <v>0</v>
      </c>
      <c r="AH372" s="508">
        <f t="shared" si="193"/>
        <v>0</v>
      </c>
      <c r="AI372" s="508">
        <f t="shared" si="194"/>
        <v>0</v>
      </c>
      <c r="AJ372" s="516"/>
      <c r="AK372" s="519"/>
      <c r="AL372" s="506">
        <f t="shared" si="195"/>
        <v>0</v>
      </c>
      <c r="AM372" s="509">
        <f t="shared" si="196"/>
        <v>0</v>
      </c>
      <c r="AN372" s="518"/>
      <c r="AO372" s="520"/>
      <c r="AP372" s="516"/>
      <c r="AQ372" s="520"/>
      <c r="AR372" s="516"/>
      <c r="AS372" s="520"/>
      <c r="AT372" s="516"/>
      <c r="AU372" s="520"/>
      <c r="AV372" s="506">
        <f t="shared" si="197"/>
        <v>0</v>
      </c>
      <c r="AW372" s="511">
        <f t="shared" si="198"/>
        <v>0</v>
      </c>
      <c r="AX372" s="508">
        <f t="shared" si="199"/>
        <v>0</v>
      </c>
      <c r="AY372" s="512">
        <f t="shared" si="200"/>
        <v>0</v>
      </c>
      <c r="AZ372" s="513">
        <f t="shared" si="201"/>
        <v>3193.8333333333335</v>
      </c>
      <c r="BA372" s="508">
        <f t="shared" si="202"/>
        <v>4070.2</v>
      </c>
    </row>
    <row r="373" spans="1:53" ht="15">
      <c r="A373" s="522" t="s">
        <v>452</v>
      </c>
      <c r="B373" s="503" t="s">
        <v>516</v>
      </c>
      <c r="C373" s="621" t="s">
        <v>530</v>
      </c>
      <c r="D373" s="489">
        <v>207397</v>
      </c>
      <c r="E373" s="635">
        <v>7</v>
      </c>
      <c r="F373" s="514" t="s">
        <v>41</v>
      </c>
      <c r="G373" s="515" t="s">
        <v>41</v>
      </c>
      <c r="H373" s="516"/>
      <c r="I373" s="519"/>
      <c r="J373" s="516">
        <v>72667</v>
      </c>
      <c r="K373" s="630">
        <v>71170</v>
      </c>
      <c r="L373" s="516">
        <v>20321</v>
      </c>
      <c r="M373" s="624">
        <v>20908</v>
      </c>
      <c r="N373" s="516">
        <v>76269</v>
      </c>
      <c r="O373" s="519">
        <v>70785</v>
      </c>
      <c r="P373" s="506">
        <f t="shared" si="185"/>
        <v>169257</v>
      </c>
      <c r="Q373" s="507">
        <f t="shared" si="186"/>
        <v>5641.9</v>
      </c>
      <c r="R373" s="508">
        <f t="shared" si="187"/>
        <v>162863</v>
      </c>
      <c r="S373" s="509">
        <f t="shared" si="188"/>
        <v>5428.7666666666664</v>
      </c>
      <c r="T373" s="516">
        <v>1691</v>
      </c>
      <c r="U373" s="756">
        <v>3298</v>
      </c>
      <c r="V373" s="506">
        <f t="shared" si="189"/>
        <v>169257</v>
      </c>
      <c r="W373" s="510">
        <f t="shared" si="190"/>
        <v>162863</v>
      </c>
      <c r="X373" s="517"/>
      <c r="Y373" s="618"/>
      <c r="Z373" s="516"/>
      <c r="AA373" s="519"/>
      <c r="AB373" s="516"/>
      <c r="AC373" s="519"/>
      <c r="AD373" s="516"/>
      <c r="AE373" s="519"/>
      <c r="AF373" s="506">
        <f t="shared" si="191"/>
        <v>0</v>
      </c>
      <c r="AG373" s="507">
        <f t="shared" si="192"/>
        <v>0</v>
      </c>
      <c r="AH373" s="508">
        <f t="shared" si="193"/>
        <v>0</v>
      </c>
      <c r="AI373" s="508">
        <f t="shared" si="194"/>
        <v>0</v>
      </c>
      <c r="AJ373" s="516"/>
      <c r="AK373" s="519"/>
      <c r="AL373" s="506">
        <f t="shared" si="195"/>
        <v>0</v>
      </c>
      <c r="AM373" s="509">
        <f t="shared" si="196"/>
        <v>0</v>
      </c>
      <c r="AN373" s="518"/>
      <c r="AO373" s="520"/>
      <c r="AP373" s="516"/>
      <c r="AQ373" s="520"/>
      <c r="AR373" s="516"/>
      <c r="AS373" s="520"/>
      <c r="AT373" s="836">
        <v>54</v>
      </c>
      <c r="AU373" s="520"/>
      <c r="AV373" s="506">
        <f t="shared" si="197"/>
        <v>54</v>
      </c>
      <c r="AW373" s="511">
        <f t="shared" si="198"/>
        <v>2.25</v>
      </c>
      <c r="AX373" s="508">
        <f t="shared" si="199"/>
        <v>0</v>
      </c>
      <c r="AY373" s="512">
        <f t="shared" si="200"/>
        <v>0</v>
      </c>
      <c r="AZ373" s="513">
        <f t="shared" si="201"/>
        <v>5644.15</v>
      </c>
      <c r="BA373" s="508">
        <f t="shared" si="202"/>
        <v>5428.7666666666664</v>
      </c>
    </row>
    <row r="374" spans="1:53" ht="15.75">
      <c r="A374" s="522" t="s">
        <v>452</v>
      </c>
      <c r="B374" s="525" t="s">
        <v>517</v>
      </c>
      <c r="C374" s="621"/>
      <c r="D374" s="489">
        <v>207449</v>
      </c>
      <c r="E374" s="536">
        <v>8</v>
      </c>
      <c r="F374" s="514" t="s">
        <v>41</v>
      </c>
      <c r="G374" s="515" t="s">
        <v>41</v>
      </c>
      <c r="H374" s="516"/>
      <c r="I374" s="519"/>
      <c r="J374" s="516">
        <v>125945</v>
      </c>
      <c r="K374" s="632">
        <v>120354</v>
      </c>
      <c r="L374" s="516">
        <v>34792</v>
      </c>
      <c r="M374" s="624">
        <v>32182</v>
      </c>
      <c r="N374" s="516">
        <v>133275</v>
      </c>
      <c r="O374" s="519">
        <v>122469</v>
      </c>
      <c r="P374" s="506">
        <f t="shared" si="185"/>
        <v>294012</v>
      </c>
      <c r="Q374" s="507">
        <f t="shared" si="186"/>
        <v>9800.4</v>
      </c>
      <c r="R374" s="508">
        <f t="shared" si="187"/>
        <v>275005</v>
      </c>
      <c r="S374" s="509">
        <f t="shared" si="188"/>
        <v>9166.8333333333339</v>
      </c>
      <c r="T374" s="516">
        <v>19475</v>
      </c>
      <c r="U374" s="756">
        <v>11026</v>
      </c>
      <c r="V374" s="506">
        <f t="shared" si="189"/>
        <v>294012</v>
      </c>
      <c r="W374" s="510">
        <f t="shared" si="190"/>
        <v>275005</v>
      </c>
      <c r="X374" s="517"/>
      <c r="Y374" s="618"/>
      <c r="Z374" s="516"/>
      <c r="AA374" s="519"/>
      <c r="AB374" s="516"/>
      <c r="AC374" s="519"/>
      <c r="AD374" s="516"/>
      <c r="AE374" s="519"/>
      <c r="AF374" s="506">
        <f t="shared" si="191"/>
        <v>0</v>
      </c>
      <c r="AG374" s="507">
        <f t="shared" si="192"/>
        <v>0</v>
      </c>
      <c r="AH374" s="508">
        <f t="shared" si="193"/>
        <v>0</v>
      </c>
      <c r="AI374" s="508">
        <f t="shared" si="194"/>
        <v>0</v>
      </c>
      <c r="AJ374" s="516"/>
      <c r="AK374" s="519"/>
      <c r="AL374" s="506">
        <f t="shared" si="195"/>
        <v>0</v>
      </c>
      <c r="AM374" s="509">
        <f t="shared" si="196"/>
        <v>0</v>
      </c>
      <c r="AN374" s="518"/>
      <c r="AO374" s="520"/>
      <c r="AP374" s="516"/>
      <c r="AQ374" s="520"/>
      <c r="AR374" s="516"/>
      <c r="AS374" s="520"/>
      <c r="AT374" s="516"/>
      <c r="AU374" s="520"/>
      <c r="AV374" s="506">
        <f t="shared" si="197"/>
        <v>0</v>
      </c>
      <c r="AW374" s="511">
        <f t="shared" si="198"/>
        <v>0</v>
      </c>
      <c r="AX374" s="508">
        <f t="shared" si="199"/>
        <v>0</v>
      </c>
      <c r="AY374" s="512">
        <f t="shared" si="200"/>
        <v>0</v>
      </c>
      <c r="AZ374" s="513">
        <f t="shared" si="201"/>
        <v>9800.4</v>
      </c>
      <c r="BA374" s="508">
        <f t="shared" si="202"/>
        <v>9166.8333333333339</v>
      </c>
    </row>
    <row r="375" spans="1:53" ht="15.75">
      <c r="A375" s="522" t="s">
        <v>452</v>
      </c>
      <c r="B375" s="503" t="s">
        <v>518</v>
      </c>
      <c r="C375" s="631"/>
      <c r="D375" s="489">
        <v>207670</v>
      </c>
      <c r="E375" s="635">
        <v>8</v>
      </c>
      <c r="F375" s="514" t="s">
        <v>41</v>
      </c>
      <c r="G375" s="515" t="s">
        <v>41</v>
      </c>
      <c r="H375" s="516"/>
      <c r="I375" s="519"/>
      <c r="J375" s="516">
        <v>71497</v>
      </c>
      <c r="K375" s="632">
        <v>67236</v>
      </c>
      <c r="L375" s="516">
        <v>18714</v>
      </c>
      <c r="M375" s="624">
        <v>15835</v>
      </c>
      <c r="N375" s="516">
        <v>71795</v>
      </c>
      <c r="O375" s="519">
        <v>69916</v>
      </c>
      <c r="P375" s="506">
        <f t="shared" si="185"/>
        <v>162006</v>
      </c>
      <c r="Q375" s="507">
        <f t="shared" si="186"/>
        <v>5400.2</v>
      </c>
      <c r="R375" s="508">
        <f t="shared" si="187"/>
        <v>152987</v>
      </c>
      <c r="S375" s="509">
        <f t="shared" si="188"/>
        <v>5099.5666666666666</v>
      </c>
      <c r="T375" s="516">
        <v>3652</v>
      </c>
      <c r="U375" s="756">
        <v>4372</v>
      </c>
      <c r="V375" s="506">
        <f t="shared" si="189"/>
        <v>162006</v>
      </c>
      <c r="W375" s="510">
        <f t="shared" si="190"/>
        <v>152987</v>
      </c>
      <c r="X375" s="517"/>
      <c r="Y375" s="618"/>
      <c r="Z375" s="516"/>
      <c r="AA375" s="519"/>
      <c r="AB375" s="516"/>
      <c r="AC375" s="519"/>
      <c r="AD375" s="516"/>
      <c r="AE375" s="519"/>
      <c r="AF375" s="506">
        <f t="shared" si="191"/>
        <v>0</v>
      </c>
      <c r="AG375" s="507">
        <f t="shared" si="192"/>
        <v>0</v>
      </c>
      <c r="AH375" s="508">
        <f t="shared" si="193"/>
        <v>0</v>
      </c>
      <c r="AI375" s="508">
        <f t="shared" si="194"/>
        <v>0</v>
      </c>
      <c r="AJ375" s="516"/>
      <c r="AK375" s="519"/>
      <c r="AL375" s="506">
        <f t="shared" si="195"/>
        <v>0</v>
      </c>
      <c r="AM375" s="509">
        <f t="shared" si="196"/>
        <v>0</v>
      </c>
      <c r="AN375" s="518"/>
      <c r="AO375" s="520"/>
      <c r="AP375" s="516"/>
      <c r="AQ375" s="520"/>
      <c r="AR375" s="516"/>
      <c r="AS375" s="520"/>
      <c r="AT375" s="516"/>
      <c r="AU375" s="520"/>
      <c r="AV375" s="506">
        <f t="shared" si="197"/>
        <v>0</v>
      </c>
      <c r="AW375" s="511">
        <f t="shared" si="198"/>
        <v>0</v>
      </c>
      <c r="AX375" s="508">
        <f t="shared" si="199"/>
        <v>0</v>
      </c>
      <c r="AY375" s="512">
        <f t="shared" si="200"/>
        <v>0</v>
      </c>
      <c r="AZ375" s="513">
        <f t="shared" si="201"/>
        <v>5400.2</v>
      </c>
      <c r="BA375" s="508">
        <f t="shared" si="202"/>
        <v>5099.5666666666666</v>
      </c>
    </row>
    <row r="376" spans="1:53" ht="15.75">
      <c r="A376" s="522" t="s">
        <v>452</v>
      </c>
      <c r="B376" s="523" t="s">
        <v>519</v>
      </c>
      <c r="C376" s="621"/>
      <c r="D376" s="489">
        <v>207935</v>
      </c>
      <c r="E376" s="536">
        <v>8</v>
      </c>
      <c r="F376" s="514" t="s">
        <v>41</v>
      </c>
      <c r="G376" s="515" t="s">
        <v>41</v>
      </c>
      <c r="H376" s="516"/>
      <c r="I376" s="519"/>
      <c r="J376" s="516">
        <v>168178</v>
      </c>
      <c r="K376" s="623">
        <v>165422</v>
      </c>
      <c r="L376" s="516">
        <v>49710</v>
      </c>
      <c r="M376" s="624">
        <v>47844</v>
      </c>
      <c r="N376" s="516">
        <v>179122</v>
      </c>
      <c r="O376" s="519">
        <v>169640</v>
      </c>
      <c r="P376" s="506">
        <f t="shared" si="185"/>
        <v>397010</v>
      </c>
      <c r="Q376" s="507">
        <f t="shared" si="186"/>
        <v>13233.666666666666</v>
      </c>
      <c r="R376" s="508">
        <f t="shared" si="187"/>
        <v>382906</v>
      </c>
      <c r="S376" s="509">
        <f t="shared" si="188"/>
        <v>12763.533333333333</v>
      </c>
      <c r="T376" s="516">
        <v>13897</v>
      </c>
      <c r="U376" s="756">
        <v>14477</v>
      </c>
      <c r="V376" s="506">
        <f t="shared" si="189"/>
        <v>397010</v>
      </c>
      <c r="W376" s="510">
        <f t="shared" si="190"/>
        <v>382906</v>
      </c>
      <c r="X376" s="517"/>
      <c r="Y376" s="618"/>
      <c r="Z376" s="516"/>
      <c r="AA376" s="519"/>
      <c r="AB376" s="516"/>
      <c r="AC376" s="519"/>
      <c r="AD376" s="516"/>
      <c r="AE376" s="519"/>
      <c r="AF376" s="506">
        <f t="shared" si="191"/>
        <v>0</v>
      </c>
      <c r="AG376" s="507">
        <f t="shared" si="192"/>
        <v>0</v>
      </c>
      <c r="AH376" s="508">
        <f t="shared" si="193"/>
        <v>0</v>
      </c>
      <c r="AI376" s="508">
        <f t="shared" si="194"/>
        <v>0</v>
      </c>
      <c r="AJ376" s="516"/>
      <c r="AK376" s="519"/>
      <c r="AL376" s="506">
        <f t="shared" si="195"/>
        <v>0</v>
      </c>
      <c r="AM376" s="509">
        <f t="shared" si="196"/>
        <v>0</v>
      </c>
      <c r="AN376" s="518"/>
      <c r="AO376" s="520"/>
      <c r="AP376" s="516"/>
      <c r="AQ376" s="520"/>
      <c r="AR376" s="516"/>
      <c r="AS376" s="520"/>
      <c r="AT376" s="516"/>
      <c r="AU376" s="520"/>
      <c r="AV376" s="506">
        <f t="shared" si="197"/>
        <v>0</v>
      </c>
      <c r="AW376" s="511">
        <f t="shared" si="198"/>
        <v>0</v>
      </c>
      <c r="AX376" s="508">
        <f t="shared" si="199"/>
        <v>0</v>
      </c>
      <c r="AY376" s="512">
        <f t="shared" si="200"/>
        <v>0</v>
      </c>
      <c r="AZ376" s="513">
        <f t="shared" si="201"/>
        <v>13233.666666666666</v>
      </c>
      <c r="BA376" s="508">
        <f t="shared" si="202"/>
        <v>12763.533333333333</v>
      </c>
    </row>
    <row r="377" spans="1:53" ht="15.75">
      <c r="A377" s="629" t="s">
        <v>452</v>
      </c>
      <c r="B377" s="503" t="s">
        <v>521</v>
      </c>
      <c r="C377" s="633" t="s">
        <v>531</v>
      </c>
      <c r="D377" s="489">
        <v>206923</v>
      </c>
      <c r="E377" s="636">
        <v>9</v>
      </c>
      <c r="F377" s="514" t="s">
        <v>41</v>
      </c>
      <c r="G377" s="515" t="s">
        <v>41</v>
      </c>
      <c r="H377" s="516"/>
      <c r="I377" s="519"/>
      <c r="J377" s="516">
        <v>28041</v>
      </c>
      <c r="K377" s="632">
        <v>28774</v>
      </c>
      <c r="L377" s="516">
        <v>5656</v>
      </c>
      <c r="M377" s="624">
        <v>4168</v>
      </c>
      <c r="N377" s="516">
        <v>29644</v>
      </c>
      <c r="O377" s="519">
        <v>29971</v>
      </c>
      <c r="P377" s="506">
        <f t="shared" si="185"/>
        <v>63341</v>
      </c>
      <c r="Q377" s="507">
        <f t="shared" si="186"/>
        <v>2111.3666666666668</v>
      </c>
      <c r="R377" s="508">
        <f t="shared" si="187"/>
        <v>62913</v>
      </c>
      <c r="S377" s="509">
        <f t="shared" si="188"/>
        <v>2097.1</v>
      </c>
      <c r="T377" s="516">
        <v>2257</v>
      </c>
      <c r="U377" s="756">
        <v>2406</v>
      </c>
      <c r="V377" s="506">
        <f t="shared" si="189"/>
        <v>63341</v>
      </c>
      <c r="W377" s="510">
        <f t="shared" si="190"/>
        <v>62913</v>
      </c>
      <c r="X377" s="517"/>
      <c r="Y377" s="618"/>
      <c r="Z377" s="516"/>
      <c r="AA377" s="519"/>
      <c r="AB377" s="516"/>
      <c r="AC377" s="519"/>
      <c r="AD377" s="516"/>
      <c r="AE377" s="519"/>
      <c r="AF377" s="506">
        <f t="shared" si="191"/>
        <v>0</v>
      </c>
      <c r="AG377" s="507">
        <f t="shared" si="192"/>
        <v>0</v>
      </c>
      <c r="AH377" s="508">
        <f t="shared" si="193"/>
        <v>0</v>
      </c>
      <c r="AI377" s="508">
        <f t="shared" si="194"/>
        <v>0</v>
      </c>
      <c r="AJ377" s="516"/>
      <c r="AK377" s="519"/>
      <c r="AL377" s="506">
        <f t="shared" si="195"/>
        <v>0</v>
      </c>
      <c r="AM377" s="509">
        <f t="shared" si="196"/>
        <v>0</v>
      </c>
      <c r="AN377" s="518"/>
      <c r="AO377" s="520"/>
      <c r="AP377" s="516"/>
      <c r="AQ377" s="520"/>
      <c r="AR377" s="516"/>
      <c r="AS377" s="520"/>
      <c r="AT377" s="516"/>
      <c r="AU377" s="520"/>
      <c r="AV377" s="506">
        <f t="shared" si="197"/>
        <v>0</v>
      </c>
      <c r="AW377" s="511">
        <f t="shared" si="198"/>
        <v>0</v>
      </c>
      <c r="AX377" s="508">
        <f t="shared" si="199"/>
        <v>0</v>
      </c>
      <c r="AY377" s="512">
        <f t="shared" si="200"/>
        <v>0</v>
      </c>
      <c r="AZ377" s="513">
        <f t="shared" si="201"/>
        <v>2111.3666666666668</v>
      </c>
      <c r="BA377" s="508">
        <f t="shared" si="202"/>
        <v>2097.1</v>
      </c>
    </row>
    <row r="378" spans="1:53" ht="15.75">
      <c r="A378" s="522" t="s">
        <v>452</v>
      </c>
      <c r="B378" s="525" t="s">
        <v>520</v>
      </c>
      <c r="C378" s="621"/>
      <c r="D378" s="489">
        <v>207281</v>
      </c>
      <c r="E378" s="536">
        <v>9</v>
      </c>
      <c r="F378" s="514" t="s">
        <v>41</v>
      </c>
      <c r="G378" s="515" t="s">
        <v>41</v>
      </c>
      <c r="H378" s="516"/>
      <c r="I378" s="519"/>
      <c r="J378" s="516">
        <v>51117</v>
      </c>
      <c r="K378" s="623">
        <v>49789</v>
      </c>
      <c r="L378" s="516">
        <v>15509</v>
      </c>
      <c r="M378" s="157">
        <v>6950</v>
      </c>
      <c r="N378" s="516">
        <v>53704</v>
      </c>
      <c r="O378" s="519">
        <v>31427</v>
      </c>
      <c r="P378" s="506">
        <f t="shared" si="185"/>
        <v>120330</v>
      </c>
      <c r="Q378" s="507">
        <f t="shared" si="186"/>
        <v>4011</v>
      </c>
      <c r="R378" s="508">
        <f t="shared" si="187"/>
        <v>88166</v>
      </c>
      <c r="S378" s="509">
        <f t="shared" si="188"/>
        <v>2938.8666666666668</v>
      </c>
      <c r="T378" s="516">
        <v>6788</v>
      </c>
      <c r="U378" s="756">
        <v>6566</v>
      </c>
      <c r="V378" s="506">
        <f t="shared" si="189"/>
        <v>120330</v>
      </c>
      <c r="W378" s="510">
        <f t="shared" si="190"/>
        <v>88166</v>
      </c>
      <c r="X378" s="517"/>
      <c r="Y378" s="618"/>
      <c r="Z378" s="516"/>
      <c r="AA378" s="519"/>
      <c r="AB378" s="516"/>
      <c r="AC378" s="519"/>
      <c r="AD378" s="516"/>
      <c r="AE378" s="519"/>
      <c r="AF378" s="506">
        <f t="shared" si="191"/>
        <v>0</v>
      </c>
      <c r="AG378" s="507">
        <f t="shared" si="192"/>
        <v>0</v>
      </c>
      <c r="AH378" s="508">
        <f t="shared" si="193"/>
        <v>0</v>
      </c>
      <c r="AI378" s="508">
        <f t="shared" si="194"/>
        <v>0</v>
      </c>
      <c r="AJ378" s="516"/>
      <c r="AK378" s="519"/>
      <c r="AL378" s="506">
        <f t="shared" si="195"/>
        <v>0</v>
      </c>
      <c r="AM378" s="509">
        <f t="shared" si="196"/>
        <v>0</v>
      </c>
      <c r="AN378" s="518"/>
      <c r="AO378" s="520"/>
      <c r="AP378" s="516"/>
      <c r="AQ378" s="520"/>
      <c r="AR378" s="516"/>
      <c r="AS378" s="520"/>
      <c r="AT378" s="516"/>
      <c r="AU378" s="520"/>
      <c r="AV378" s="506">
        <f t="shared" si="197"/>
        <v>0</v>
      </c>
      <c r="AW378" s="511">
        <f t="shared" si="198"/>
        <v>0</v>
      </c>
      <c r="AX378" s="508">
        <f t="shared" si="199"/>
        <v>0</v>
      </c>
      <c r="AY378" s="512">
        <f t="shared" si="200"/>
        <v>0</v>
      </c>
      <c r="AZ378" s="513">
        <f t="shared" si="201"/>
        <v>4011</v>
      </c>
      <c r="BA378" s="508">
        <f t="shared" si="202"/>
        <v>2938.8666666666668</v>
      </c>
    </row>
    <row r="379" spans="1:53" ht="15.75">
      <c r="A379" s="522" t="s">
        <v>452</v>
      </c>
      <c r="B379" s="523" t="s">
        <v>522</v>
      </c>
      <c r="C379" s="621" t="s">
        <v>529</v>
      </c>
      <c r="D379" s="489">
        <v>206996</v>
      </c>
      <c r="E379" s="536">
        <v>10</v>
      </c>
      <c r="F379" s="514" t="s">
        <v>41</v>
      </c>
      <c r="G379" s="515" t="s">
        <v>41</v>
      </c>
      <c r="H379" s="516"/>
      <c r="I379" s="519"/>
      <c r="J379" s="516">
        <v>25793</v>
      </c>
      <c r="K379" s="623">
        <v>29393</v>
      </c>
      <c r="L379" s="516">
        <v>5076</v>
      </c>
      <c r="M379" s="624"/>
      <c r="N379" s="516">
        <v>26261</v>
      </c>
      <c r="O379" s="519">
        <v>32097</v>
      </c>
      <c r="P379" s="506">
        <f t="shared" si="185"/>
        <v>57130</v>
      </c>
      <c r="Q379" s="507">
        <f t="shared" si="186"/>
        <v>1904.3333333333333</v>
      </c>
      <c r="R379" s="508">
        <f t="shared" si="187"/>
        <v>61490</v>
      </c>
      <c r="S379" s="509">
        <f t="shared" si="188"/>
        <v>2049.6666666666665</v>
      </c>
      <c r="T379" s="516">
        <v>1770</v>
      </c>
      <c r="U379" s="756">
        <v>1409</v>
      </c>
      <c r="V379" s="506">
        <f t="shared" si="189"/>
        <v>57130</v>
      </c>
      <c r="W379" s="510">
        <f t="shared" si="190"/>
        <v>61490</v>
      </c>
      <c r="X379" s="517"/>
      <c r="Y379" s="618"/>
      <c r="Z379" s="516"/>
      <c r="AA379" s="519"/>
      <c r="AB379" s="516"/>
      <c r="AC379" s="519"/>
      <c r="AD379" s="516"/>
      <c r="AE379" s="519"/>
      <c r="AF379" s="506">
        <f t="shared" si="191"/>
        <v>0</v>
      </c>
      <c r="AG379" s="507">
        <f t="shared" si="192"/>
        <v>0</v>
      </c>
      <c r="AH379" s="508">
        <f t="shared" si="193"/>
        <v>0</v>
      </c>
      <c r="AI379" s="508">
        <f t="shared" si="194"/>
        <v>0</v>
      </c>
      <c r="AJ379" s="516"/>
      <c r="AK379" s="519"/>
      <c r="AL379" s="506">
        <f t="shared" si="195"/>
        <v>0</v>
      </c>
      <c r="AM379" s="509">
        <f t="shared" si="196"/>
        <v>0</v>
      </c>
      <c r="AN379" s="518"/>
      <c r="AO379" s="520"/>
      <c r="AP379" s="516"/>
      <c r="AQ379" s="520"/>
      <c r="AR379" s="516"/>
      <c r="AS379" s="520"/>
      <c r="AT379" s="516"/>
      <c r="AU379" s="520"/>
      <c r="AV379" s="506">
        <f t="shared" si="197"/>
        <v>0</v>
      </c>
      <c r="AW379" s="511">
        <f t="shared" si="198"/>
        <v>0</v>
      </c>
      <c r="AX379" s="508">
        <f t="shared" si="199"/>
        <v>0</v>
      </c>
      <c r="AY379" s="512">
        <f t="shared" si="200"/>
        <v>0</v>
      </c>
      <c r="AZ379" s="513">
        <f t="shared" si="201"/>
        <v>1904.3333333333333</v>
      </c>
      <c r="BA379" s="508">
        <f t="shared" si="202"/>
        <v>2049.6666666666665</v>
      </c>
    </row>
    <row r="380" spans="1:53" ht="15.75">
      <c r="A380" s="522" t="s">
        <v>452</v>
      </c>
      <c r="B380" s="523" t="s">
        <v>523</v>
      </c>
      <c r="C380" s="621"/>
      <c r="D380" s="489">
        <v>207050</v>
      </c>
      <c r="E380" s="536">
        <v>10</v>
      </c>
      <c r="F380" s="514" t="s">
        <v>41</v>
      </c>
      <c r="G380" s="515" t="s">
        <v>41</v>
      </c>
      <c r="H380" s="516"/>
      <c r="I380" s="519"/>
      <c r="J380" s="516">
        <v>20733</v>
      </c>
      <c r="K380" s="623">
        <v>19429</v>
      </c>
      <c r="L380" s="516">
        <v>4060</v>
      </c>
      <c r="M380" s="624">
        <v>3195</v>
      </c>
      <c r="N380" s="516">
        <v>20564</v>
      </c>
      <c r="O380" s="519">
        <v>25914</v>
      </c>
      <c r="P380" s="506">
        <f t="shared" si="185"/>
        <v>45357</v>
      </c>
      <c r="Q380" s="507">
        <f t="shared" si="186"/>
        <v>1511.9</v>
      </c>
      <c r="R380" s="508">
        <f t="shared" si="187"/>
        <v>48538</v>
      </c>
      <c r="S380" s="509">
        <f t="shared" si="188"/>
        <v>1617.9333333333334</v>
      </c>
      <c r="T380" s="516">
        <v>2828</v>
      </c>
      <c r="U380" s="756">
        <v>3338</v>
      </c>
      <c r="V380" s="506">
        <f t="shared" si="189"/>
        <v>45357</v>
      </c>
      <c r="W380" s="510">
        <f t="shared" si="190"/>
        <v>48538</v>
      </c>
      <c r="X380" s="517"/>
      <c r="Y380" s="618"/>
      <c r="Z380" s="516"/>
      <c r="AA380" s="519"/>
      <c r="AB380" s="516"/>
      <c r="AC380" s="519"/>
      <c r="AD380" s="516"/>
      <c r="AE380" s="519"/>
      <c r="AF380" s="506">
        <f t="shared" si="191"/>
        <v>0</v>
      </c>
      <c r="AG380" s="507">
        <f t="shared" si="192"/>
        <v>0</v>
      </c>
      <c r="AH380" s="508">
        <f t="shared" si="193"/>
        <v>0</v>
      </c>
      <c r="AI380" s="508">
        <f t="shared" si="194"/>
        <v>0</v>
      </c>
      <c r="AJ380" s="516"/>
      <c r="AK380" s="519"/>
      <c r="AL380" s="506">
        <f t="shared" si="195"/>
        <v>0</v>
      </c>
      <c r="AM380" s="509">
        <f t="shared" si="196"/>
        <v>0</v>
      </c>
      <c r="AN380" s="518"/>
      <c r="AO380" s="520"/>
      <c r="AP380" s="516"/>
      <c r="AQ380" s="520"/>
      <c r="AR380" s="516"/>
      <c r="AS380" s="520"/>
      <c r="AT380" s="516"/>
      <c r="AU380" s="520"/>
      <c r="AV380" s="506">
        <f t="shared" si="197"/>
        <v>0</v>
      </c>
      <c r="AW380" s="511">
        <f t="shared" si="198"/>
        <v>0</v>
      </c>
      <c r="AX380" s="508">
        <f t="shared" si="199"/>
        <v>0</v>
      </c>
      <c r="AY380" s="512">
        <f t="shared" si="200"/>
        <v>0</v>
      </c>
      <c r="AZ380" s="513">
        <f t="shared" si="201"/>
        <v>1511.9</v>
      </c>
      <c r="BA380" s="508">
        <f t="shared" si="202"/>
        <v>1617.9333333333334</v>
      </c>
    </row>
    <row r="381" spans="1:53" ht="15.75">
      <c r="A381" s="522" t="s">
        <v>452</v>
      </c>
      <c r="B381" s="503" t="s">
        <v>524</v>
      </c>
      <c r="C381" s="621"/>
      <c r="D381" s="489">
        <v>207236</v>
      </c>
      <c r="E381" s="536">
        <v>10</v>
      </c>
      <c r="F381" s="514" t="s">
        <v>41</v>
      </c>
      <c r="G381" s="515" t="s">
        <v>41</v>
      </c>
      <c r="H381" s="516"/>
      <c r="I381" s="519"/>
      <c r="J381" s="516">
        <v>27511</v>
      </c>
      <c r="K381" s="623">
        <v>25180</v>
      </c>
      <c r="L381" s="516">
        <v>5120</v>
      </c>
      <c r="M381" s="624">
        <v>4778</v>
      </c>
      <c r="N381" s="516">
        <v>26573</v>
      </c>
      <c r="O381" s="625">
        <v>20574</v>
      </c>
      <c r="P381" s="506">
        <f t="shared" si="185"/>
        <v>59204</v>
      </c>
      <c r="Q381" s="507">
        <f t="shared" si="186"/>
        <v>1973.4666666666667</v>
      </c>
      <c r="R381" s="508">
        <f t="shared" si="187"/>
        <v>50532</v>
      </c>
      <c r="S381" s="509">
        <f t="shared" si="188"/>
        <v>1684.4</v>
      </c>
      <c r="T381" s="516">
        <v>4433</v>
      </c>
      <c r="U381" s="756">
        <v>4680</v>
      </c>
      <c r="V381" s="506">
        <f t="shared" si="189"/>
        <v>59204</v>
      </c>
      <c r="W381" s="510">
        <f t="shared" si="190"/>
        <v>50532</v>
      </c>
      <c r="X381" s="517"/>
      <c r="Y381" s="618"/>
      <c r="Z381" s="516"/>
      <c r="AA381" s="519"/>
      <c r="AB381" s="516"/>
      <c r="AC381" s="519"/>
      <c r="AD381" s="516"/>
      <c r="AE381" s="519"/>
      <c r="AF381" s="506">
        <f t="shared" si="191"/>
        <v>0</v>
      </c>
      <c r="AG381" s="507">
        <f t="shared" si="192"/>
        <v>0</v>
      </c>
      <c r="AH381" s="508">
        <f t="shared" si="193"/>
        <v>0</v>
      </c>
      <c r="AI381" s="508">
        <f t="shared" si="194"/>
        <v>0</v>
      </c>
      <c r="AJ381" s="516"/>
      <c r="AK381" s="519"/>
      <c r="AL381" s="506">
        <f t="shared" si="195"/>
        <v>0</v>
      </c>
      <c r="AM381" s="509">
        <f t="shared" si="196"/>
        <v>0</v>
      </c>
      <c r="AN381" s="518"/>
      <c r="AO381" s="520"/>
      <c r="AP381" s="516"/>
      <c r="AQ381" s="520"/>
      <c r="AR381" s="516"/>
      <c r="AS381" s="520"/>
      <c r="AT381" s="516"/>
      <c r="AU381" s="520"/>
      <c r="AV381" s="506">
        <f t="shared" si="197"/>
        <v>0</v>
      </c>
      <c r="AW381" s="511">
        <f t="shared" si="198"/>
        <v>0</v>
      </c>
      <c r="AX381" s="508">
        <f t="shared" si="199"/>
        <v>0</v>
      </c>
      <c r="AY381" s="512">
        <f t="shared" si="200"/>
        <v>0</v>
      </c>
      <c r="AZ381" s="513">
        <f t="shared" si="201"/>
        <v>1973.4666666666667</v>
      </c>
      <c r="BA381" s="508">
        <f t="shared" si="202"/>
        <v>1684.4</v>
      </c>
    </row>
    <row r="382" spans="1:53" ht="15.75">
      <c r="A382" s="522" t="s">
        <v>452</v>
      </c>
      <c r="B382" s="523" t="s">
        <v>525</v>
      </c>
      <c r="C382" s="621"/>
      <c r="D382" s="489">
        <v>207290</v>
      </c>
      <c r="E382" s="536">
        <v>10</v>
      </c>
      <c r="F382" s="514" t="s">
        <v>41</v>
      </c>
      <c r="G382" s="515" t="s">
        <v>41</v>
      </c>
      <c r="H382" s="516"/>
      <c r="I382" s="519"/>
      <c r="J382" s="516">
        <v>26454</v>
      </c>
      <c r="K382" s="623">
        <v>27681</v>
      </c>
      <c r="L382" s="516">
        <v>5227</v>
      </c>
      <c r="M382" s="624">
        <v>3957</v>
      </c>
      <c r="N382" s="516">
        <v>31953</v>
      </c>
      <c r="O382" s="625">
        <v>26273</v>
      </c>
      <c r="P382" s="506">
        <f t="shared" si="185"/>
        <v>63634</v>
      </c>
      <c r="Q382" s="507">
        <f t="shared" si="186"/>
        <v>2121.1333333333332</v>
      </c>
      <c r="R382" s="508">
        <f t="shared" si="187"/>
        <v>57911</v>
      </c>
      <c r="S382" s="509">
        <f t="shared" si="188"/>
        <v>1930.3666666666666</v>
      </c>
      <c r="T382" s="516">
        <v>2297</v>
      </c>
      <c r="U382" s="756">
        <v>1902</v>
      </c>
      <c r="V382" s="506">
        <f t="shared" si="189"/>
        <v>63634</v>
      </c>
      <c r="W382" s="510">
        <f t="shared" si="190"/>
        <v>57911</v>
      </c>
      <c r="X382" s="517"/>
      <c r="Y382" s="618"/>
      <c r="Z382" s="516"/>
      <c r="AA382" s="519"/>
      <c r="AB382" s="516"/>
      <c r="AC382" s="519"/>
      <c r="AD382" s="516"/>
      <c r="AE382" s="519"/>
      <c r="AF382" s="506">
        <f t="shared" si="191"/>
        <v>0</v>
      </c>
      <c r="AG382" s="507">
        <f t="shared" si="192"/>
        <v>0</v>
      </c>
      <c r="AH382" s="508">
        <f t="shared" si="193"/>
        <v>0</v>
      </c>
      <c r="AI382" s="508">
        <f t="shared" si="194"/>
        <v>0</v>
      </c>
      <c r="AJ382" s="516"/>
      <c r="AK382" s="519"/>
      <c r="AL382" s="506">
        <f t="shared" si="195"/>
        <v>0</v>
      </c>
      <c r="AM382" s="509">
        <f t="shared" si="196"/>
        <v>0</v>
      </c>
      <c r="AN382" s="518"/>
      <c r="AO382" s="520"/>
      <c r="AP382" s="516"/>
      <c r="AQ382" s="520"/>
      <c r="AR382" s="516"/>
      <c r="AS382" s="520"/>
      <c r="AT382" s="516"/>
      <c r="AU382" s="520"/>
      <c r="AV382" s="506">
        <f t="shared" si="197"/>
        <v>0</v>
      </c>
      <c r="AW382" s="511">
        <f t="shared" si="198"/>
        <v>0</v>
      </c>
      <c r="AX382" s="508">
        <f t="shared" si="199"/>
        <v>0</v>
      </c>
      <c r="AY382" s="512">
        <f t="shared" si="200"/>
        <v>0</v>
      </c>
      <c r="AZ382" s="513">
        <f t="shared" si="201"/>
        <v>2121.1333333333332</v>
      </c>
      <c r="BA382" s="508">
        <f t="shared" si="202"/>
        <v>1930.3666666666666</v>
      </c>
    </row>
    <row r="383" spans="1:53" ht="15.75">
      <c r="A383" s="522" t="s">
        <v>452</v>
      </c>
      <c r="B383" s="523" t="s">
        <v>526</v>
      </c>
      <c r="C383" s="621"/>
      <c r="D383" s="489">
        <v>207069</v>
      </c>
      <c r="E383" s="536">
        <v>10</v>
      </c>
      <c r="F383" s="514" t="s">
        <v>41</v>
      </c>
      <c r="G383" s="515" t="s">
        <v>41</v>
      </c>
      <c r="H383" s="516"/>
      <c r="I383" s="519"/>
      <c r="J383" s="516">
        <v>22228</v>
      </c>
      <c r="K383" s="632">
        <v>20375</v>
      </c>
      <c r="L383" s="516">
        <v>4325</v>
      </c>
      <c r="M383" s="624">
        <v>3843</v>
      </c>
      <c r="N383" s="516">
        <v>22478</v>
      </c>
      <c r="O383" s="519">
        <v>21220</v>
      </c>
      <c r="P383" s="506">
        <f t="shared" si="185"/>
        <v>49031</v>
      </c>
      <c r="Q383" s="507">
        <f t="shared" si="186"/>
        <v>1634.3666666666666</v>
      </c>
      <c r="R383" s="508">
        <f t="shared" si="187"/>
        <v>45438</v>
      </c>
      <c r="S383" s="509">
        <f t="shared" si="188"/>
        <v>1514.6</v>
      </c>
      <c r="T383" s="516">
        <v>7023</v>
      </c>
      <c r="U383" s="756">
        <v>6994</v>
      </c>
      <c r="V383" s="506">
        <f t="shared" si="189"/>
        <v>49031</v>
      </c>
      <c r="W383" s="510">
        <f t="shared" si="190"/>
        <v>45438</v>
      </c>
      <c r="X383" s="517"/>
      <c r="Y383" s="618"/>
      <c r="Z383" s="516"/>
      <c r="AA383" s="519"/>
      <c r="AB383" s="516"/>
      <c r="AC383" s="519"/>
      <c r="AD383" s="516"/>
      <c r="AE383" s="519"/>
      <c r="AF383" s="506">
        <f t="shared" si="191"/>
        <v>0</v>
      </c>
      <c r="AG383" s="507">
        <f t="shared" si="192"/>
        <v>0</v>
      </c>
      <c r="AH383" s="508">
        <f t="shared" si="193"/>
        <v>0</v>
      </c>
      <c r="AI383" s="508">
        <f t="shared" si="194"/>
        <v>0</v>
      </c>
      <c r="AJ383" s="516"/>
      <c r="AK383" s="519"/>
      <c r="AL383" s="506">
        <f t="shared" si="195"/>
        <v>0</v>
      </c>
      <c r="AM383" s="509">
        <f t="shared" si="196"/>
        <v>0</v>
      </c>
      <c r="AN383" s="518"/>
      <c r="AO383" s="520"/>
      <c r="AP383" s="516"/>
      <c r="AQ383" s="520"/>
      <c r="AR383" s="516"/>
      <c r="AS383" s="520"/>
      <c r="AT383" s="516"/>
      <c r="AU383" s="520"/>
      <c r="AV383" s="506">
        <f t="shared" si="197"/>
        <v>0</v>
      </c>
      <c r="AW383" s="511">
        <f t="shared" si="198"/>
        <v>0</v>
      </c>
      <c r="AX383" s="508">
        <f t="shared" si="199"/>
        <v>0</v>
      </c>
      <c r="AY383" s="512">
        <f t="shared" si="200"/>
        <v>0</v>
      </c>
      <c r="AZ383" s="513">
        <f t="shared" si="201"/>
        <v>1634.3666666666666</v>
      </c>
      <c r="BA383" s="508">
        <f t="shared" si="202"/>
        <v>1514.6</v>
      </c>
    </row>
    <row r="384" spans="1:53" ht="15.75">
      <c r="A384" s="629" t="s">
        <v>452</v>
      </c>
      <c r="B384" s="523" t="s">
        <v>527</v>
      </c>
      <c r="C384" s="621"/>
      <c r="D384" s="489">
        <v>207740</v>
      </c>
      <c r="E384" s="536">
        <v>10</v>
      </c>
      <c r="F384" s="514" t="s">
        <v>41</v>
      </c>
      <c r="G384" s="515" t="s">
        <v>41</v>
      </c>
      <c r="H384" s="516"/>
      <c r="I384" s="519"/>
      <c r="J384" s="516">
        <v>22183</v>
      </c>
      <c r="K384" s="632">
        <v>19994</v>
      </c>
      <c r="L384" s="516">
        <v>3947</v>
      </c>
      <c r="M384" s="624">
        <v>2802</v>
      </c>
      <c r="N384" s="516">
        <v>23763</v>
      </c>
      <c r="O384" s="519">
        <v>21107</v>
      </c>
      <c r="P384" s="506">
        <f t="shared" si="185"/>
        <v>49893</v>
      </c>
      <c r="Q384" s="507">
        <f t="shared" si="186"/>
        <v>1663.1</v>
      </c>
      <c r="R384" s="508">
        <f t="shared" si="187"/>
        <v>43903</v>
      </c>
      <c r="S384" s="509">
        <f t="shared" si="188"/>
        <v>1463.4333333333334</v>
      </c>
      <c r="T384" s="516">
        <v>2934</v>
      </c>
      <c r="U384" s="756">
        <v>3646</v>
      </c>
      <c r="V384" s="506">
        <f t="shared" si="189"/>
        <v>49893</v>
      </c>
      <c r="W384" s="510">
        <f t="shared" si="190"/>
        <v>43903</v>
      </c>
      <c r="X384" s="517"/>
      <c r="Y384" s="618"/>
      <c r="Z384" s="516"/>
      <c r="AA384" s="519"/>
      <c r="AB384" s="516"/>
      <c r="AC384" s="519"/>
      <c r="AD384" s="516"/>
      <c r="AE384" s="519"/>
      <c r="AF384" s="506">
        <f t="shared" si="191"/>
        <v>0</v>
      </c>
      <c r="AG384" s="507">
        <f t="shared" si="192"/>
        <v>0</v>
      </c>
      <c r="AH384" s="508">
        <f t="shared" si="193"/>
        <v>0</v>
      </c>
      <c r="AI384" s="508">
        <f t="shared" si="194"/>
        <v>0</v>
      </c>
      <c r="AJ384" s="516"/>
      <c r="AK384" s="519"/>
      <c r="AL384" s="506">
        <f t="shared" si="195"/>
        <v>0</v>
      </c>
      <c r="AM384" s="509">
        <f t="shared" si="196"/>
        <v>0</v>
      </c>
      <c r="AN384" s="518"/>
      <c r="AO384" s="520"/>
      <c r="AP384" s="516"/>
      <c r="AQ384" s="520"/>
      <c r="AR384" s="516"/>
      <c r="AS384" s="520"/>
      <c r="AT384" s="516"/>
      <c r="AU384" s="520"/>
      <c r="AV384" s="506">
        <f t="shared" si="197"/>
        <v>0</v>
      </c>
      <c r="AW384" s="511">
        <f t="shared" si="198"/>
        <v>0</v>
      </c>
      <c r="AX384" s="508">
        <f t="shared" si="199"/>
        <v>0</v>
      </c>
      <c r="AY384" s="512">
        <f t="shared" si="200"/>
        <v>0</v>
      </c>
      <c r="AZ384" s="513">
        <f t="shared" si="201"/>
        <v>1663.1</v>
      </c>
      <c r="BA384" s="508">
        <f t="shared" si="202"/>
        <v>1463.4333333333334</v>
      </c>
    </row>
    <row r="385" spans="1:53" ht="15.75">
      <c r="A385" s="522" t="s">
        <v>452</v>
      </c>
      <c r="B385" s="523" t="s">
        <v>528</v>
      </c>
      <c r="C385" s="621" t="s">
        <v>532</v>
      </c>
      <c r="D385" s="489">
        <v>208035</v>
      </c>
      <c r="E385" s="536">
        <v>10</v>
      </c>
      <c r="F385" s="514" t="s">
        <v>41</v>
      </c>
      <c r="G385" s="515" t="s">
        <v>41</v>
      </c>
      <c r="H385" s="516"/>
      <c r="I385" s="519"/>
      <c r="J385" s="516">
        <v>21802</v>
      </c>
      <c r="K385" s="632">
        <v>20607</v>
      </c>
      <c r="L385" s="516">
        <v>10560</v>
      </c>
      <c r="M385" s="624">
        <v>12930</v>
      </c>
      <c r="N385" s="516">
        <v>30686</v>
      </c>
      <c r="O385" s="519">
        <v>31032</v>
      </c>
      <c r="P385" s="506">
        <f t="shared" si="185"/>
        <v>63048</v>
      </c>
      <c r="Q385" s="507">
        <f t="shared" si="186"/>
        <v>2101.6</v>
      </c>
      <c r="R385" s="508">
        <f t="shared" si="187"/>
        <v>64569</v>
      </c>
      <c r="S385" s="509">
        <f t="shared" si="188"/>
        <v>2152.3000000000002</v>
      </c>
      <c r="T385" s="516">
        <v>4374</v>
      </c>
      <c r="U385" s="756">
        <v>3685</v>
      </c>
      <c r="V385" s="506">
        <f t="shared" si="189"/>
        <v>63048</v>
      </c>
      <c r="W385" s="510">
        <f t="shared" si="190"/>
        <v>64569</v>
      </c>
      <c r="X385" s="517"/>
      <c r="Y385" s="618"/>
      <c r="Z385" s="516"/>
      <c r="AA385" s="519"/>
      <c r="AB385" s="516"/>
      <c r="AC385" s="519"/>
      <c r="AD385" s="516"/>
      <c r="AE385" s="519"/>
      <c r="AF385" s="506">
        <f t="shared" si="191"/>
        <v>0</v>
      </c>
      <c r="AG385" s="507">
        <f t="shared" si="192"/>
        <v>0</v>
      </c>
      <c r="AH385" s="508">
        <f t="shared" si="193"/>
        <v>0</v>
      </c>
      <c r="AI385" s="508">
        <f t="shared" si="194"/>
        <v>0</v>
      </c>
      <c r="AJ385" s="516"/>
      <c r="AK385" s="519"/>
      <c r="AL385" s="506">
        <f t="shared" si="195"/>
        <v>0</v>
      </c>
      <c r="AM385" s="509">
        <f t="shared" si="196"/>
        <v>0</v>
      </c>
      <c r="AN385" s="518"/>
      <c r="AO385" s="520"/>
      <c r="AP385" s="516"/>
      <c r="AQ385" s="520"/>
      <c r="AR385" s="516"/>
      <c r="AS385" s="520"/>
      <c r="AT385" s="516"/>
      <c r="AU385" s="520"/>
      <c r="AV385" s="506">
        <f t="shared" si="197"/>
        <v>0</v>
      </c>
      <c r="AW385" s="511">
        <f t="shared" si="198"/>
        <v>0</v>
      </c>
      <c r="AX385" s="508">
        <f t="shared" si="199"/>
        <v>0</v>
      </c>
      <c r="AY385" s="512">
        <f t="shared" si="200"/>
        <v>0</v>
      </c>
      <c r="AZ385" s="513">
        <f t="shared" si="201"/>
        <v>2101.6</v>
      </c>
      <c r="BA385" s="508">
        <f t="shared" si="202"/>
        <v>2152.3000000000002</v>
      </c>
    </row>
    <row r="386" spans="1:53">
      <c r="A386" s="521" t="s">
        <v>452</v>
      </c>
      <c r="B386" s="612" t="s">
        <v>453</v>
      </c>
      <c r="C386" s="613"/>
      <c r="D386" s="521">
        <v>365374</v>
      </c>
      <c r="E386" s="521">
        <v>12</v>
      </c>
      <c r="F386" s="514"/>
      <c r="G386" s="515"/>
      <c r="H386" s="516"/>
      <c r="I386" s="519"/>
      <c r="J386" s="516"/>
      <c r="K386" s="519"/>
      <c r="L386" s="516"/>
      <c r="M386" s="519"/>
      <c r="N386" s="516"/>
      <c r="O386" s="519"/>
      <c r="P386" s="506">
        <f t="shared" si="185"/>
        <v>0</v>
      </c>
      <c r="Q386" s="507">
        <f t="shared" si="186"/>
        <v>0</v>
      </c>
      <c r="R386" s="508">
        <f t="shared" si="187"/>
        <v>0</v>
      </c>
      <c r="S386" s="509">
        <f t="shared" si="188"/>
        <v>0</v>
      </c>
      <c r="T386" s="516"/>
      <c r="U386" s="618"/>
      <c r="V386" s="506">
        <f t="shared" si="189"/>
        <v>0</v>
      </c>
      <c r="W386" s="510">
        <f t="shared" si="190"/>
        <v>0</v>
      </c>
      <c r="X386" s="517"/>
      <c r="Y386" s="618"/>
      <c r="Z386" s="516"/>
      <c r="AA386" s="519"/>
      <c r="AB386" s="516"/>
      <c r="AC386" s="519"/>
      <c r="AD386" s="516">
        <v>1157859.46</v>
      </c>
      <c r="AE386" s="519">
        <v>1005412</v>
      </c>
      <c r="AF386" s="506">
        <f t="shared" si="191"/>
        <v>1157859.46</v>
      </c>
      <c r="AG386" s="507">
        <f t="shared" si="192"/>
        <v>1286.5105111111111</v>
      </c>
      <c r="AH386" s="508">
        <f t="shared" si="193"/>
        <v>1005412</v>
      </c>
      <c r="AI386" s="508">
        <f t="shared" si="194"/>
        <v>1117.1244444444444</v>
      </c>
      <c r="AJ386" s="516"/>
      <c r="AK386" s="519"/>
      <c r="AL386" s="506">
        <f t="shared" si="195"/>
        <v>0</v>
      </c>
      <c r="AM386" s="509">
        <f t="shared" si="196"/>
        <v>0</v>
      </c>
      <c r="AN386" s="518"/>
      <c r="AO386" s="520"/>
      <c r="AP386" s="516"/>
      <c r="AQ386" s="520"/>
      <c r="AR386" s="516"/>
      <c r="AS386" s="520"/>
      <c r="AT386" s="516"/>
      <c r="AU386" s="520"/>
      <c r="AV386" s="506">
        <f t="shared" si="197"/>
        <v>0</v>
      </c>
      <c r="AW386" s="511">
        <f t="shared" si="198"/>
        <v>0</v>
      </c>
      <c r="AX386" s="508">
        <f t="shared" si="199"/>
        <v>0</v>
      </c>
      <c r="AY386" s="512">
        <f t="shared" si="200"/>
        <v>0</v>
      </c>
      <c r="AZ386" s="513">
        <f t="shared" si="201"/>
        <v>1286.5105111111111</v>
      </c>
      <c r="BA386" s="508">
        <f t="shared" si="202"/>
        <v>1117.1244444444444</v>
      </c>
    </row>
    <row r="387" spans="1:53">
      <c r="A387" s="521" t="s">
        <v>452</v>
      </c>
      <c r="B387" s="505" t="s">
        <v>454</v>
      </c>
      <c r="C387" s="614"/>
      <c r="D387" s="521">
        <v>245999</v>
      </c>
      <c r="E387" s="521">
        <v>12</v>
      </c>
      <c r="F387" s="514"/>
      <c r="G387" s="515"/>
      <c r="H387" s="516"/>
      <c r="I387" s="519"/>
      <c r="J387" s="516"/>
      <c r="K387" s="519"/>
      <c r="L387" s="516"/>
      <c r="M387" s="519"/>
      <c r="N387" s="516"/>
      <c r="O387" s="519"/>
      <c r="P387" s="506">
        <f t="shared" si="185"/>
        <v>0</v>
      </c>
      <c r="Q387" s="507">
        <f t="shared" si="186"/>
        <v>0</v>
      </c>
      <c r="R387" s="508">
        <f t="shared" si="187"/>
        <v>0</v>
      </c>
      <c r="S387" s="509">
        <f t="shared" si="188"/>
        <v>0</v>
      </c>
      <c r="T387" s="516"/>
      <c r="U387" s="618"/>
      <c r="V387" s="506">
        <f t="shared" si="189"/>
        <v>0</v>
      </c>
      <c r="W387" s="510">
        <f t="shared" si="190"/>
        <v>0</v>
      </c>
      <c r="X387" s="517"/>
      <c r="Y387" s="618"/>
      <c r="Z387" s="516"/>
      <c r="AA387" s="519"/>
      <c r="AB387" s="516"/>
      <c r="AC387" s="519"/>
      <c r="AD387" s="516">
        <v>1509993.25</v>
      </c>
      <c r="AE387" s="519">
        <v>1452946</v>
      </c>
      <c r="AF387" s="506">
        <f t="shared" si="191"/>
        <v>1509993.25</v>
      </c>
      <c r="AG387" s="507">
        <f t="shared" si="192"/>
        <v>1677.7702777777777</v>
      </c>
      <c r="AH387" s="508">
        <f t="shared" si="193"/>
        <v>1452946</v>
      </c>
      <c r="AI387" s="508">
        <f t="shared" si="194"/>
        <v>1614.3844444444444</v>
      </c>
      <c r="AJ387" s="516"/>
      <c r="AK387" s="519"/>
      <c r="AL387" s="506">
        <f t="shared" si="195"/>
        <v>0</v>
      </c>
      <c r="AM387" s="509">
        <f t="shared" si="196"/>
        <v>0</v>
      </c>
      <c r="AN387" s="518"/>
      <c r="AO387" s="520"/>
      <c r="AP387" s="516"/>
      <c r="AQ387" s="520"/>
      <c r="AR387" s="516"/>
      <c r="AS387" s="520"/>
      <c r="AT387" s="516"/>
      <c r="AU387" s="520"/>
      <c r="AV387" s="506">
        <f t="shared" si="197"/>
        <v>0</v>
      </c>
      <c r="AW387" s="511">
        <f t="shared" si="198"/>
        <v>0</v>
      </c>
      <c r="AX387" s="508">
        <f t="shared" si="199"/>
        <v>0</v>
      </c>
      <c r="AY387" s="512">
        <f t="shared" si="200"/>
        <v>0</v>
      </c>
      <c r="AZ387" s="513">
        <f t="shared" si="201"/>
        <v>1677.7702777777777</v>
      </c>
      <c r="BA387" s="508">
        <f t="shared" si="202"/>
        <v>1614.3844444444444</v>
      </c>
    </row>
    <row r="388" spans="1:53">
      <c r="A388" s="521" t="s">
        <v>452</v>
      </c>
      <c r="B388" s="505" t="s">
        <v>455</v>
      </c>
      <c r="C388" s="614"/>
      <c r="D388" s="521">
        <v>363165</v>
      </c>
      <c r="E388" s="521">
        <v>12</v>
      </c>
      <c r="F388" s="514"/>
      <c r="G388" s="515"/>
      <c r="H388" s="516"/>
      <c r="I388" s="519"/>
      <c r="J388" s="516"/>
      <c r="K388" s="519"/>
      <c r="L388" s="516"/>
      <c r="M388" s="519"/>
      <c r="N388" s="516"/>
      <c r="O388" s="519"/>
      <c r="P388" s="506">
        <f t="shared" si="185"/>
        <v>0</v>
      </c>
      <c r="Q388" s="507">
        <f t="shared" si="186"/>
        <v>0</v>
      </c>
      <c r="R388" s="508">
        <f t="shared" si="187"/>
        <v>0</v>
      </c>
      <c r="S388" s="509">
        <f t="shared" si="188"/>
        <v>0</v>
      </c>
      <c r="T388" s="516"/>
      <c r="U388" s="618"/>
      <c r="V388" s="506">
        <f t="shared" si="189"/>
        <v>0</v>
      </c>
      <c r="W388" s="510">
        <f t="shared" si="190"/>
        <v>0</v>
      </c>
      <c r="X388" s="517"/>
      <c r="Y388" s="618"/>
      <c r="Z388" s="516"/>
      <c r="AA388" s="519"/>
      <c r="AB388" s="516"/>
      <c r="AC388" s="519"/>
      <c r="AD388" s="516">
        <v>1206431.8999999999</v>
      </c>
      <c r="AE388" s="519">
        <v>1183530</v>
      </c>
      <c r="AF388" s="506">
        <f t="shared" si="191"/>
        <v>1206431.8999999999</v>
      </c>
      <c r="AG388" s="507">
        <f t="shared" si="192"/>
        <v>1340.4798888888888</v>
      </c>
      <c r="AH388" s="508">
        <f t="shared" si="193"/>
        <v>1183530</v>
      </c>
      <c r="AI388" s="508">
        <f t="shared" si="194"/>
        <v>1315.0333333333333</v>
      </c>
      <c r="AJ388" s="516"/>
      <c r="AK388" s="519"/>
      <c r="AL388" s="506">
        <f t="shared" si="195"/>
        <v>0</v>
      </c>
      <c r="AM388" s="509">
        <f t="shared" si="196"/>
        <v>0</v>
      </c>
      <c r="AN388" s="518"/>
      <c r="AO388" s="520"/>
      <c r="AP388" s="516"/>
      <c r="AQ388" s="520"/>
      <c r="AR388" s="516"/>
      <c r="AS388" s="520"/>
      <c r="AT388" s="516"/>
      <c r="AU388" s="520"/>
      <c r="AV388" s="506">
        <f t="shared" si="197"/>
        <v>0</v>
      </c>
      <c r="AW388" s="511">
        <f t="shared" si="198"/>
        <v>0</v>
      </c>
      <c r="AX388" s="508">
        <f t="shared" si="199"/>
        <v>0</v>
      </c>
      <c r="AY388" s="512">
        <f t="shared" si="200"/>
        <v>0</v>
      </c>
      <c r="AZ388" s="513">
        <f t="shared" si="201"/>
        <v>1340.4798888888888</v>
      </c>
      <c r="BA388" s="508">
        <f t="shared" si="202"/>
        <v>1315.0333333333333</v>
      </c>
    </row>
    <row r="389" spans="1:53">
      <c r="A389" s="521" t="s">
        <v>452</v>
      </c>
      <c r="B389" s="505" t="s">
        <v>456</v>
      </c>
      <c r="C389" s="614"/>
      <c r="D389" s="521">
        <v>365213</v>
      </c>
      <c r="E389" s="521">
        <v>13</v>
      </c>
      <c r="F389" s="514"/>
      <c r="G389" s="515"/>
      <c r="H389" s="516"/>
      <c r="I389" s="519"/>
      <c r="J389" s="516"/>
      <c r="K389" s="519"/>
      <c r="L389" s="516"/>
      <c r="M389" s="519"/>
      <c r="N389" s="516"/>
      <c r="O389" s="519"/>
      <c r="P389" s="506">
        <f t="shared" si="185"/>
        <v>0</v>
      </c>
      <c r="Q389" s="507">
        <f t="shared" si="186"/>
        <v>0</v>
      </c>
      <c r="R389" s="508">
        <f t="shared" si="187"/>
        <v>0</v>
      </c>
      <c r="S389" s="509">
        <f t="shared" si="188"/>
        <v>0</v>
      </c>
      <c r="T389" s="516"/>
      <c r="U389" s="618"/>
      <c r="V389" s="506">
        <f t="shared" si="189"/>
        <v>0</v>
      </c>
      <c r="W389" s="510">
        <f t="shared" si="190"/>
        <v>0</v>
      </c>
      <c r="X389" s="517"/>
      <c r="Y389" s="618"/>
      <c r="Z389" s="516"/>
      <c r="AA389" s="519"/>
      <c r="AB389" s="516"/>
      <c r="AC389" s="519"/>
      <c r="AD389" s="516">
        <v>499956.15</v>
      </c>
      <c r="AE389" s="519">
        <v>487914</v>
      </c>
      <c r="AF389" s="506">
        <f t="shared" si="191"/>
        <v>499956.15</v>
      </c>
      <c r="AG389" s="507">
        <f t="shared" si="192"/>
        <v>555.50683333333336</v>
      </c>
      <c r="AH389" s="508">
        <f t="shared" si="193"/>
        <v>487914</v>
      </c>
      <c r="AI389" s="508">
        <f t="shared" si="194"/>
        <v>542.12666666666667</v>
      </c>
      <c r="AJ389" s="516"/>
      <c r="AK389" s="519"/>
      <c r="AL389" s="506">
        <f t="shared" si="195"/>
        <v>0</v>
      </c>
      <c r="AM389" s="509">
        <f t="shared" si="196"/>
        <v>0</v>
      </c>
      <c r="AN389" s="518"/>
      <c r="AO389" s="520"/>
      <c r="AP389" s="516"/>
      <c r="AQ389" s="520"/>
      <c r="AR389" s="516"/>
      <c r="AS389" s="520"/>
      <c r="AT389" s="516"/>
      <c r="AU389" s="520"/>
      <c r="AV389" s="506">
        <f t="shared" si="197"/>
        <v>0</v>
      </c>
      <c r="AW389" s="511">
        <f t="shared" si="198"/>
        <v>0</v>
      </c>
      <c r="AX389" s="508">
        <f t="shared" si="199"/>
        <v>0</v>
      </c>
      <c r="AY389" s="512">
        <f t="shared" si="200"/>
        <v>0</v>
      </c>
      <c r="AZ389" s="513">
        <f t="shared" si="201"/>
        <v>555.50683333333336</v>
      </c>
      <c r="BA389" s="508">
        <f t="shared" si="202"/>
        <v>542.12666666666667</v>
      </c>
    </row>
    <row r="390" spans="1:53">
      <c r="A390" s="521" t="s">
        <v>452</v>
      </c>
      <c r="B390" s="505" t="s">
        <v>457</v>
      </c>
      <c r="C390" s="614"/>
      <c r="D390" s="521">
        <v>364946</v>
      </c>
      <c r="E390" s="521">
        <v>13</v>
      </c>
      <c r="F390" s="514"/>
      <c r="G390" s="515"/>
      <c r="H390" s="516"/>
      <c r="I390" s="519"/>
      <c r="J390" s="516"/>
      <c r="K390" s="519"/>
      <c r="L390" s="516"/>
      <c r="M390" s="519"/>
      <c r="N390" s="516"/>
      <c r="O390" s="519"/>
      <c r="P390" s="506">
        <f t="shared" si="185"/>
        <v>0</v>
      </c>
      <c r="Q390" s="507">
        <f t="shared" si="186"/>
        <v>0</v>
      </c>
      <c r="R390" s="508">
        <f t="shared" si="187"/>
        <v>0</v>
      </c>
      <c r="S390" s="509">
        <f t="shared" si="188"/>
        <v>0</v>
      </c>
      <c r="T390" s="516"/>
      <c r="U390" s="618"/>
      <c r="V390" s="506">
        <f t="shared" si="189"/>
        <v>0</v>
      </c>
      <c r="W390" s="510">
        <f t="shared" si="190"/>
        <v>0</v>
      </c>
      <c r="X390" s="517"/>
      <c r="Y390" s="618"/>
      <c r="Z390" s="516"/>
      <c r="AA390" s="519"/>
      <c r="AB390" s="516"/>
      <c r="AC390" s="519"/>
      <c r="AD390" s="516">
        <v>357117</v>
      </c>
      <c r="AE390" s="519">
        <v>324735</v>
      </c>
      <c r="AF390" s="506">
        <f t="shared" si="191"/>
        <v>357117</v>
      </c>
      <c r="AG390" s="507">
        <f t="shared" si="192"/>
        <v>396.79666666666668</v>
      </c>
      <c r="AH390" s="508">
        <f t="shared" si="193"/>
        <v>324735</v>
      </c>
      <c r="AI390" s="508">
        <f t="shared" si="194"/>
        <v>360.81666666666666</v>
      </c>
      <c r="AJ390" s="516"/>
      <c r="AK390" s="519"/>
      <c r="AL390" s="506">
        <f t="shared" si="195"/>
        <v>0</v>
      </c>
      <c r="AM390" s="509">
        <f t="shared" si="196"/>
        <v>0</v>
      </c>
      <c r="AN390" s="518"/>
      <c r="AO390" s="520"/>
      <c r="AP390" s="516"/>
      <c r="AQ390" s="520"/>
      <c r="AR390" s="516"/>
      <c r="AS390" s="520"/>
      <c r="AT390" s="516"/>
      <c r="AU390" s="520"/>
      <c r="AV390" s="506">
        <f t="shared" si="197"/>
        <v>0</v>
      </c>
      <c r="AW390" s="511">
        <f t="shared" si="198"/>
        <v>0</v>
      </c>
      <c r="AX390" s="508">
        <f t="shared" si="199"/>
        <v>0</v>
      </c>
      <c r="AY390" s="512">
        <f t="shared" si="200"/>
        <v>0</v>
      </c>
      <c r="AZ390" s="513">
        <f t="shared" si="201"/>
        <v>396.79666666666668</v>
      </c>
      <c r="BA390" s="508">
        <f t="shared" si="202"/>
        <v>360.81666666666666</v>
      </c>
    </row>
    <row r="391" spans="1:53">
      <c r="A391" s="521" t="s">
        <v>452</v>
      </c>
      <c r="B391" s="505" t="s">
        <v>458</v>
      </c>
      <c r="C391" s="614"/>
      <c r="D391" s="521">
        <v>246017</v>
      </c>
      <c r="E391" s="521">
        <v>13</v>
      </c>
      <c r="F391" s="514"/>
      <c r="G391" s="515"/>
      <c r="H391" s="516"/>
      <c r="I391" s="519"/>
      <c r="J391" s="516"/>
      <c r="K391" s="519"/>
      <c r="L391" s="516"/>
      <c r="M391" s="519"/>
      <c r="N391" s="516"/>
      <c r="O391" s="519"/>
      <c r="P391" s="506">
        <f t="shared" si="185"/>
        <v>0</v>
      </c>
      <c r="Q391" s="507">
        <f t="shared" si="186"/>
        <v>0</v>
      </c>
      <c r="R391" s="508">
        <f t="shared" si="187"/>
        <v>0</v>
      </c>
      <c r="S391" s="509">
        <f t="shared" si="188"/>
        <v>0</v>
      </c>
      <c r="T391" s="516"/>
      <c r="U391" s="618"/>
      <c r="V391" s="506">
        <f t="shared" si="189"/>
        <v>0</v>
      </c>
      <c r="W391" s="510">
        <f t="shared" si="190"/>
        <v>0</v>
      </c>
      <c r="X391" s="517"/>
      <c r="Y391" s="618"/>
      <c r="Z391" s="516"/>
      <c r="AA391" s="519"/>
      <c r="AB391" s="516"/>
      <c r="AC391" s="519"/>
      <c r="AD391" s="516">
        <v>778883.75</v>
      </c>
      <c r="AE391" s="519">
        <v>786172</v>
      </c>
      <c r="AF391" s="506">
        <f t="shared" si="191"/>
        <v>778883.75</v>
      </c>
      <c r="AG391" s="507">
        <f t="shared" si="192"/>
        <v>865.42638888888894</v>
      </c>
      <c r="AH391" s="508">
        <f t="shared" si="193"/>
        <v>786172</v>
      </c>
      <c r="AI391" s="508">
        <f t="shared" si="194"/>
        <v>873.5244444444445</v>
      </c>
      <c r="AJ391" s="516"/>
      <c r="AK391" s="519"/>
      <c r="AL391" s="506">
        <f t="shared" si="195"/>
        <v>0</v>
      </c>
      <c r="AM391" s="509">
        <f t="shared" si="196"/>
        <v>0</v>
      </c>
      <c r="AN391" s="518"/>
      <c r="AO391" s="520"/>
      <c r="AP391" s="516"/>
      <c r="AQ391" s="520"/>
      <c r="AR391" s="516"/>
      <c r="AS391" s="520"/>
      <c r="AT391" s="516"/>
      <c r="AU391" s="520"/>
      <c r="AV391" s="506">
        <f t="shared" si="197"/>
        <v>0</v>
      </c>
      <c r="AW391" s="511">
        <f t="shared" si="198"/>
        <v>0</v>
      </c>
      <c r="AX391" s="508">
        <f t="shared" si="199"/>
        <v>0</v>
      </c>
      <c r="AY391" s="512">
        <f t="shared" si="200"/>
        <v>0</v>
      </c>
      <c r="AZ391" s="513">
        <f t="shared" si="201"/>
        <v>865.42638888888894</v>
      </c>
      <c r="BA391" s="508">
        <f t="shared" si="202"/>
        <v>873.5244444444445</v>
      </c>
    </row>
    <row r="392" spans="1:53">
      <c r="A392" s="521" t="s">
        <v>452</v>
      </c>
      <c r="B392" s="505" t="s">
        <v>459</v>
      </c>
      <c r="C392" s="614"/>
      <c r="D392" s="521">
        <v>375656</v>
      </c>
      <c r="E392" s="521">
        <v>13</v>
      </c>
      <c r="F392" s="514"/>
      <c r="G392" s="515"/>
      <c r="H392" s="516"/>
      <c r="I392" s="519"/>
      <c r="J392" s="516"/>
      <c r="K392" s="519"/>
      <c r="L392" s="516"/>
      <c r="M392" s="519"/>
      <c r="N392" s="516"/>
      <c r="O392" s="519"/>
      <c r="P392" s="506">
        <f t="shared" si="185"/>
        <v>0</v>
      </c>
      <c r="Q392" s="507">
        <f t="shared" si="186"/>
        <v>0</v>
      </c>
      <c r="R392" s="508">
        <f t="shared" si="187"/>
        <v>0</v>
      </c>
      <c r="S392" s="509">
        <f t="shared" si="188"/>
        <v>0</v>
      </c>
      <c r="T392" s="516"/>
      <c r="U392" s="618"/>
      <c r="V392" s="506">
        <f t="shared" si="189"/>
        <v>0</v>
      </c>
      <c r="W392" s="510">
        <f t="shared" si="190"/>
        <v>0</v>
      </c>
      <c r="X392" s="517"/>
      <c r="Y392" s="618"/>
      <c r="Z392" s="516"/>
      <c r="AA392" s="519"/>
      <c r="AB392" s="516"/>
      <c r="AC392" s="519"/>
      <c r="AD392" s="516">
        <v>111580</v>
      </c>
      <c r="AE392" s="519">
        <v>92664</v>
      </c>
      <c r="AF392" s="506">
        <f t="shared" si="191"/>
        <v>111580</v>
      </c>
      <c r="AG392" s="507">
        <f t="shared" si="192"/>
        <v>123.97777777777777</v>
      </c>
      <c r="AH392" s="508">
        <f t="shared" si="193"/>
        <v>92664</v>
      </c>
      <c r="AI392" s="508">
        <f t="shared" si="194"/>
        <v>102.96</v>
      </c>
      <c r="AJ392" s="516"/>
      <c r="AK392" s="519"/>
      <c r="AL392" s="506">
        <f t="shared" si="195"/>
        <v>0</v>
      </c>
      <c r="AM392" s="509">
        <f t="shared" si="196"/>
        <v>0</v>
      </c>
      <c r="AN392" s="518"/>
      <c r="AO392" s="520"/>
      <c r="AP392" s="516"/>
      <c r="AQ392" s="520"/>
      <c r="AR392" s="516"/>
      <c r="AS392" s="520"/>
      <c r="AT392" s="516"/>
      <c r="AU392" s="520"/>
      <c r="AV392" s="506">
        <f t="shared" si="197"/>
        <v>0</v>
      </c>
      <c r="AW392" s="511">
        <f t="shared" si="198"/>
        <v>0</v>
      </c>
      <c r="AX392" s="508">
        <f t="shared" si="199"/>
        <v>0</v>
      </c>
      <c r="AY392" s="512">
        <f t="shared" si="200"/>
        <v>0</v>
      </c>
      <c r="AZ392" s="513">
        <f t="shared" si="201"/>
        <v>123.97777777777777</v>
      </c>
      <c r="BA392" s="508">
        <f t="shared" si="202"/>
        <v>102.96</v>
      </c>
    </row>
    <row r="393" spans="1:53" ht="15" customHeight="1">
      <c r="A393" s="521" t="s">
        <v>452</v>
      </c>
      <c r="B393" s="505" t="s">
        <v>460</v>
      </c>
      <c r="C393" s="614"/>
      <c r="D393" s="521">
        <v>418348</v>
      </c>
      <c r="E393" s="521">
        <v>13</v>
      </c>
      <c r="F393" s="514"/>
      <c r="G393" s="515"/>
      <c r="H393" s="516"/>
      <c r="I393" s="519"/>
      <c r="J393" s="516"/>
      <c r="K393" s="519"/>
      <c r="L393" s="516"/>
      <c r="M393" s="519"/>
      <c r="N393" s="516"/>
      <c r="O393" s="519"/>
      <c r="P393" s="506">
        <f t="shared" si="185"/>
        <v>0</v>
      </c>
      <c r="Q393" s="507">
        <f t="shared" si="186"/>
        <v>0</v>
      </c>
      <c r="R393" s="508">
        <f t="shared" si="187"/>
        <v>0</v>
      </c>
      <c r="S393" s="509">
        <f t="shared" si="188"/>
        <v>0</v>
      </c>
      <c r="T393" s="516"/>
      <c r="U393" s="618"/>
      <c r="V393" s="506">
        <f t="shared" si="189"/>
        <v>0</v>
      </c>
      <c r="W393" s="510">
        <f t="shared" si="190"/>
        <v>0</v>
      </c>
      <c r="X393" s="517"/>
      <c r="Y393" s="618"/>
      <c r="Z393" s="516"/>
      <c r="AA393" s="519"/>
      <c r="AB393" s="516"/>
      <c r="AC393" s="519"/>
      <c r="AD393" s="516">
        <v>331567</v>
      </c>
      <c r="AE393" s="519">
        <v>326980</v>
      </c>
      <c r="AF393" s="506">
        <f t="shared" si="191"/>
        <v>331567</v>
      </c>
      <c r="AG393" s="507">
        <f t="shared" si="192"/>
        <v>368.40777777777777</v>
      </c>
      <c r="AH393" s="508">
        <f t="shared" si="193"/>
        <v>326980</v>
      </c>
      <c r="AI393" s="508">
        <f t="shared" si="194"/>
        <v>363.31111111111113</v>
      </c>
      <c r="AJ393" s="516"/>
      <c r="AK393" s="519"/>
      <c r="AL393" s="506">
        <f t="shared" si="195"/>
        <v>0</v>
      </c>
      <c r="AM393" s="509">
        <f t="shared" si="196"/>
        <v>0</v>
      </c>
      <c r="AN393" s="518"/>
      <c r="AO393" s="520"/>
      <c r="AP393" s="516"/>
      <c r="AQ393" s="520"/>
      <c r="AR393" s="516"/>
      <c r="AS393" s="520"/>
      <c r="AT393" s="516"/>
      <c r="AU393" s="520"/>
      <c r="AV393" s="506">
        <f t="shared" si="197"/>
        <v>0</v>
      </c>
      <c r="AW393" s="511">
        <f t="shared" si="198"/>
        <v>0</v>
      </c>
      <c r="AX393" s="508">
        <f t="shared" si="199"/>
        <v>0</v>
      </c>
      <c r="AY393" s="512">
        <f t="shared" si="200"/>
        <v>0</v>
      </c>
      <c r="AZ393" s="513">
        <f t="shared" si="201"/>
        <v>368.40777777777777</v>
      </c>
      <c r="BA393" s="508">
        <f t="shared" si="202"/>
        <v>363.31111111111113</v>
      </c>
    </row>
    <row r="394" spans="1:53" ht="15" customHeight="1">
      <c r="A394" s="521" t="s">
        <v>452</v>
      </c>
      <c r="B394" s="505" t="s">
        <v>461</v>
      </c>
      <c r="C394" s="614"/>
      <c r="D394" s="521">
        <v>375683</v>
      </c>
      <c r="E394" s="521">
        <v>13</v>
      </c>
      <c r="F394" s="514"/>
      <c r="G394" s="515"/>
      <c r="H394" s="516"/>
      <c r="I394" s="519"/>
      <c r="J394" s="516"/>
      <c r="K394" s="519"/>
      <c r="L394" s="516"/>
      <c r="M394" s="519"/>
      <c r="N394" s="516"/>
      <c r="O394" s="519"/>
      <c r="P394" s="506">
        <f t="shared" si="185"/>
        <v>0</v>
      </c>
      <c r="Q394" s="507">
        <f t="shared" si="186"/>
        <v>0</v>
      </c>
      <c r="R394" s="508">
        <f t="shared" si="187"/>
        <v>0</v>
      </c>
      <c r="S394" s="509">
        <f t="shared" si="188"/>
        <v>0</v>
      </c>
      <c r="T394" s="516"/>
      <c r="U394" s="618"/>
      <c r="V394" s="506">
        <f t="shared" si="189"/>
        <v>0</v>
      </c>
      <c r="W394" s="510">
        <f t="shared" si="190"/>
        <v>0</v>
      </c>
      <c r="X394" s="517"/>
      <c r="Y394" s="618"/>
      <c r="Z394" s="516"/>
      <c r="AA394" s="519"/>
      <c r="AB394" s="516"/>
      <c r="AC394" s="519"/>
      <c r="AD394" s="516">
        <v>670476.5</v>
      </c>
      <c r="AE394" s="519">
        <v>680194</v>
      </c>
      <c r="AF394" s="506">
        <f t="shared" si="191"/>
        <v>670476.5</v>
      </c>
      <c r="AG394" s="507">
        <f t="shared" si="192"/>
        <v>744.97388888888884</v>
      </c>
      <c r="AH394" s="508">
        <f t="shared" si="193"/>
        <v>680194</v>
      </c>
      <c r="AI394" s="508">
        <f t="shared" si="194"/>
        <v>755.77111111111117</v>
      </c>
      <c r="AJ394" s="516"/>
      <c r="AK394" s="519"/>
      <c r="AL394" s="506">
        <f t="shared" si="195"/>
        <v>0</v>
      </c>
      <c r="AM394" s="509">
        <f t="shared" si="196"/>
        <v>0</v>
      </c>
      <c r="AN394" s="518"/>
      <c r="AO394" s="520"/>
      <c r="AP394" s="516"/>
      <c r="AQ394" s="520"/>
      <c r="AR394" s="516"/>
      <c r="AS394" s="520"/>
      <c r="AT394" s="516"/>
      <c r="AU394" s="520"/>
      <c r="AV394" s="506">
        <f t="shared" si="197"/>
        <v>0</v>
      </c>
      <c r="AW394" s="511">
        <f t="shared" si="198"/>
        <v>0</v>
      </c>
      <c r="AX394" s="508">
        <f t="shared" si="199"/>
        <v>0</v>
      </c>
      <c r="AY394" s="512">
        <f t="shared" si="200"/>
        <v>0</v>
      </c>
      <c r="AZ394" s="513">
        <f t="shared" si="201"/>
        <v>744.97388888888884</v>
      </c>
      <c r="BA394" s="508">
        <f t="shared" si="202"/>
        <v>755.77111111111117</v>
      </c>
    </row>
    <row r="395" spans="1:53" ht="15" customHeight="1">
      <c r="A395" s="521" t="s">
        <v>452</v>
      </c>
      <c r="B395" s="505" t="s">
        <v>462</v>
      </c>
      <c r="C395" s="529"/>
      <c r="D395" s="521">
        <v>364548</v>
      </c>
      <c r="E395" s="528">
        <v>13</v>
      </c>
      <c r="F395" s="514"/>
      <c r="G395" s="515"/>
      <c r="H395" s="516"/>
      <c r="I395" s="519"/>
      <c r="J395" s="516"/>
      <c r="K395" s="519"/>
      <c r="L395" s="516"/>
      <c r="M395" s="519"/>
      <c r="N395" s="516"/>
      <c r="O395" s="519"/>
      <c r="P395" s="506">
        <f t="shared" si="185"/>
        <v>0</v>
      </c>
      <c r="Q395" s="507">
        <f t="shared" si="186"/>
        <v>0</v>
      </c>
      <c r="R395" s="508">
        <f t="shared" si="187"/>
        <v>0</v>
      </c>
      <c r="S395" s="509">
        <f t="shared" si="188"/>
        <v>0</v>
      </c>
      <c r="T395" s="516"/>
      <c r="U395" s="618"/>
      <c r="V395" s="506">
        <f t="shared" si="189"/>
        <v>0</v>
      </c>
      <c r="W395" s="510">
        <f t="shared" si="190"/>
        <v>0</v>
      </c>
      <c r="X395" s="517"/>
      <c r="Y395" s="618"/>
      <c r="Z395" s="516"/>
      <c r="AA395" s="519"/>
      <c r="AB395" s="516"/>
      <c r="AC395" s="519"/>
      <c r="AD395" s="516">
        <v>876995.5</v>
      </c>
      <c r="AE395" s="519">
        <v>827147</v>
      </c>
      <c r="AF395" s="506">
        <f t="shared" si="191"/>
        <v>876995.5</v>
      </c>
      <c r="AG395" s="507">
        <f t="shared" si="192"/>
        <v>974.43944444444446</v>
      </c>
      <c r="AH395" s="508">
        <f t="shared" si="193"/>
        <v>827147</v>
      </c>
      <c r="AI395" s="508">
        <f t="shared" si="194"/>
        <v>919.05222222222221</v>
      </c>
      <c r="AJ395" s="516"/>
      <c r="AK395" s="519"/>
      <c r="AL395" s="506">
        <f t="shared" si="195"/>
        <v>0</v>
      </c>
      <c r="AM395" s="509">
        <f t="shared" si="196"/>
        <v>0</v>
      </c>
      <c r="AN395" s="518"/>
      <c r="AO395" s="520"/>
      <c r="AP395" s="516"/>
      <c r="AQ395" s="520"/>
      <c r="AR395" s="516"/>
      <c r="AS395" s="520"/>
      <c r="AT395" s="516"/>
      <c r="AU395" s="520"/>
      <c r="AV395" s="506">
        <f t="shared" si="197"/>
        <v>0</v>
      </c>
      <c r="AW395" s="511">
        <f t="shared" si="198"/>
        <v>0</v>
      </c>
      <c r="AX395" s="508">
        <f t="shared" si="199"/>
        <v>0</v>
      </c>
      <c r="AY395" s="512">
        <f t="shared" si="200"/>
        <v>0</v>
      </c>
      <c r="AZ395" s="513">
        <f t="shared" si="201"/>
        <v>974.43944444444446</v>
      </c>
      <c r="BA395" s="508">
        <f t="shared" si="202"/>
        <v>919.05222222222221</v>
      </c>
    </row>
    <row r="396" spans="1:53" ht="15" customHeight="1">
      <c r="A396" s="611" t="s">
        <v>452</v>
      </c>
      <c r="B396" s="505" t="s">
        <v>463</v>
      </c>
      <c r="C396" s="614"/>
      <c r="D396" s="521">
        <v>428019</v>
      </c>
      <c r="E396" s="521">
        <v>13</v>
      </c>
      <c r="F396" s="514"/>
      <c r="G396" s="515"/>
      <c r="H396" s="516"/>
      <c r="I396" s="519"/>
      <c r="J396" s="516"/>
      <c r="K396" s="519"/>
      <c r="L396" s="516"/>
      <c r="M396" s="519"/>
      <c r="N396" s="516"/>
      <c r="O396" s="519"/>
      <c r="P396" s="506">
        <f t="shared" si="185"/>
        <v>0</v>
      </c>
      <c r="Q396" s="507">
        <f t="shared" si="186"/>
        <v>0</v>
      </c>
      <c r="R396" s="508">
        <f t="shared" si="187"/>
        <v>0</v>
      </c>
      <c r="S396" s="509">
        <f t="shared" si="188"/>
        <v>0</v>
      </c>
      <c r="T396" s="516"/>
      <c r="U396" s="618"/>
      <c r="V396" s="506">
        <f t="shared" si="189"/>
        <v>0</v>
      </c>
      <c r="W396" s="510">
        <f t="shared" si="190"/>
        <v>0</v>
      </c>
      <c r="X396" s="517"/>
      <c r="Y396" s="618"/>
      <c r="Z396" s="516"/>
      <c r="AA396" s="519"/>
      <c r="AB396" s="516"/>
      <c r="AC396" s="519"/>
      <c r="AD396" s="516">
        <v>248913</v>
      </c>
      <c r="AE396" s="519">
        <v>207618</v>
      </c>
      <c r="AF396" s="506">
        <f t="shared" si="191"/>
        <v>248913</v>
      </c>
      <c r="AG396" s="507">
        <f t="shared" si="192"/>
        <v>276.57</v>
      </c>
      <c r="AH396" s="508">
        <f t="shared" si="193"/>
        <v>207618</v>
      </c>
      <c r="AI396" s="508">
        <f t="shared" si="194"/>
        <v>230.68666666666667</v>
      </c>
      <c r="AJ396" s="516"/>
      <c r="AK396" s="519"/>
      <c r="AL396" s="506">
        <f t="shared" si="195"/>
        <v>0</v>
      </c>
      <c r="AM396" s="509">
        <f t="shared" si="196"/>
        <v>0</v>
      </c>
      <c r="AN396" s="518"/>
      <c r="AO396" s="520"/>
      <c r="AP396" s="516"/>
      <c r="AQ396" s="520"/>
      <c r="AR396" s="516"/>
      <c r="AS396" s="520"/>
      <c r="AT396" s="516"/>
      <c r="AU396" s="520"/>
      <c r="AV396" s="506">
        <f t="shared" si="197"/>
        <v>0</v>
      </c>
      <c r="AW396" s="511">
        <f t="shared" si="198"/>
        <v>0</v>
      </c>
      <c r="AX396" s="508">
        <f t="shared" si="199"/>
        <v>0</v>
      </c>
      <c r="AY396" s="512">
        <f t="shared" si="200"/>
        <v>0</v>
      </c>
      <c r="AZ396" s="513">
        <f t="shared" si="201"/>
        <v>276.57</v>
      </c>
      <c r="BA396" s="508">
        <f t="shared" si="202"/>
        <v>230.68666666666667</v>
      </c>
    </row>
    <row r="397" spans="1:53" ht="15" customHeight="1">
      <c r="A397" s="521" t="s">
        <v>452</v>
      </c>
      <c r="B397" s="505" t="s">
        <v>464</v>
      </c>
      <c r="C397" s="614"/>
      <c r="D397" s="521">
        <v>208053</v>
      </c>
      <c r="E397" s="521">
        <v>13</v>
      </c>
      <c r="F397" s="514"/>
      <c r="G397" s="515"/>
      <c r="H397" s="516"/>
      <c r="I397" s="519"/>
      <c r="J397" s="516"/>
      <c r="K397" s="519"/>
      <c r="L397" s="516"/>
      <c r="M397" s="519"/>
      <c r="N397" s="516"/>
      <c r="O397" s="519"/>
      <c r="P397" s="506">
        <f t="shared" si="185"/>
        <v>0</v>
      </c>
      <c r="Q397" s="507">
        <f t="shared" si="186"/>
        <v>0</v>
      </c>
      <c r="R397" s="508">
        <f t="shared" si="187"/>
        <v>0</v>
      </c>
      <c r="S397" s="509">
        <f t="shared" si="188"/>
        <v>0</v>
      </c>
      <c r="T397" s="516"/>
      <c r="U397" s="618"/>
      <c r="V397" s="506">
        <f t="shared" si="189"/>
        <v>0</v>
      </c>
      <c r="W397" s="510">
        <f t="shared" si="190"/>
        <v>0</v>
      </c>
      <c r="X397" s="517"/>
      <c r="Y397" s="618"/>
      <c r="Z397" s="516"/>
      <c r="AA397" s="519"/>
      <c r="AB397" s="516"/>
      <c r="AC397" s="519"/>
      <c r="AD397" s="516">
        <v>215438.75</v>
      </c>
      <c r="AE397" s="519">
        <v>189990</v>
      </c>
      <c r="AF397" s="506">
        <f t="shared" si="191"/>
        <v>215438.75</v>
      </c>
      <c r="AG397" s="507">
        <f t="shared" si="192"/>
        <v>239.3763888888889</v>
      </c>
      <c r="AH397" s="508">
        <f t="shared" si="193"/>
        <v>189990</v>
      </c>
      <c r="AI397" s="508">
        <f t="shared" si="194"/>
        <v>211.1</v>
      </c>
      <c r="AJ397" s="516"/>
      <c r="AK397" s="519"/>
      <c r="AL397" s="506">
        <f t="shared" si="195"/>
        <v>0</v>
      </c>
      <c r="AM397" s="509">
        <f t="shared" si="196"/>
        <v>0</v>
      </c>
      <c r="AN397" s="518"/>
      <c r="AO397" s="520"/>
      <c r="AP397" s="516"/>
      <c r="AQ397" s="520"/>
      <c r="AR397" s="516"/>
      <c r="AS397" s="520"/>
      <c r="AT397" s="516"/>
      <c r="AU397" s="520"/>
      <c r="AV397" s="506">
        <f t="shared" si="197"/>
        <v>0</v>
      </c>
      <c r="AW397" s="511">
        <f t="shared" si="198"/>
        <v>0</v>
      </c>
      <c r="AX397" s="508">
        <f t="shared" si="199"/>
        <v>0</v>
      </c>
      <c r="AY397" s="512">
        <f t="shared" si="200"/>
        <v>0</v>
      </c>
      <c r="AZ397" s="513">
        <f t="shared" si="201"/>
        <v>239.3763888888889</v>
      </c>
      <c r="BA397" s="508">
        <f t="shared" si="202"/>
        <v>211.1</v>
      </c>
    </row>
    <row r="398" spans="1:53" ht="15" customHeight="1">
      <c r="A398" s="521" t="s">
        <v>452</v>
      </c>
      <c r="B398" s="505" t="s">
        <v>465</v>
      </c>
      <c r="C398" s="614"/>
      <c r="D398" s="521">
        <v>418296</v>
      </c>
      <c r="E398" s="521">
        <v>13</v>
      </c>
      <c r="F398" s="514"/>
      <c r="G398" s="515"/>
      <c r="H398" s="516"/>
      <c r="I398" s="519"/>
      <c r="J398" s="516"/>
      <c r="K398" s="519"/>
      <c r="L398" s="516"/>
      <c r="M398" s="519"/>
      <c r="N398" s="516"/>
      <c r="O398" s="519"/>
      <c r="P398" s="506">
        <f t="shared" si="185"/>
        <v>0</v>
      </c>
      <c r="Q398" s="507">
        <f t="shared" si="186"/>
        <v>0</v>
      </c>
      <c r="R398" s="508">
        <f t="shared" si="187"/>
        <v>0</v>
      </c>
      <c r="S398" s="509">
        <f t="shared" si="188"/>
        <v>0</v>
      </c>
      <c r="T398" s="516"/>
      <c r="U398" s="618"/>
      <c r="V398" s="506">
        <f t="shared" si="189"/>
        <v>0</v>
      </c>
      <c r="W398" s="510">
        <f t="shared" si="190"/>
        <v>0</v>
      </c>
      <c r="X398" s="517"/>
      <c r="Y398" s="618"/>
      <c r="Z398" s="516"/>
      <c r="AA398" s="519"/>
      <c r="AB398" s="516"/>
      <c r="AC398" s="519"/>
      <c r="AD398" s="516">
        <v>490481.07</v>
      </c>
      <c r="AE398" s="519">
        <v>488612</v>
      </c>
      <c r="AF398" s="506">
        <f t="shared" si="191"/>
        <v>490481.07</v>
      </c>
      <c r="AG398" s="507">
        <f t="shared" si="192"/>
        <v>544.97896666666668</v>
      </c>
      <c r="AH398" s="508">
        <f t="shared" si="193"/>
        <v>488612</v>
      </c>
      <c r="AI398" s="508">
        <f t="shared" si="194"/>
        <v>542.90222222222224</v>
      </c>
      <c r="AJ398" s="516"/>
      <c r="AK398" s="519"/>
      <c r="AL398" s="506">
        <f t="shared" si="195"/>
        <v>0</v>
      </c>
      <c r="AM398" s="509">
        <f t="shared" si="196"/>
        <v>0</v>
      </c>
      <c r="AN398" s="518"/>
      <c r="AO398" s="520"/>
      <c r="AP398" s="516"/>
      <c r="AQ398" s="520"/>
      <c r="AR398" s="516"/>
      <c r="AS398" s="520"/>
      <c r="AT398" s="516"/>
      <c r="AU398" s="520"/>
      <c r="AV398" s="506">
        <f t="shared" si="197"/>
        <v>0</v>
      </c>
      <c r="AW398" s="511">
        <f t="shared" si="198"/>
        <v>0</v>
      </c>
      <c r="AX398" s="508">
        <f t="shared" si="199"/>
        <v>0</v>
      </c>
      <c r="AY398" s="512">
        <f t="shared" si="200"/>
        <v>0</v>
      </c>
      <c r="AZ398" s="513">
        <f t="shared" si="201"/>
        <v>544.97896666666668</v>
      </c>
      <c r="BA398" s="508">
        <f t="shared" si="202"/>
        <v>542.90222222222224</v>
      </c>
    </row>
    <row r="399" spans="1:53" ht="15" customHeight="1">
      <c r="A399" s="521" t="s">
        <v>452</v>
      </c>
      <c r="B399" s="505" t="s">
        <v>466</v>
      </c>
      <c r="C399" s="614"/>
      <c r="D399" s="521">
        <v>421540</v>
      </c>
      <c r="E399" s="521">
        <v>13</v>
      </c>
      <c r="F399" s="514"/>
      <c r="G399" s="515"/>
      <c r="H399" s="516"/>
      <c r="I399" s="519"/>
      <c r="J399" s="516"/>
      <c r="K399" s="519"/>
      <c r="L399" s="516"/>
      <c r="M399" s="519"/>
      <c r="N399" s="516"/>
      <c r="O399" s="519"/>
      <c r="P399" s="506">
        <f t="shared" si="185"/>
        <v>0</v>
      </c>
      <c r="Q399" s="507">
        <f t="shared" si="186"/>
        <v>0</v>
      </c>
      <c r="R399" s="508">
        <f t="shared" si="187"/>
        <v>0</v>
      </c>
      <c r="S399" s="509">
        <f t="shared" si="188"/>
        <v>0</v>
      </c>
      <c r="T399" s="516"/>
      <c r="U399" s="618"/>
      <c r="V399" s="506">
        <f t="shared" si="189"/>
        <v>0</v>
      </c>
      <c r="W399" s="510">
        <f t="shared" si="190"/>
        <v>0</v>
      </c>
      <c r="X399" s="517"/>
      <c r="Y399" s="618"/>
      <c r="Z399" s="516"/>
      <c r="AA399" s="519"/>
      <c r="AB399" s="516"/>
      <c r="AC399" s="519"/>
      <c r="AD399" s="516">
        <v>172153</v>
      </c>
      <c r="AE399" s="519">
        <v>158466</v>
      </c>
      <c r="AF399" s="506">
        <f t="shared" si="191"/>
        <v>172153</v>
      </c>
      <c r="AG399" s="507">
        <f t="shared" si="192"/>
        <v>191.2811111111111</v>
      </c>
      <c r="AH399" s="508">
        <f t="shared" si="193"/>
        <v>158466</v>
      </c>
      <c r="AI399" s="508">
        <f t="shared" si="194"/>
        <v>176.07333333333332</v>
      </c>
      <c r="AJ399" s="516"/>
      <c r="AK399" s="519"/>
      <c r="AL399" s="506">
        <f t="shared" si="195"/>
        <v>0</v>
      </c>
      <c r="AM399" s="509">
        <f t="shared" si="196"/>
        <v>0</v>
      </c>
      <c r="AN399" s="518"/>
      <c r="AO399" s="520"/>
      <c r="AP399" s="516"/>
      <c r="AQ399" s="520"/>
      <c r="AR399" s="516"/>
      <c r="AS399" s="520"/>
      <c r="AT399" s="516"/>
      <c r="AU399" s="520"/>
      <c r="AV399" s="506">
        <f t="shared" si="197"/>
        <v>0</v>
      </c>
      <c r="AW399" s="511">
        <f t="shared" si="198"/>
        <v>0</v>
      </c>
      <c r="AX399" s="508">
        <f t="shared" si="199"/>
        <v>0</v>
      </c>
      <c r="AY399" s="512">
        <f t="shared" si="200"/>
        <v>0</v>
      </c>
      <c r="AZ399" s="513">
        <f t="shared" si="201"/>
        <v>191.2811111111111</v>
      </c>
      <c r="BA399" s="508">
        <f t="shared" si="202"/>
        <v>176.07333333333332</v>
      </c>
    </row>
    <row r="400" spans="1:53" ht="15" customHeight="1">
      <c r="A400" s="521" t="s">
        <v>452</v>
      </c>
      <c r="B400" s="505" t="s">
        <v>467</v>
      </c>
      <c r="C400" s="614"/>
      <c r="D400" s="521">
        <v>421559</v>
      </c>
      <c r="E400" s="521">
        <v>13</v>
      </c>
      <c r="F400" s="514"/>
      <c r="G400" s="515"/>
      <c r="H400" s="516"/>
      <c r="I400" s="519"/>
      <c r="J400" s="516"/>
      <c r="K400" s="519"/>
      <c r="L400" s="516"/>
      <c r="M400" s="519"/>
      <c r="N400" s="516"/>
      <c r="O400" s="519"/>
      <c r="P400" s="506">
        <f t="shared" si="185"/>
        <v>0</v>
      </c>
      <c r="Q400" s="507">
        <f t="shared" si="186"/>
        <v>0</v>
      </c>
      <c r="R400" s="508">
        <f t="shared" si="187"/>
        <v>0</v>
      </c>
      <c r="S400" s="509">
        <f t="shared" si="188"/>
        <v>0</v>
      </c>
      <c r="T400" s="516"/>
      <c r="U400" s="618"/>
      <c r="V400" s="506">
        <f t="shared" si="189"/>
        <v>0</v>
      </c>
      <c r="W400" s="510">
        <f t="shared" si="190"/>
        <v>0</v>
      </c>
      <c r="X400" s="517"/>
      <c r="Y400" s="618"/>
      <c r="Z400" s="516"/>
      <c r="AA400" s="519"/>
      <c r="AB400" s="516"/>
      <c r="AC400" s="519"/>
      <c r="AD400" s="516">
        <v>103565</v>
      </c>
      <c r="AE400" s="519">
        <v>117530</v>
      </c>
      <c r="AF400" s="506">
        <f t="shared" si="191"/>
        <v>103565</v>
      </c>
      <c r="AG400" s="507">
        <f t="shared" si="192"/>
        <v>115.07222222222222</v>
      </c>
      <c r="AH400" s="508">
        <f t="shared" si="193"/>
        <v>117530</v>
      </c>
      <c r="AI400" s="508">
        <f t="shared" si="194"/>
        <v>130.5888888888889</v>
      </c>
      <c r="AJ400" s="516"/>
      <c r="AK400" s="519"/>
      <c r="AL400" s="506">
        <f t="shared" si="195"/>
        <v>0</v>
      </c>
      <c r="AM400" s="509">
        <f t="shared" si="196"/>
        <v>0</v>
      </c>
      <c r="AN400" s="518"/>
      <c r="AO400" s="520"/>
      <c r="AP400" s="516"/>
      <c r="AQ400" s="520"/>
      <c r="AR400" s="516"/>
      <c r="AS400" s="520"/>
      <c r="AT400" s="516"/>
      <c r="AU400" s="520"/>
      <c r="AV400" s="506">
        <f t="shared" si="197"/>
        <v>0</v>
      </c>
      <c r="AW400" s="511">
        <f t="shared" si="198"/>
        <v>0</v>
      </c>
      <c r="AX400" s="508">
        <f t="shared" si="199"/>
        <v>0</v>
      </c>
      <c r="AY400" s="512">
        <f t="shared" si="200"/>
        <v>0</v>
      </c>
      <c r="AZ400" s="513">
        <f t="shared" si="201"/>
        <v>115.07222222222222</v>
      </c>
      <c r="BA400" s="508">
        <f t="shared" si="202"/>
        <v>130.5888888888889</v>
      </c>
    </row>
    <row r="401" spans="1:53" ht="15" customHeight="1">
      <c r="A401" s="521" t="s">
        <v>452</v>
      </c>
      <c r="B401" s="505" t="s">
        <v>468</v>
      </c>
      <c r="C401" s="614"/>
      <c r="D401" s="521">
        <v>208026</v>
      </c>
      <c r="E401" s="521">
        <v>13</v>
      </c>
      <c r="F401" s="514"/>
      <c r="G401" s="515"/>
      <c r="H401" s="516"/>
      <c r="I401" s="519"/>
      <c r="J401" s="516"/>
      <c r="K401" s="519"/>
      <c r="L401" s="516"/>
      <c r="M401" s="519"/>
      <c r="N401" s="516"/>
      <c r="O401" s="519"/>
      <c r="P401" s="506">
        <f t="shared" si="185"/>
        <v>0</v>
      </c>
      <c r="Q401" s="507">
        <f t="shared" si="186"/>
        <v>0</v>
      </c>
      <c r="R401" s="508">
        <f t="shared" si="187"/>
        <v>0</v>
      </c>
      <c r="S401" s="509">
        <f t="shared" si="188"/>
        <v>0</v>
      </c>
      <c r="T401" s="516"/>
      <c r="U401" s="618"/>
      <c r="V401" s="506">
        <f t="shared" si="189"/>
        <v>0</v>
      </c>
      <c r="W401" s="510">
        <f t="shared" si="190"/>
        <v>0</v>
      </c>
      <c r="X401" s="517"/>
      <c r="Y401" s="618"/>
      <c r="Z401" s="516"/>
      <c r="AA401" s="519"/>
      <c r="AB401" s="516"/>
      <c r="AC401" s="519"/>
      <c r="AD401" s="516">
        <v>209746</v>
      </c>
      <c r="AE401" s="519">
        <v>195943</v>
      </c>
      <c r="AF401" s="506">
        <f t="shared" si="191"/>
        <v>209746</v>
      </c>
      <c r="AG401" s="507">
        <f t="shared" si="192"/>
        <v>233.05111111111111</v>
      </c>
      <c r="AH401" s="508">
        <f t="shared" si="193"/>
        <v>195943</v>
      </c>
      <c r="AI401" s="508">
        <f t="shared" si="194"/>
        <v>217.71444444444444</v>
      </c>
      <c r="AJ401" s="516"/>
      <c r="AK401" s="519"/>
      <c r="AL401" s="506">
        <f t="shared" si="195"/>
        <v>0</v>
      </c>
      <c r="AM401" s="509">
        <f t="shared" si="196"/>
        <v>0</v>
      </c>
      <c r="AN401" s="518"/>
      <c r="AO401" s="520"/>
      <c r="AP401" s="516"/>
      <c r="AQ401" s="520"/>
      <c r="AR401" s="516"/>
      <c r="AS401" s="520"/>
      <c r="AT401" s="516"/>
      <c r="AU401" s="520"/>
      <c r="AV401" s="506">
        <f t="shared" si="197"/>
        <v>0</v>
      </c>
      <c r="AW401" s="511">
        <f t="shared" si="198"/>
        <v>0</v>
      </c>
      <c r="AX401" s="508">
        <f t="shared" si="199"/>
        <v>0</v>
      </c>
      <c r="AY401" s="512">
        <f t="shared" si="200"/>
        <v>0</v>
      </c>
      <c r="AZ401" s="513">
        <f t="shared" si="201"/>
        <v>233.05111111111111</v>
      </c>
      <c r="BA401" s="508">
        <f t="shared" si="202"/>
        <v>217.71444444444444</v>
      </c>
    </row>
    <row r="402" spans="1:53">
      <c r="A402" s="521" t="s">
        <v>452</v>
      </c>
      <c r="B402" s="505" t="s">
        <v>469</v>
      </c>
      <c r="C402" s="614"/>
      <c r="D402" s="521">
        <v>375692</v>
      </c>
      <c r="E402" s="521">
        <v>13</v>
      </c>
      <c r="F402" s="514"/>
      <c r="G402" s="515"/>
      <c r="H402" s="516"/>
      <c r="I402" s="519"/>
      <c r="J402" s="516"/>
      <c r="K402" s="519"/>
      <c r="L402" s="516"/>
      <c r="M402" s="519"/>
      <c r="N402" s="516"/>
      <c r="O402" s="519"/>
      <c r="P402" s="506">
        <f t="shared" si="185"/>
        <v>0</v>
      </c>
      <c r="Q402" s="507">
        <f t="shared" si="186"/>
        <v>0</v>
      </c>
      <c r="R402" s="508">
        <f t="shared" si="187"/>
        <v>0</v>
      </c>
      <c r="S402" s="509">
        <f t="shared" si="188"/>
        <v>0</v>
      </c>
      <c r="T402" s="516"/>
      <c r="U402" s="618"/>
      <c r="V402" s="506">
        <f t="shared" si="189"/>
        <v>0</v>
      </c>
      <c r="W402" s="510">
        <f t="shared" si="190"/>
        <v>0</v>
      </c>
      <c r="X402" s="517"/>
      <c r="Y402" s="618"/>
      <c r="Z402" s="516"/>
      <c r="AA402" s="519"/>
      <c r="AB402" s="516"/>
      <c r="AC402" s="519"/>
      <c r="AD402" s="516">
        <v>109267.5</v>
      </c>
      <c r="AE402" s="519">
        <v>106717</v>
      </c>
      <c r="AF402" s="506">
        <f t="shared" si="191"/>
        <v>109267.5</v>
      </c>
      <c r="AG402" s="507">
        <f t="shared" si="192"/>
        <v>121.40833333333333</v>
      </c>
      <c r="AH402" s="508">
        <f t="shared" si="193"/>
        <v>106717</v>
      </c>
      <c r="AI402" s="508">
        <f t="shared" si="194"/>
        <v>118.57444444444444</v>
      </c>
      <c r="AJ402" s="516"/>
      <c r="AK402" s="519"/>
      <c r="AL402" s="506">
        <f t="shared" si="195"/>
        <v>0</v>
      </c>
      <c r="AM402" s="509">
        <f t="shared" si="196"/>
        <v>0</v>
      </c>
      <c r="AN402" s="518"/>
      <c r="AO402" s="520"/>
      <c r="AP402" s="516"/>
      <c r="AQ402" s="520"/>
      <c r="AR402" s="516"/>
      <c r="AS402" s="520"/>
      <c r="AT402" s="516"/>
      <c r="AU402" s="520"/>
      <c r="AV402" s="506">
        <f t="shared" si="197"/>
        <v>0</v>
      </c>
      <c r="AW402" s="511">
        <f t="shared" si="198"/>
        <v>0</v>
      </c>
      <c r="AX402" s="508">
        <f t="shared" si="199"/>
        <v>0</v>
      </c>
      <c r="AY402" s="512">
        <f t="shared" si="200"/>
        <v>0</v>
      </c>
      <c r="AZ402" s="513">
        <f t="shared" si="201"/>
        <v>121.40833333333333</v>
      </c>
      <c r="BA402" s="508">
        <f t="shared" si="202"/>
        <v>118.57444444444444</v>
      </c>
    </row>
    <row r="403" spans="1:53">
      <c r="A403" s="521" t="s">
        <v>452</v>
      </c>
      <c r="B403" s="505" t="s">
        <v>470</v>
      </c>
      <c r="C403" s="614"/>
      <c r="D403" s="521">
        <v>375708</v>
      </c>
      <c r="E403" s="521">
        <v>13</v>
      </c>
      <c r="F403" s="514"/>
      <c r="G403" s="515"/>
      <c r="H403" s="516"/>
      <c r="I403" s="519"/>
      <c r="J403" s="516"/>
      <c r="K403" s="519"/>
      <c r="L403" s="516"/>
      <c r="M403" s="519"/>
      <c r="N403" s="516"/>
      <c r="O403" s="519"/>
      <c r="P403" s="506">
        <f t="shared" si="185"/>
        <v>0</v>
      </c>
      <c r="Q403" s="507">
        <f t="shared" si="186"/>
        <v>0</v>
      </c>
      <c r="R403" s="508">
        <f t="shared" si="187"/>
        <v>0</v>
      </c>
      <c r="S403" s="509">
        <f t="shared" si="188"/>
        <v>0</v>
      </c>
      <c r="T403" s="516"/>
      <c r="U403" s="618"/>
      <c r="V403" s="506">
        <f t="shared" si="189"/>
        <v>0</v>
      </c>
      <c r="W403" s="510">
        <f t="shared" si="190"/>
        <v>0</v>
      </c>
      <c r="X403" s="517"/>
      <c r="Y403" s="618"/>
      <c r="Z403" s="516"/>
      <c r="AA403" s="519"/>
      <c r="AB403" s="516"/>
      <c r="AC403" s="519"/>
      <c r="AD403" s="516">
        <v>203568</v>
      </c>
      <c r="AE403" s="519">
        <v>169385</v>
      </c>
      <c r="AF403" s="506">
        <f t="shared" si="191"/>
        <v>203568</v>
      </c>
      <c r="AG403" s="507">
        <f t="shared" si="192"/>
        <v>226.18666666666667</v>
      </c>
      <c r="AH403" s="508">
        <f t="shared" si="193"/>
        <v>169385</v>
      </c>
      <c r="AI403" s="508">
        <f t="shared" si="194"/>
        <v>188.20555555555555</v>
      </c>
      <c r="AJ403" s="516"/>
      <c r="AK403" s="519"/>
      <c r="AL403" s="506">
        <f t="shared" si="195"/>
        <v>0</v>
      </c>
      <c r="AM403" s="509">
        <f t="shared" si="196"/>
        <v>0</v>
      </c>
      <c r="AN403" s="518"/>
      <c r="AO403" s="520"/>
      <c r="AP403" s="516"/>
      <c r="AQ403" s="520"/>
      <c r="AR403" s="516"/>
      <c r="AS403" s="520"/>
      <c r="AT403" s="516"/>
      <c r="AU403" s="520"/>
      <c r="AV403" s="506">
        <f t="shared" si="197"/>
        <v>0</v>
      </c>
      <c r="AW403" s="511">
        <f t="shared" si="198"/>
        <v>0</v>
      </c>
      <c r="AX403" s="508">
        <f t="shared" si="199"/>
        <v>0</v>
      </c>
      <c r="AY403" s="512">
        <f t="shared" si="200"/>
        <v>0</v>
      </c>
      <c r="AZ403" s="513">
        <f t="shared" si="201"/>
        <v>226.18666666666667</v>
      </c>
      <c r="BA403" s="508">
        <f t="shared" si="202"/>
        <v>188.20555555555555</v>
      </c>
    </row>
    <row r="404" spans="1:53">
      <c r="A404" s="521" t="s">
        <v>452</v>
      </c>
      <c r="B404" s="505" t="s">
        <v>471</v>
      </c>
      <c r="C404" s="614"/>
      <c r="D404" s="521">
        <v>375717</v>
      </c>
      <c r="E404" s="521">
        <v>13</v>
      </c>
      <c r="F404" s="514"/>
      <c r="G404" s="515"/>
      <c r="H404" s="516"/>
      <c r="I404" s="519"/>
      <c r="J404" s="516"/>
      <c r="K404" s="519"/>
      <c r="L404" s="516"/>
      <c r="M404" s="519"/>
      <c r="N404" s="516"/>
      <c r="O404" s="519"/>
      <c r="P404" s="506">
        <f t="shared" si="185"/>
        <v>0</v>
      </c>
      <c r="Q404" s="507">
        <f t="shared" si="186"/>
        <v>0</v>
      </c>
      <c r="R404" s="508">
        <f t="shared" si="187"/>
        <v>0</v>
      </c>
      <c r="S404" s="509">
        <f t="shared" si="188"/>
        <v>0</v>
      </c>
      <c r="T404" s="516"/>
      <c r="U404" s="618"/>
      <c r="V404" s="506">
        <f t="shared" si="189"/>
        <v>0</v>
      </c>
      <c r="W404" s="510">
        <f t="shared" si="190"/>
        <v>0</v>
      </c>
      <c r="X404" s="517"/>
      <c r="Y404" s="618"/>
      <c r="Z404" s="516"/>
      <c r="AA404" s="519"/>
      <c r="AB404" s="516"/>
      <c r="AC404" s="519"/>
      <c r="AD404" s="516">
        <v>147098</v>
      </c>
      <c r="AE404" s="519">
        <v>139724</v>
      </c>
      <c r="AF404" s="506">
        <f t="shared" si="191"/>
        <v>147098</v>
      </c>
      <c r="AG404" s="507">
        <f t="shared" si="192"/>
        <v>163.44222222222223</v>
      </c>
      <c r="AH404" s="508">
        <f t="shared" si="193"/>
        <v>139724</v>
      </c>
      <c r="AI404" s="508">
        <f t="shared" si="194"/>
        <v>155.2488888888889</v>
      </c>
      <c r="AJ404" s="516"/>
      <c r="AK404" s="519"/>
      <c r="AL404" s="506">
        <f t="shared" si="195"/>
        <v>0</v>
      </c>
      <c r="AM404" s="509">
        <f t="shared" si="196"/>
        <v>0</v>
      </c>
      <c r="AN404" s="518"/>
      <c r="AO404" s="520"/>
      <c r="AP404" s="516"/>
      <c r="AQ404" s="520"/>
      <c r="AR404" s="516"/>
      <c r="AS404" s="520"/>
      <c r="AT404" s="516"/>
      <c r="AU404" s="520"/>
      <c r="AV404" s="506">
        <f t="shared" si="197"/>
        <v>0</v>
      </c>
      <c r="AW404" s="511">
        <f t="shared" si="198"/>
        <v>0</v>
      </c>
      <c r="AX404" s="508">
        <f t="shared" si="199"/>
        <v>0</v>
      </c>
      <c r="AY404" s="512">
        <f t="shared" si="200"/>
        <v>0</v>
      </c>
      <c r="AZ404" s="513">
        <f t="shared" si="201"/>
        <v>163.44222222222223</v>
      </c>
      <c r="BA404" s="508">
        <f t="shared" si="202"/>
        <v>155.2488888888889</v>
      </c>
    </row>
    <row r="405" spans="1:53">
      <c r="A405" s="521" t="s">
        <v>452</v>
      </c>
      <c r="B405" s="505" t="s">
        <v>472</v>
      </c>
      <c r="C405" s="614"/>
      <c r="D405" s="521">
        <v>375735</v>
      </c>
      <c r="E405" s="521">
        <v>13</v>
      </c>
      <c r="F405" s="514"/>
      <c r="G405" s="515"/>
      <c r="H405" s="516"/>
      <c r="I405" s="519"/>
      <c r="J405" s="516"/>
      <c r="K405" s="519"/>
      <c r="L405" s="516"/>
      <c r="M405" s="519"/>
      <c r="N405" s="516"/>
      <c r="O405" s="519"/>
      <c r="P405" s="506">
        <f t="shared" si="185"/>
        <v>0</v>
      </c>
      <c r="Q405" s="507">
        <f t="shared" si="186"/>
        <v>0</v>
      </c>
      <c r="R405" s="508">
        <f t="shared" si="187"/>
        <v>0</v>
      </c>
      <c r="S405" s="509">
        <f t="shared" si="188"/>
        <v>0</v>
      </c>
      <c r="T405" s="516"/>
      <c r="U405" s="618"/>
      <c r="V405" s="506">
        <f t="shared" si="189"/>
        <v>0</v>
      </c>
      <c r="W405" s="510">
        <f t="shared" si="190"/>
        <v>0</v>
      </c>
      <c r="X405" s="517"/>
      <c r="Y405" s="618"/>
      <c r="Z405" s="516"/>
      <c r="AA405" s="519"/>
      <c r="AB405" s="516"/>
      <c r="AC405" s="519"/>
      <c r="AD405" s="516">
        <v>180915</v>
      </c>
      <c r="AE405" s="519">
        <v>188055</v>
      </c>
      <c r="AF405" s="506">
        <f t="shared" si="191"/>
        <v>180915</v>
      </c>
      <c r="AG405" s="507">
        <f t="shared" si="192"/>
        <v>201.01666666666668</v>
      </c>
      <c r="AH405" s="508">
        <f t="shared" si="193"/>
        <v>188055</v>
      </c>
      <c r="AI405" s="508">
        <f t="shared" si="194"/>
        <v>208.95</v>
      </c>
      <c r="AJ405" s="516"/>
      <c r="AK405" s="519"/>
      <c r="AL405" s="506">
        <f t="shared" si="195"/>
        <v>0</v>
      </c>
      <c r="AM405" s="509">
        <f t="shared" si="196"/>
        <v>0</v>
      </c>
      <c r="AN405" s="518"/>
      <c r="AO405" s="520"/>
      <c r="AP405" s="516"/>
      <c r="AQ405" s="520"/>
      <c r="AR405" s="516"/>
      <c r="AS405" s="520"/>
      <c r="AT405" s="516"/>
      <c r="AU405" s="520"/>
      <c r="AV405" s="506">
        <f t="shared" si="197"/>
        <v>0</v>
      </c>
      <c r="AW405" s="511">
        <f t="shared" si="198"/>
        <v>0</v>
      </c>
      <c r="AX405" s="508">
        <f t="shared" si="199"/>
        <v>0</v>
      </c>
      <c r="AY405" s="512">
        <f t="shared" si="200"/>
        <v>0</v>
      </c>
      <c r="AZ405" s="513">
        <f t="shared" si="201"/>
        <v>201.01666666666668</v>
      </c>
      <c r="BA405" s="508">
        <f t="shared" si="202"/>
        <v>208.95</v>
      </c>
    </row>
    <row r="406" spans="1:53">
      <c r="A406" s="521" t="s">
        <v>452</v>
      </c>
      <c r="B406" s="505" t="s">
        <v>473</v>
      </c>
      <c r="C406" s="614"/>
      <c r="D406" s="521">
        <v>375726</v>
      </c>
      <c r="E406" s="521">
        <v>13</v>
      </c>
      <c r="F406" s="514"/>
      <c r="G406" s="515"/>
      <c r="H406" s="516"/>
      <c r="I406" s="519"/>
      <c r="J406" s="516"/>
      <c r="K406" s="519"/>
      <c r="L406" s="516"/>
      <c r="M406" s="519"/>
      <c r="N406" s="516"/>
      <c r="O406" s="519"/>
      <c r="P406" s="506">
        <f t="shared" si="185"/>
        <v>0</v>
      </c>
      <c r="Q406" s="507">
        <f t="shared" si="186"/>
        <v>0</v>
      </c>
      <c r="R406" s="508">
        <f t="shared" si="187"/>
        <v>0</v>
      </c>
      <c r="S406" s="509">
        <f t="shared" si="188"/>
        <v>0</v>
      </c>
      <c r="T406" s="516"/>
      <c r="U406" s="618"/>
      <c r="V406" s="506">
        <f t="shared" si="189"/>
        <v>0</v>
      </c>
      <c r="W406" s="510">
        <f t="shared" si="190"/>
        <v>0</v>
      </c>
      <c r="X406" s="517"/>
      <c r="Y406" s="618"/>
      <c r="Z406" s="516"/>
      <c r="AA406" s="519"/>
      <c r="AB406" s="516"/>
      <c r="AC406" s="519"/>
      <c r="AD406" s="516">
        <v>321603.5</v>
      </c>
      <c r="AE406" s="519">
        <v>335342</v>
      </c>
      <c r="AF406" s="506">
        <f t="shared" si="191"/>
        <v>321603.5</v>
      </c>
      <c r="AG406" s="507">
        <f t="shared" si="192"/>
        <v>357.33722222222224</v>
      </c>
      <c r="AH406" s="508">
        <f t="shared" si="193"/>
        <v>335342</v>
      </c>
      <c r="AI406" s="508">
        <f t="shared" si="194"/>
        <v>372.60222222222222</v>
      </c>
      <c r="AJ406" s="516"/>
      <c r="AK406" s="519"/>
      <c r="AL406" s="506">
        <f t="shared" si="195"/>
        <v>0</v>
      </c>
      <c r="AM406" s="509">
        <f t="shared" si="196"/>
        <v>0</v>
      </c>
      <c r="AN406" s="518"/>
      <c r="AO406" s="520"/>
      <c r="AP406" s="516"/>
      <c r="AQ406" s="520"/>
      <c r="AR406" s="516"/>
      <c r="AS406" s="520"/>
      <c r="AT406" s="516"/>
      <c r="AU406" s="520"/>
      <c r="AV406" s="506">
        <f t="shared" si="197"/>
        <v>0</v>
      </c>
      <c r="AW406" s="511">
        <f t="shared" si="198"/>
        <v>0</v>
      </c>
      <c r="AX406" s="508">
        <f t="shared" si="199"/>
        <v>0</v>
      </c>
      <c r="AY406" s="512">
        <f t="shared" si="200"/>
        <v>0</v>
      </c>
      <c r="AZ406" s="513">
        <f t="shared" si="201"/>
        <v>357.33722222222224</v>
      </c>
      <c r="BA406" s="508">
        <f t="shared" si="202"/>
        <v>372.60222222222222</v>
      </c>
    </row>
    <row r="407" spans="1:53">
      <c r="A407" s="521" t="s">
        <v>452</v>
      </c>
      <c r="B407" s="505" t="s">
        <v>474</v>
      </c>
      <c r="C407" s="614"/>
      <c r="D407" s="521">
        <v>375744</v>
      </c>
      <c r="E407" s="521">
        <v>13</v>
      </c>
      <c r="F407" s="514"/>
      <c r="G407" s="515"/>
      <c r="H407" s="516"/>
      <c r="I407" s="519"/>
      <c r="J407" s="516"/>
      <c r="K407" s="519"/>
      <c r="L407" s="516"/>
      <c r="M407" s="519"/>
      <c r="N407" s="516"/>
      <c r="O407" s="519"/>
      <c r="P407" s="506">
        <f t="shared" si="185"/>
        <v>0</v>
      </c>
      <c r="Q407" s="507">
        <f t="shared" si="186"/>
        <v>0</v>
      </c>
      <c r="R407" s="508">
        <f t="shared" si="187"/>
        <v>0</v>
      </c>
      <c r="S407" s="509">
        <f t="shared" si="188"/>
        <v>0</v>
      </c>
      <c r="T407" s="516"/>
      <c r="U407" s="618"/>
      <c r="V407" s="506">
        <f t="shared" si="189"/>
        <v>0</v>
      </c>
      <c r="W407" s="510">
        <f t="shared" si="190"/>
        <v>0</v>
      </c>
      <c r="X407" s="517"/>
      <c r="Y407" s="618"/>
      <c r="Z407" s="516"/>
      <c r="AA407" s="519"/>
      <c r="AB407" s="516"/>
      <c r="AC407" s="519"/>
      <c r="AD407" s="516">
        <v>266179.5</v>
      </c>
      <c r="AE407" s="519">
        <v>346977</v>
      </c>
      <c r="AF407" s="506">
        <f t="shared" si="191"/>
        <v>266179.5</v>
      </c>
      <c r="AG407" s="507">
        <f t="shared" si="192"/>
        <v>295.755</v>
      </c>
      <c r="AH407" s="508">
        <f t="shared" si="193"/>
        <v>346977</v>
      </c>
      <c r="AI407" s="508">
        <f t="shared" si="194"/>
        <v>385.53</v>
      </c>
      <c r="AJ407" s="516"/>
      <c r="AK407" s="519"/>
      <c r="AL407" s="506">
        <f t="shared" si="195"/>
        <v>0</v>
      </c>
      <c r="AM407" s="509">
        <f t="shared" si="196"/>
        <v>0</v>
      </c>
      <c r="AN407" s="518"/>
      <c r="AO407" s="520"/>
      <c r="AP407" s="516"/>
      <c r="AQ407" s="520"/>
      <c r="AR407" s="516"/>
      <c r="AS407" s="520"/>
      <c r="AT407" s="516"/>
      <c r="AU407" s="520"/>
      <c r="AV407" s="506">
        <f t="shared" si="197"/>
        <v>0</v>
      </c>
      <c r="AW407" s="511">
        <f t="shared" si="198"/>
        <v>0</v>
      </c>
      <c r="AX407" s="508">
        <f t="shared" si="199"/>
        <v>0</v>
      </c>
      <c r="AY407" s="512">
        <f t="shared" si="200"/>
        <v>0</v>
      </c>
      <c r="AZ407" s="513">
        <f t="shared" si="201"/>
        <v>295.755</v>
      </c>
      <c r="BA407" s="508">
        <f t="shared" si="202"/>
        <v>385.53</v>
      </c>
    </row>
    <row r="408" spans="1:53">
      <c r="A408" s="521" t="s">
        <v>452</v>
      </c>
      <c r="B408" s="505" t="s">
        <v>475</v>
      </c>
      <c r="C408" s="614"/>
      <c r="D408" s="521">
        <v>375753</v>
      </c>
      <c r="E408" s="521">
        <v>13</v>
      </c>
      <c r="F408" s="514"/>
      <c r="G408" s="515"/>
      <c r="H408" s="516"/>
      <c r="I408" s="519"/>
      <c r="J408" s="516"/>
      <c r="K408" s="519"/>
      <c r="L408" s="516"/>
      <c r="M408" s="519"/>
      <c r="N408" s="516"/>
      <c r="O408" s="519"/>
      <c r="P408" s="506">
        <f t="shared" si="185"/>
        <v>0</v>
      </c>
      <c r="Q408" s="507">
        <f t="shared" si="186"/>
        <v>0</v>
      </c>
      <c r="R408" s="508">
        <f t="shared" si="187"/>
        <v>0</v>
      </c>
      <c r="S408" s="509">
        <f t="shared" si="188"/>
        <v>0</v>
      </c>
      <c r="T408" s="516"/>
      <c r="U408" s="618"/>
      <c r="V408" s="506">
        <f t="shared" si="189"/>
        <v>0</v>
      </c>
      <c r="W408" s="510">
        <f t="shared" si="190"/>
        <v>0</v>
      </c>
      <c r="X408" s="517"/>
      <c r="Y408" s="618"/>
      <c r="Z408" s="516"/>
      <c r="AA408" s="519"/>
      <c r="AB408" s="516"/>
      <c r="AC408" s="519"/>
      <c r="AD408" s="516">
        <v>24676</v>
      </c>
      <c r="AE408" s="519">
        <v>30277</v>
      </c>
      <c r="AF408" s="506">
        <f t="shared" si="191"/>
        <v>24676</v>
      </c>
      <c r="AG408" s="507">
        <f t="shared" si="192"/>
        <v>27.417777777777779</v>
      </c>
      <c r="AH408" s="508">
        <f t="shared" si="193"/>
        <v>30277</v>
      </c>
      <c r="AI408" s="508">
        <f t="shared" si="194"/>
        <v>33.641111111111108</v>
      </c>
      <c r="AJ408" s="516"/>
      <c r="AK408" s="519"/>
      <c r="AL408" s="506">
        <f t="shared" si="195"/>
        <v>0</v>
      </c>
      <c r="AM408" s="509">
        <f t="shared" si="196"/>
        <v>0</v>
      </c>
      <c r="AN408" s="518"/>
      <c r="AO408" s="520"/>
      <c r="AP408" s="516"/>
      <c r="AQ408" s="520"/>
      <c r="AR408" s="516"/>
      <c r="AS408" s="520"/>
      <c r="AT408" s="516"/>
      <c r="AU408" s="520"/>
      <c r="AV408" s="506">
        <f t="shared" si="197"/>
        <v>0</v>
      </c>
      <c r="AW408" s="511">
        <f t="shared" si="198"/>
        <v>0</v>
      </c>
      <c r="AX408" s="508">
        <f t="shared" si="199"/>
        <v>0</v>
      </c>
      <c r="AY408" s="512">
        <f t="shared" si="200"/>
        <v>0</v>
      </c>
      <c r="AZ408" s="513">
        <f t="shared" si="201"/>
        <v>27.417777777777779</v>
      </c>
      <c r="BA408" s="508">
        <f t="shared" si="202"/>
        <v>33.641111111111108</v>
      </c>
    </row>
    <row r="409" spans="1:53">
      <c r="A409" s="521" t="s">
        <v>452</v>
      </c>
      <c r="B409" s="505" t="s">
        <v>476</v>
      </c>
      <c r="C409" s="614"/>
      <c r="D409" s="521">
        <v>405748</v>
      </c>
      <c r="E409" s="521">
        <v>13</v>
      </c>
      <c r="F409" s="514"/>
      <c r="G409" s="515"/>
      <c r="H409" s="516"/>
      <c r="I409" s="519"/>
      <c r="J409" s="516"/>
      <c r="K409" s="519"/>
      <c r="L409" s="516"/>
      <c r="M409" s="519"/>
      <c r="N409" s="516"/>
      <c r="O409" s="519"/>
      <c r="P409" s="506">
        <f t="shared" si="185"/>
        <v>0</v>
      </c>
      <c r="Q409" s="507">
        <f t="shared" si="186"/>
        <v>0</v>
      </c>
      <c r="R409" s="508">
        <f t="shared" si="187"/>
        <v>0</v>
      </c>
      <c r="S409" s="509">
        <f t="shared" si="188"/>
        <v>0</v>
      </c>
      <c r="T409" s="516"/>
      <c r="U409" s="618"/>
      <c r="V409" s="506">
        <f t="shared" si="189"/>
        <v>0</v>
      </c>
      <c r="W409" s="510">
        <f t="shared" si="190"/>
        <v>0</v>
      </c>
      <c r="X409" s="517"/>
      <c r="Y409" s="618"/>
      <c r="Z409" s="516"/>
      <c r="AA409" s="519"/>
      <c r="AB409" s="516"/>
      <c r="AC409" s="519"/>
      <c r="AD409" s="516">
        <v>86214</v>
      </c>
      <c r="AE409" s="519">
        <v>87753</v>
      </c>
      <c r="AF409" s="506">
        <f t="shared" si="191"/>
        <v>86214</v>
      </c>
      <c r="AG409" s="507">
        <f t="shared" si="192"/>
        <v>95.793333333333337</v>
      </c>
      <c r="AH409" s="508">
        <f t="shared" si="193"/>
        <v>87753</v>
      </c>
      <c r="AI409" s="508">
        <f t="shared" si="194"/>
        <v>97.50333333333333</v>
      </c>
      <c r="AJ409" s="516"/>
      <c r="AK409" s="519"/>
      <c r="AL409" s="506">
        <f t="shared" si="195"/>
        <v>0</v>
      </c>
      <c r="AM409" s="509">
        <f t="shared" si="196"/>
        <v>0</v>
      </c>
      <c r="AN409" s="518"/>
      <c r="AO409" s="520"/>
      <c r="AP409" s="516"/>
      <c r="AQ409" s="520"/>
      <c r="AR409" s="516"/>
      <c r="AS409" s="520"/>
      <c r="AT409" s="516"/>
      <c r="AU409" s="520"/>
      <c r="AV409" s="506">
        <f t="shared" si="197"/>
        <v>0</v>
      </c>
      <c r="AW409" s="511">
        <f t="shared" si="198"/>
        <v>0</v>
      </c>
      <c r="AX409" s="508">
        <f t="shared" si="199"/>
        <v>0</v>
      </c>
      <c r="AY409" s="512">
        <f t="shared" si="200"/>
        <v>0</v>
      </c>
      <c r="AZ409" s="513">
        <f t="shared" si="201"/>
        <v>95.793333333333337</v>
      </c>
      <c r="BA409" s="508">
        <f t="shared" si="202"/>
        <v>97.50333333333333</v>
      </c>
    </row>
    <row r="410" spans="1:53">
      <c r="A410" s="521" t="s">
        <v>452</v>
      </c>
      <c r="B410" s="505" t="s">
        <v>477</v>
      </c>
      <c r="C410" s="614"/>
      <c r="D410" s="521">
        <v>375762</v>
      </c>
      <c r="E410" s="521">
        <v>13</v>
      </c>
      <c r="F410" s="514"/>
      <c r="G410" s="515"/>
      <c r="H410" s="516"/>
      <c r="I410" s="519"/>
      <c r="J410" s="516"/>
      <c r="K410" s="519"/>
      <c r="L410" s="516"/>
      <c r="M410" s="519"/>
      <c r="N410" s="516"/>
      <c r="O410" s="519"/>
      <c r="P410" s="506">
        <f t="shared" si="185"/>
        <v>0</v>
      </c>
      <c r="Q410" s="507">
        <f t="shared" si="186"/>
        <v>0</v>
      </c>
      <c r="R410" s="508">
        <f t="shared" si="187"/>
        <v>0</v>
      </c>
      <c r="S410" s="509">
        <f t="shared" si="188"/>
        <v>0</v>
      </c>
      <c r="T410" s="516"/>
      <c r="U410" s="618"/>
      <c r="V410" s="506">
        <f t="shared" si="189"/>
        <v>0</v>
      </c>
      <c r="W410" s="510">
        <f t="shared" si="190"/>
        <v>0</v>
      </c>
      <c r="X410" s="517"/>
      <c r="Y410" s="618"/>
      <c r="Z410" s="516"/>
      <c r="AA410" s="519"/>
      <c r="AB410" s="516"/>
      <c r="AC410" s="519"/>
      <c r="AD410" s="516">
        <v>70761</v>
      </c>
      <c r="AE410" s="519">
        <v>94476</v>
      </c>
      <c r="AF410" s="506">
        <f t="shared" si="191"/>
        <v>70761</v>
      </c>
      <c r="AG410" s="507">
        <f t="shared" si="192"/>
        <v>78.623333333333335</v>
      </c>
      <c r="AH410" s="508">
        <f t="shared" si="193"/>
        <v>94476</v>
      </c>
      <c r="AI410" s="508">
        <f t="shared" si="194"/>
        <v>104.97333333333333</v>
      </c>
      <c r="AJ410" s="516"/>
      <c r="AK410" s="519"/>
      <c r="AL410" s="506">
        <f t="shared" si="195"/>
        <v>0</v>
      </c>
      <c r="AM410" s="509">
        <f t="shared" si="196"/>
        <v>0</v>
      </c>
      <c r="AN410" s="518"/>
      <c r="AO410" s="520"/>
      <c r="AP410" s="516"/>
      <c r="AQ410" s="520"/>
      <c r="AR410" s="516"/>
      <c r="AS410" s="520"/>
      <c r="AT410" s="516"/>
      <c r="AU410" s="520"/>
      <c r="AV410" s="506">
        <f t="shared" si="197"/>
        <v>0</v>
      </c>
      <c r="AW410" s="511">
        <f t="shared" si="198"/>
        <v>0</v>
      </c>
      <c r="AX410" s="508">
        <f t="shared" si="199"/>
        <v>0</v>
      </c>
      <c r="AY410" s="512">
        <f t="shared" si="200"/>
        <v>0</v>
      </c>
      <c r="AZ410" s="513">
        <f t="shared" si="201"/>
        <v>78.623333333333335</v>
      </c>
      <c r="BA410" s="508">
        <f t="shared" si="202"/>
        <v>104.97333333333333</v>
      </c>
    </row>
    <row r="411" spans="1:53">
      <c r="A411" s="521" t="s">
        <v>452</v>
      </c>
      <c r="B411" s="505" t="s">
        <v>478</v>
      </c>
      <c r="C411" s="614"/>
      <c r="D411" s="521">
        <v>365480</v>
      </c>
      <c r="E411" s="521">
        <v>13</v>
      </c>
      <c r="F411" s="514"/>
      <c r="G411" s="515"/>
      <c r="H411" s="516"/>
      <c r="I411" s="519"/>
      <c r="J411" s="516"/>
      <c r="K411" s="519"/>
      <c r="L411" s="516"/>
      <c r="M411" s="519"/>
      <c r="N411" s="516"/>
      <c r="O411" s="519"/>
      <c r="P411" s="506">
        <f t="shared" si="185"/>
        <v>0</v>
      </c>
      <c r="Q411" s="507">
        <f t="shared" si="186"/>
        <v>0</v>
      </c>
      <c r="R411" s="508">
        <f t="shared" si="187"/>
        <v>0</v>
      </c>
      <c r="S411" s="509">
        <f t="shared" si="188"/>
        <v>0</v>
      </c>
      <c r="T411" s="516"/>
      <c r="U411" s="618"/>
      <c r="V411" s="506">
        <f t="shared" si="189"/>
        <v>0</v>
      </c>
      <c r="W411" s="510">
        <f t="shared" si="190"/>
        <v>0</v>
      </c>
      <c r="X411" s="517"/>
      <c r="Y411" s="618"/>
      <c r="Z411" s="516"/>
      <c r="AA411" s="519"/>
      <c r="AB411" s="516"/>
      <c r="AC411" s="519"/>
      <c r="AD411" s="516">
        <v>450981</v>
      </c>
      <c r="AE411" s="519">
        <v>508491</v>
      </c>
      <c r="AF411" s="506">
        <f t="shared" si="191"/>
        <v>450981</v>
      </c>
      <c r="AG411" s="507">
        <f t="shared" si="192"/>
        <v>501.09</v>
      </c>
      <c r="AH411" s="508">
        <f t="shared" si="193"/>
        <v>508491</v>
      </c>
      <c r="AI411" s="508">
        <f t="shared" si="194"/>
        <v>564.99</v>
      </c>
      <c r="AJ411" s="516"/>
      <c r="AK411" s="519"/>
      <c r="AL411" s="506">
        <f t="shared" si="195"/>
        <v>0</v>
      </c>
      <c r="AM411" s="509">
        <f t="shared" si="196"/>
        <v>0</v>
      </c>
      <c r="AN411" s="518"/>
      <c r="AO411" s="520"/>
      <c r="AP411" s="516"/>
      <c r="AQ411" s="520"/>
      <c r="AR411" s="516"/>
      <c r="AS411" s="520"/>
      <c r="AT411" s="516"/>
      <c r="AU411" s="520"/>
      <c r="AV411" s="506">
        <f t="shared" si="197"/>
        <v>0</v>
      </c>
      <c r="AW411" s="511">
        <f t="shared" si="198"/>
        <v>0</v>
      </c>
      <c r="AX411" s="508">
        <f t="shared" si="199"/>
        <v>0</v>
      </c>
      <c r="AY411" s="512">
        <f t="shared" si="200"/>
        <v>0</v>
      </c>
      <c r="AZ411" s="513">
        <f t="shared" si="201"/>
        <v>501.09</v>
      </c>
      <c r="BA411" s="508">
        <f t="shared" si="202"/>
        <v>564.99</v>
      </c>
    </row>
    <row r="412" spans="1:53">
      <c r="A412" s="521" t="s">
        <v>452</v>
      </c>
      <c r="B412" s="505" t="s">
        <v>479</v>
      </c>
      <c r="C412" s="614"/>
      <c r="D412" s="521">
        <v>418320</v>
      </c>
      <c r="E412" s="521">
        <v>13</v>
      </c>
      <c r="F412" s="514"/>
      <c r="G412" s="515"/>
      <c r="H412" s="516"/>
      <c r="I412" s="519"/>
      <c r="J412" s="516"/>
      <c r="K412" s="519"/>
      <c r="L412" s="516"/>
      <c r="M412" s="519"/>
      <c r="N412" s="516"/>
      <c r="O412" s="519"/>
      <c r="P412" s="506">
        <f t="shared" si="185"/>
        <v>0</v>
      </c>
      <c r="Q412" s="507">
        <f t="shared" si="186"/>
        <v>0</v>
      </c>
      <c r="R412" s="508">
        <f t="shared" si="187"/>
        <v>0</v>
      </c>
      <c r="S412" s="509">
        <f t="shared" si="188"/>
        <v>0</v>
      </c>
      <c r="T412" s="516"/>
      <c r="U412" s="618"/>
      <c r="V412" s="506">
        <f t="shared" si="189"/>
        <v>0</v>
      </c>
      <c r="W412" s="510">
        <f t="shared" si="190"/>
        <v>0</v>
      </c>
      <c r="X412" s="517"/>
      <c r="Y412" s="618"/>
      <c r="Z412" s="516"/>
      <c r="AA412" s="519"/>
      <c r="AB412" s="516"/>
      <c r="AC412" s="519"/>
      <c r="AD412" s="516">
        <v>549738.5</v>
      </c>
      <c r="AE412" s="519">
        <v>534435</v>
      </c>
      <c r="AF412" s="506">
        <f t="shared" si="191"/>
        <v>549738.5</v>
      </c>
      <c r="AG412" s="507">
        <f t="shared" si="192"/>
        <v>610.82055555555553</v>
      </c>
      <c r="AH412" s="508">
        <f t="shared" si="193"/>
        <v>534435</v>
      </c>
      <c r="AI412" s="508">
        <f t="shared" si="194"/>
        <v>593.81666666666672</v>
      </c>
      <c r="AJ412" s="516"/>
      <c r="AK412" s="519"/>
      <c r="AL412" s="506">
        <f t="shared" si="195"/>
        <v>0</v>
      </c>
      <c r="AM412" s="509">
        <f t="shared" si="196"/>
        <v>0</v>
      </c>
      <c r="AN412" s="518"/>
      <c r="AO412" s="520"/>
      <c r="AP412" s="516"/>
      <c r="AQ412" s="520"/>
      <c r="AR412" s="516"/>
      <c r="AS412" s="520"/>
      <c r="AT412" s="516"/>
      <c r="AU412" s="520"/>
      <c r="AV412" s="506">
        <f t="shared" si="197"/>
        <v>0</v>
      </c>
      <c r="AW412" s="511">
        <f t="shared" si="198"/>
        <v>0</v>
      </c>
      <c r="AX412" s="508">
        <f t="shared" si="199"/>
        <v>0</v>
      </c>
      <c r="AY412" s="512">
        <f t="shared" si="200"/>
        <v>0</v>
      </c>
      <c r="AZ412" s="513">
        <f t="shared" si="201"/>
        <v>610.82055555555553</v>
      </c>
      <c r="BA412" s="508">
        <f t="shared" si="202"/>
        <v>593.81666666666672</v>
      </c>
    </row>
    <row r="413" spans="1:53">
      <c r="A413" s="521" t="s">
        <v>452</v>
      </c>
      <c r="B413" s="505" t="s">
        <v>480</v>
      </c>
      <c r="C413" s="614"/>
      <c r="D413" s="521">
        <v>431017</v>
      </c>
      <c r="E413" s="521">
        <v>13</v>
      </c>
      <c r="F413" s="514"/>
      <c r="G413" s="515"/>
      <c r="H413" s="516"/>
      <c r="I413" s="519"/>
      <c r="J413" s="516"/>
      <c r="K413" s="519"/>
      <c r="L413" s="516"/>
      <c r="M413" s="519"/>
      <c r="N413" s="516"/>
      <c r="O413" s="519"/>
      <c r="P413" s="506">
        <f t="shared" si="185"/>
        <v>0</v>
      </c>
      <c r="Q413" s="507">
        <f t="shared" si="186"/>
        <v>0</v>
      </c>
      <c r="R413" s="508">
        <f t="shared" si="187"/>
        <v>0</v>
      </c>
      <c r="S413" s="509">
        <f t="shared" si="188"/>
        <v>0</v>
      </c>
      <c r="T413" s="516"/>
      <c r="U413" s="618"/>
      <c r="V413" s="506">
        <f t="shared" si="189"/>
        <v>0</v>
      </c>
      <c r="W413" s="510">
        <f t="shared" si="190"/>
        <v>0</v>
      </c>
      <c r="X413" s="517"/>
      <c r="Y413" s="618"/>
      <c r="Z413" s="516"/>
      <c r="AA413" s="519"/>
      <c r="AB413" s="516"/>
      <c r="AC413" s="519"/>
      <c r="AD413" s="516">
        <v>484171</v>
      </c>
      <c r="AE413" s="519">
        <v>414983</v>
      </c>
      <c r="AF413" s="506">
        <f t="shared" si="191"/>
        <v>484171</v>
      </c>
      <c r="AG413" s="507">
        <f t="shared" si="192"/>
        <v>537.96777777777777</v>
      </c>
      <c r="AH413" s="508">
        <f t="shared" si="193"/>
        <v>414983</v>
      </c>
      <c r="AI413" s="508">
        <f t="shared" si="194"/>
        <v>461.09222222222223</v>
      </c>
      <c r="AJ413" s="516"/>
      <c r="AK413" s="519"/>
      <c r="AL413" s="506">
        <f t="shared" si="195"/>
        <v>0</v>
      </c>
      <c r="AM413" s="509">
        <f t="shared" si="196"/>
        <v>0</v>
      </c>
      <c r="AN413" s="518"/>
      <c r="AO413" s="520"/>
      <c r="AP413" s="516"/>
      <c r="AQ413" s="520"/>
      <c r="AR413" s="516"/>
      <c r="AS413" s="520"/>
      <c r="AT413" s="516"/>
      <c r="AU413" s="520"/>
      <c r="AV413" s="506">
        <f t="shared" si="197"/>
        <v>0</v>
      </c>
      <c r="AW413" s="511">
        <f t="shared" si="198"/>
        <v>0</v>
      </c>
      <c r="AX413" s="508">
        <f t="shared" si="199"/>
        <v>0</v>
      </c>
      <c r="AY413" s="512">
        <f t="shared" si="200"/>
        <v>0</v>
      </c>
      <c r="AZ413" s="513">
        <f t="shared" si="201"/>
        <v>537.96777777777777</v>
      </c>
      <c r="BA413" s="508">
        <f t="shared" si="202"/>
        <v>461.09222222222223</v>
      </c>
    </row>
    <row r="414" spans="1:53">
      <c r="A414" s="521" t="s">
        <v>452</v>
      </c>
      <c r="B414" s="612" t="s">
        <v>481</v>
      </c>
      <c r="C414" s="613"/>
      <c r="D414" s="521">
        <v>248606</v>
      </c>
      <c r="E414" s="521">
        <v>13</v>
      </c>
      <c r="F414" s="514"/>
      <c r="G414" s="515"/>
      <c r="H414" s="516"/>
      <c r="I414" s="519"/>
      <c r="J414" s="516"/>
      <c r="K414" s="519"/>
      <c r="L414" s="516"/>
      <c r="M414" s="519"/>
      <c r="N414" s="516"/>
      <c r="O414" s="519"/>
      <c r="P414" s="506">
        <f t="shared" si="185"/>
        <v>0</v>
      </c>
      <c r="Q414" s="507">
        <f t="shared" si="186"/>
        <v>0</v>
      </c>
      <c r="R414" s="508">
        <f t="shared" si="187"/>
        <v>0</v>
      </c>
      <c r="S414" s="509">
        <f t="shared" si="188"/>
        <v>0</v>
      </c>
      <c r="T414" s="516"/>
      <c r="U414" s="618"/>
      <c r="V414" s="506">
        <f t="shared" si="189"/>
        <v>0</v>
      </c>
      <c r="W414" s="510">
        <f t="shared" si="190"/>
        <v>0</v>
      </c>
      <c r="X414" s="517"/>
      <c r="Y414" s="618"/>
      <c r="Z414" s="516"/>
      <c r="AA414" s="519"/>
      <c r="AB414" s="516"/>
      <c r="AC414" s="519"/>
      <c r="AD414" s="516">
        <v>950240.01</v>
      </c>
      <c r="AE414" s="519">
        <v>806348</v>
      </c>
      <c r="AF414" s="506">
        <f t="shared" si="191"/>
        <v>950240.01</v>
      </c>
      <c r="AG414" s="507">
        <f t="shared" si="192"/>
        <v>1055.8222333333333</v>
      </c>
      <c r="AH414" s="508">
        <f t="shared" si="193"/>
        <v>806348</v>
      </c>
      <c r="AI414" s="508">
        <f t="shared" si="194"/>
        <v>895.9422222222222</v>
      </c>
      <c r="AJ414" s="516"/>
      <c r="AK414" s="519"/>
      <c r="AL414" s="506">
        <f t="shared" si="195"/>
        <v>0</v>
      </c>
      <c r="AM414" s="509">
        <f t="shared" si="196"/>
        <v>0</v>
      </c>
      <c r="AN414" s="518"/>
      <c r="AO414" s="520"/>
      <c r="AP414" s="516"/>
      <c r="AQ414" s="520"/>
      <c r="AR414" s="516"/>
      <c r="AS414" s="520"/>
      <c r="AT414" s="516"/>
      <c r="AU414" s="520"/>
      <c r="AV414" s="506">
        <f t="shared" si="197"/>
        <v>0</v>
      </c>
      <c r="AW414" s="511">
        <f t="shared" si="198"/>
        <v>0</v>
      </c>
      <c r="AX414" s="508">
        <f t="shared" si="199"/>
        <v>0</v>
      </c>
      <c r="AY414" s="512">
        <f t="shared" si="200"/>
        <v>0</v>
      </c>
      <c r="AZ414" s="513">
        <f t="shared" si="201"/>
        <v>1055.8222333333333</v>
      </c>
      <c r="BA414" s="508">
        <f t="shared" si="202"/>
        <v>895.9422222222222</v>
      </c>
    </row>
    <row r="415" spans="1:53">
      <c r="A415" s="521" t="s">
        <v>452</v>
      </c>
      <c r="B415" s="505" t="s">
        <v>482</v>
      </c>
      <c r="C415" s="614"/>
      <c r="D415" s="521">
        <v>420459</v>
      </c>
      <c r="E415" s="521">
        <v>13</v>
      </c>
      <c r="F415" s="514"/>
      <c r="G415" s="515"/>
      <c r="H415" s="516"/>
      <c r="I415" s="519"/>
      <c r="J415" s="516"/>
      <c r="K415" s="519"/>
      <c r="L415" s="516"/>
      <c r="M415" s="519"/>
      <c r="N415" s="516"/>
      <c r="O415" s="519"/>
      <c r="P415" s="506">
        <f t="shared" si="185"/>
        <v>0</v>
      </c>
      <c r="Q415" s="507">
        <f t="shared" si="186"/>
        <v>0</v>
      </c>
      <c r="R415" s="508">
        <f t="shared" si="187"/>
        <v>0</v>
      </c>
      <c r="S415" s="509">
        <f t="shared" si="188"/>
        <v>0</v>
      </c>
      <c r="T415" s="516"/>
      <c r="U415" s="618"/>
      <c r="V415" s="506">
        <f t="shared" si="189"/>
        <v>0</v>
      </c>
      <c r="W415" s="510">
        <f t="shared" si="190"/>
        <v>0</v>
      </c>
      <c r="X415" s="517"/>
      <c r="Y415" s="618"/>
      <c r="Z415" s="516"/>
      <c r="AA415" s="519"/>
      <c r="AB415" s="516"/>
      <c r="AC415" s="519"/>
      <c r="AD415" s="516">
        <v>295356.5</v>
      </c>
      <c r="AE415" s="519">
        <v>290355</v>
      </c>
      <c r="AF415" s="506">
        <f t="shared" si="191"/>
        <v>295356.5</v>
      </c>
      <c r="AG415" s="507">
        <f t="shared" si="192"/>
        <v>328.17388888888888</v>
      </c>
      <c r="AH415" s="508">
        <f t="shared" si="193"/>
        <v>290355</v>
      </c>
      <c r="AI415" s="508">
        <f t="shared" si="194"/>
        <v>322.61666666666667</v>
      </c>
      <c r="AJ415" s="516"/>
      <c r="AK415" s="519"/>
      <c r="AL415" s="506">
        <f t="shared" si="195"/>
        <v>0</v>
      </c>
      <c r="AM415" s="509">
        <f t="shared" si="196"/>
        <v>0</v>
      </c>
      <c r="AN415" s="518"/>
      <c r="AO415" s="520"/>
      <c r="AP415" s="516"/>
      <c r="AQ415" s="520"/>
      <c r="AR415" s="516"/>
      <c r="AS415" s="520"/>
      <c r="AT415" s="516"/>
      <c r="AU415" s="520"/>
      <c r="AV415" s="506">
        <f t="shared" si="197"/>
        <v>0</v>
      </c>
      <c r="AW415" s="511">
        <f t="shared" si="198"/>
        <v>0</v>
      </c>
      <c r="AX415" s="508">
        <f t="shared" si="199"/>
        <v>0</v>
      </c>
      <c r="AY415" s="512">
        <f t="shared" si="200"/>
        <v>0</v>
      </c>
      <c r="AZ415" s="513">
        <f t="shared" si="201"/>
        <v>328.17388888888888</v>
      </c>
      <c r="BA415" s="508">
        <f t="shared" si="202"/>
        <v>322.61666666666667</v>
      </c>
    </row>
    <row r="416" spans="1:53">
      <c r="A416" s="521" t="s">
        <v>452</v>
      </c>
      <c r="B416" s="505" t="s">
        <v>483</v>
      </c>
      <c r="C416" s="615" t="s">
        <v>484</v>
      </c>
      <c r="D416" s="616" t="s">
        <v>485</v>
      </c>
      <c r="E416" s="619">
        <v>13</v>
      </c>
      <c r="F416" s="514"/>
      <c r="G416" s="515"/>
      <c r="H416" s="516"/>
      <c r="I416" s="519"/>
      <c r="J416" s="516"/>
      <c r="K416" s="519"/>
      <c r="L416" s="516"/>
      <c r="M416" s="519"/>
      <c r="N416" s="516"/>
      <c r="O416" s="519"/>
      <c r="P416" s="506">
        <f t="shared" si="185"/>
        <v>0</v>
      </c>
      <c r="Q416" s="507">
        <f t="shared" si="186"/>
        <v>0</v>
      </c>
      <c r="R416" s="508">
        <f t="shared" si="187"/>
        <v>0</v>
      </c>
      <c r="S416" s="509">
        <f t="shared" si="188"/>
        <v>0</v>
      </c>
      <c r="T416" s="516"/>
      <c r="U416" s="618"/>
      <c r="V416" s="506">
        <f t="shared" si="189"/>
        <v>0</v>
      </c>
      <c r="W416" s="510">
        <f t="shared" si="190"/>
        <v>0</v>
      </c>
      <c r="X416" s="517"/>
      <c r="Y416" s="618"/>
      <c r="Z416" s="516"/>
      <c r="AA416" s="519"/>
      <c r="AB416" s="516"/>
      <c r="AC416" s="519"/>
      <c r="AD416" s="516">
        <v>97753</v>
      </c>
      <c r="AE416" s="519">
        <v>105286</v>
      </c>
      <c r="AF416" s="506">
        <f t="shared" si="191"/>
        <v>97753</v>
      </c>
      <c r="AG416" s="507">
        <f t="shared" si="192"/>
        <v>108.61444444444444</v>
      </c>
      <c r="AH416" s="508">
        <f t="shared" si="193"/>
        <v>105286</v>
      </c>
      <c r="AI416" s="508">
        <f t="shared" si="194"/>
        <v>116.98444444444445</v>
      </c>
      <c r="AJ416" s="516"/>
      <c r="AK416" s="519"/>
      <c r="AL416" s="506">
        <f t="shared" si="195"/>
        <v>0</v>
      </c>
      <c r="AM416" s="509">
        <f t="shared" si="196"/>
        <v>0</v>
      </c>
      <c r="AN416" s="518"/>
      <c r="AO416" s="520"/>
      <c r="AP416" s="516"/>
      <c r="AQ416" s="520"/>
      <c r="AR416" s="516"/>
      <c r="AS416" s="520"/>
      <c r="AT416" s="516"/>
      <c r="AU416" s="520"/>
      <c r="AV416" s="506">
        <f t="shared" si="197"/>
        <v>0</v>
      </c>
      <c r="AW416" s="511">
        <f t="shared" si="198"/>
        <v>0</v>
      </c>
      <c r="AX416" s="508">
        <f t="shared" si="199"/>
        <v>0</v>
      </c>
      <c r="AY416" s="512">
        <f t="shared" si="200"/>
        <v>0</v>
      </c>
      <c r="AZ416" s="513">
        <f t="shared" si="201"/>
        <v>108.61444444444444</v>
      </c>
      <c r="BA416" s="508">
        <f t="shared" si="202"/>
        <v>116.98444444444445</v>
      </c>
    </row>
    <row r="417" spans="1:53">
      <c r="A417" s="521" t="s">
        <v>452</v>
      </c>
      <c r="B417" s="505" t="s">
        <v>486</v>
      </c>
      <c r="C417" s="614"/>
      <c r="D417" s="521">
        <v>432074</v>
      </c>
      <c r="E417" s="521">
        <v>13</v>
      </c>
      <c r="F417" s="514"/>
      <c r="G417" s="515"/>
      <c r="H417" s="516"/>
      <c r="I417" s="519"/>
      <c r="J417" s="516"/>
      <c r="K417" s="519"/>
      <c r="L417" s="516"/>
      <c r="M417" s="519"/>
      <c r="N417" s="516"/>
      <c r="O417" s="519"/>
      <c r="P417" s="506">
        <f t="shared" ref="P417:P480" si="203">SUM(H417,J417,L417,N417)</f>
        <v>0</v>
      </c>
      <c r="Q417" s="507">
        <f t="shared" ref="Q417:Q480" si="204">+P417/30</f>
        <v>0</v>
      </c>
      <c r="R417" s="508">
        <f t="shared" ref="R417:R480" si="205">SUM(I417,K417,M417,O417)</f>
        <v>0</v>
      </c>
      <c r="S417" s="509">
        <f t="shared" ref="S417:S480" si="206">+R417/30</f>
        <v>0</v>
      </c>
      <c r="T417" s="516"/>
      <c r="U417" s="618"/>
      <c r="V417" s="506">
        <f t="shared" ref="V417:V480" si="207">IF(ISBLANK(T417),0,P417)</f>
        <v>0</v>
      </c>
      <c r="W417" s="510">
        <f t="shared" ref="W417:W480" si="208">IF(ISBLANK(U417),0,R417)</f>
        <v>0</v>
      </c>
      <c r="X417" s="517"/>
      <c r="Y417" s="618"/>
      <c r="Z417" s="516"/>
      <c r="AA417" s="519"/>
      <c r="AB417" s="516"/>
      <c r="AC417" s="519"/>
      <c r="AD417" s="516">
        <v>161927</v>
      </c>
      <c r="AE417" s="519">
        <v>163349</v>
      </c>
      <c r="AF417" s="506">
        <f t="shared" ref="AF417:AF480" si="209">SUM(X417,Z417,AB417,AD417)</f>
        <v>161927</v>
      </c>
      <c r="AG417" s="507">
        <f t="shared" ref="AG417:AG480" si="210">+AF417/900</f>
        <v>179.91888888888889</v>
      </c>
      <c r="AH417" s="508">
        <f t="shared" ref="AH417:AH480" si="211">SUM(Y417,AA417,AC417,AE417)</f>
        <v>163349</v>
      </c>
      <c r="AI417" s="508">
        <f t="shared" ref="AI417:AI480" si="212">+AH417/900</f>
        <v>181.4988888888889</v>
      </c>
      <c r="AJ417" s="516"/>
      <c r="AK417" s="519"/>
      <c r="AL417" s="506">
        <f t="shared" ref="AL417:AL480" si="213">IF(ISBLANK(AJ417),0,AF417)</f>
        <v>0</v>
      </c>
      <c r="AM417" s="509">
        <f t="shared" ref="AM417:AM480" si="214">IF(ISBLANK(AK417),0,AH417)</f>
        <v>0</v>
      </c>
      <c r="AN417" s="518"/>
      <c r="AO417" s="520"/>
      <c r="AP417" s="516"/>
      <c r="AQ417" s="520"/>
      <c r="AR417" s="516"/>
      <c r="AS417" s="520"/>
      <c r="AT417" s="516"/>
      <c r="AU417" s="520"/>
      <c r="AV417" s="506">
        <f t="shared" ref="AV417:AV480" si="215">SUM(AN417,AP417,AR417,AT417)</f>
        <v>0</v>
      </c>
      <c r="AW417" s="511">
        <f t="shared" ref="AW417:AW480" si="216">+AV417/24</f>
        <v>0</v>
      </c>
      <c r="AX417" s="508">
        <f t="shared" ref="AX417:AX480" si="217">SUM(AO417,AQ417,AS417,AU417)</f>
        <v>0</v>
      </c>
      <c r="AY417" s="512">
        <f t="shared" ref="AY417:AY480" si="218">+AX417/24</f>
        <v>0</v>
      </c>
      <c r="AZ417" s="513">
        <f t="shared" ref="AZ417:AZ480" si="219">SUM(Q417,AG417,AW417)</f>
        <v>179.91888888888889</v>
      </c>
      <c r="BA417" s="508">
        <f t="shared" ref="BA417:BA480" si="220">SUM(S417,AI417,AY417)</f>
        <v>181.4988888888889</v>
      </c>
    </row>
    <row r="418" spans="1:53">
      <c r="A418" s="521" t="s">
        <v>452</v>
      </c>
      <c r="B418" s="505" t="s">
        <v>487</v>
      </c>
      <c r="C418" s="614"/>
      <c r="D418" s="521">
        <v>418339</v>
      </c>
      <c r="E418" s="521">
        <v>13</v>
      </c>
      <c r="F418" s="514"/>
      <c r="G418" s="515"/>
      <c r="H418" s="516"/>
      <c r="I418" s="519"/>
      <c r="J418" s="516"/>
      <c r="K418" s="519"/>
      <c r="L418" s="516"/>
      <c r="M418" s="519"/>
      <c r="N418" s="516"/>
      <c r="O418" s="519"/>
      <c r="P418" s="506">
        <f t="shared" si="203"/>
        <v>0</v>
      </c>
      <c r="Q418" s="507">
        <f t="shared" si="204"/>
        <v>0</v>
      </c>
      <c r="R418" s="508">
        <f t="shared" si="205"/>
        <v>0</v>
      </c>
      <c r="S418" s="509">
        <f t="shared" si="206"/>
        <v>0</v>
      </c>
      <c r="T418" s="516"/>
      <c r="U418" s="618"/>
      <c r="V418" s="506">
        <f t="shared" si="207"/>
        <v>0</v>
      </c>
      <c r="W418" s="510">
        <f t="shared" si="208"/>
        <v>0</v>
      </c>
      <c r="X418" s="517"/>
      <c r="Y418" s="618"/>
      <c r="Z418" s="516"/>
      <c r="AA418" s="519"/>
      <c r="AB418" s="516"/>
      <c r="AC418" s="519"/>
      <c r="AD418" s="516">
        <v>277570</v>
      </c>
      <c r="AE418" s="519">
        <v>265031</v>
      </c>
      <c r="AF418" s="506">
        <f t="shared" si="209"/>
        <v>277570</v>
      </c>
      <c r="AG418" s="507">
        <f t="shared" si="210"/>
        <v>308.4111111111111</v>
      </c>
      <c r="AH418" s="508">
        <f t="shared" si="211"/>
        <v>265031</v>
      </c>
      <c r="AI418" s="508">
        <f t="shared" si="212"/>
        <v>294.47888888888889</v>
      </c>
      <c r="AJ418" s="516"/>
      <c r="AK418" s="519"/>
      <c r="AL418" s="506">
        <f t="shared" si="213"/>
        <v>0</v>
      </c>
      <c r="AM418" s="509">
        <f t="shared" si="214"/>
        <v>0</v>
      </c>
      <c r="AN418" s="518"/>
      <c r="AO418" s="520"/>
      <c r="AP418" s="516"/>
      <c r="AQ418" s="520"/>
      <c r="AR418" s="516"/>
      <c r="AS418" s="520"/>
      <c r="AT418" s="516"/>
      <c r="AU418" s="520"/>
      <c r="AV418" s="506">
        <f t="shared" si="215"/>
        <v>0</v>
      </c>
      <c r="AW418" s="511">
        <f t="shared" si="216"/>
        <v>0</v>
      </c>
      <c r="AX418" s="508">
        <f t="shared" si="217"/>
        <v>0</v>
      </c>
      <c r="AY418" s="512">
        <f t="shared" si="218"/>
        <v>0</v>
      </c>
      <c r="AZ418" s="513">
        <f t="shared" si="219"/>
        <v>308.4111111111111</v>
      </c>
      <c r="BA418" s="508">
        <f t="shared" si="220"/>
        <v>294.47888888888889</v>
      </c>
    </row>
    <row r="419" spans="1:53">
      <c r="A419" s="521" t="s">
        <v>452</v>
      </c>
      <c r="B419" s="505" t="s">
        <v>488</v>
      </c>
      <c r="C419" s="614"/>
      <c r="D419" s="521">
        <v>366623</v>
      </c>
      <c r="E419" s="521">
        <v>13</v>
      </c>
      <c r="F419" s="514"/>
      <c r="G419" s="515"/>
      <c r="H419" s="516"/>
      <c r="I419" s="519"/>
      <c r="J419" s="516"/>
      <c r="K419" s="519"/>
      <c r="L419" s="516"/>
      <c r="M419" s="519"/>
      <c r="N419" s="516"/>
      <c r="O419" s="519"/>
      <c r="P419" s="506">
        <f t="shared" si="203"/>
        <v>0</v>
      </c>
      <c r="Q419" s="507">
        <f t="shared" si="204"/>
        <v>0</v>
      </c>
      <c r="R419" s="508">
        <f t="shared" si="205"/>
        <v>0</v>
      </c>
      <c r="S419" s="509">
        <f t="shared" si="206"/>
        <v>0</v>
      </c>
      <c r="T419" s="516"/>
      <c r="U419" s="618"/>
      <c r="V419" s="506">
        <f t="shared" si="207"/>
        <v>0</v>
      </c>
      <c r="W419" s="510">
        <f t="shared" si="208"/>
        <v>0</v>
      </c>
      <c r="X419" s="517"/>
      <c r="Y419" s="618"/>
      <c r="Z419" s="516"/>
      <c r="AA419" s="519"/>
      <c r="AB419" s="516"/>
      <c r="AC419" s="519"/>
      <c r="AD419" s="516">
        <v>92776.62</v>
      </c>
      <c r="AE419" s="519">
        <v>99218</v>
      </c>
      <c r="AF419" s="506">
        <f t="shared" si="209"/>
        <v>92776.62</v>
      </c>
      <c r="AG419" s="507">
        <f t="shared" si="210"/>
        <v>103.08513333333333</v>
      </c>
      <c r="AH419" s="508">
        <f t="shared" si="211"/>
        <v>99218</v>
      </c>
      <c r="AI419" s="508">
        <f t="shared" si="212"/>
        <v>110.24222222222222</v>
      </c>
      <c r="AJ419" s="516"/>
      <c r="AK419" s="519"/>
      <c r="AL419" s="506">
        <f t="shared" si="213"/>
        <v>0</v>
      </c>
      <c r="AM419" s="509">
        <f t="shared" si="214"/>
        <v>0</v>
      </c>
      <c r="AN419" s="518"/>
      <c r="AO419" s="520"/>
      <c r="AP419" s="516"/>
      <c r="AQ419" s="520"/>
      <c r="AR419" s="516"/>
      <c r="AS419" s="520"/>
      <c r="AT419" s="516"/>
      <c r="AU419" s="520"/>
      <c r="AV419" s="506">
        <f t="shared" si="215"/>
        <v>0</v>
      </c>
      <c r="AW419" s="511">
        <f t="shared" si="216"/>
        <v>0</v>
      </c>
      <c r="AX419" s="508">
        <f t="shared" si="217"/>
        <v>0</v>
      </c>
      <c r="AY419" s="512">
        <f t="shared" si="218"/>
        <v>0</v>
      </c>
      <c r="AZ419" s="513">
        <f t="shared" si="219"/>
        <v>103.08513333333333</v>
      </c>
      <c r="BA419" s="508">
        <f t="shared" si="220"/>
        <v>110.24222222222222</v>
      </c>
    </row>
    <row r="420" spans="1:53">
      <c r="A420" s="521" t="s">
        <v>452</v>
      </c>
      <c r="B420" s="505" t="s">
        <v>489</v>
      </c>
      <c r="C420" s="614"/>
      <c r="D420" s="521">
        <v>407601</v>
      </c>
      <c r="E420" s="521">
        <v>13</v>
      </c>
      <c r="F420" s="514"/>
      <c r="G420" s="515"/>
      <c r="H420" s="516"/>
      <c r="I420" s="519"/>
      <c r="J420" s="516"/>
      <c r="K420" s="519"/>
      <c r="L420" s="516"/>
      <c r="M420" s="519"/>
      <c r="N420" s="516"/>
      <c r="O420" s="519"/>
      <c r="P420" s="506">
        <f t="shared" si="203"/>
        <v>0</v>
      </c>
      <c r="Q420" s="507">
        <f t="shared" si="204"/>
        <v>0</v>
      </c>
      <c r="R420" s="508">
        <f t="shared" si="205"/>
        <v>0</v>
      </c>
      <c r="S420" s="509">
        <f t="shared" si="206"/>
        <v>0</v>
      </c>
      <c r="T420" s="516"/>
      <c r="U420" s="618"/>
      <c r="V420" s="506">
        <f t="shared" si="207"/>
        <v>0</v>
      </c>
      <c r="W420" s="510">
        <f t="shared" si="208"/>
        <v>0</v>
      </c>
      <c r="X420" s="517"/>
      <c r="Y420" s="618"/>
      <c r="Z420" s="516"/>
      <c r="AA420" s="519"/>
      <c r="AB420" s="516"/>
      <c r="AC420" s="519"/>
      <c r="AD420" s="516">
        <v>85314.25</v>
      </c>
      <c r="AE420" s="519">
        <v>76702</v>
      </c>
      <c r="AF420" s="506">
        <f t="shared" si="209"/>
        <v>85314.25</v>
      </c>
      <c r="AG420" s="507">
        <f t="shared" si="210"/>
        <v>94.793611111111105</v>
      </c>
      <c r="AH420" s="508">
        <f t="shared" si="211"/>
        <v>76702</v>
      </c>
      <c r="AI420" s="508">
        <f t="shared" si="212"/>
        <v>85.224444444444444</v>
      </c>
      <c r="AJ420" s="516"/>
      <c r="AK420" s="519"/>
      <c r="AL420" s="506">
        <f t="shared" si="213"/>
        <v>0</v>
      </c>
      <c r="AM420" s="509">
        <f t="shared" si="214"/>
        <v>0</v>
      </c>
      <c r="AN420" s="518"/>
      <c r="AO420" s="520"/>
      <c r="AP420" s="516"/>
      <c r="AQ420" s="520"/>
      <c r="AR420" s="516"/>
      <c r="AS420" s="520"/>
      <c r="AT420" s="516"/>
      <c r="AU420" s="520"/>
      <c r="AV420" s="506">
        <f t="shared" si="215"/>
        <v>0</v>
      </c>
      <c r="AW420" s="511">
        <f t="shared" si="216"/>
        <v>0</v>
      </c>
      <c r="AX420" s="508">
        <f t="shared" si="217"/>
        <v>0</v>
      </c>
      <c r="AY420" s="512">
        <f t="shared" si="218"/>
        <v>0</v>
      </c>
      <c r="AZ420" s="513">
        <f t="shared" si="219"/>
        <v>94.793611111111105</v>
      </c>
      <c r="BA420" s="508">
        <f t="shared" si="220"/>
        <v>85.224444444444444</v>
      </c>
    </row>
    <row r="421" spans="1:53">
      <c r="A421" s="521" t="s">
        <v>452</v>
      </c>
      <c r="B421" s="505" t="s">
        <v>490</v>
      </c>
      <c r="C421" s="614"/>
      <c r="D421" s="521">
        <v>364627</v>
      </c>
      <c r="E421" s="521">
        <v>13</v>
      </c>
      <c r="F421" s="514"/>
      <c r="G421" s="515"/>
      <c r="H421" s="516"/>
      <c r="I421" s="519"/>
      <c r="J421" s="516"/>
      <c r="K421" s="519"/>
      <c r="L421" s="516"/>
      <c r="M421" s="519"/>
      <c r="N421" s="516"/>
      <c r="O421" s="519"/>
      <c r="P421" s="506">
        <f t="shared" si="203"/>
        <v>0</v>
      </c>
      <c r="Q421" s="507">
        <f t="shared" si="204"/>
        <v>0</v>
      </c>
      <c r="R421" s="508">
        <f t="shared" si="205"/>
        <v>0</v>
      </c>
      <c r="S421" s="509">
        <f t="shared" si="206"/>
        <v>0</v>
      </c>
      <c r="T421" s="516"/>
      <c r="U421" s="618"/>
      <c r="V421" s="506">
        <f t="shared" si="207"/>
        <v>0</v>
      </c>
      <c r="W421" s="510">
        <f t="shared" si="208"/>
        <v>0</v>
      </c>
      <c r="X421" s="517"/>
      <c r="Y421" s="618"/>
      <c r="Z421" s="516"/>
      <c r="AA421" s="519"/>
      <c r="AB421" s="516"/>
      <c r="AC421" s="519"/>
      <c r="AD421" s="516">
        <v>299488.75</v>
      </c>
      <c r="AE421" s="519">
        <v>323062</v>
      </c>
      <c r="AF421" s="506">
        <f t="shared" si="209"/>
        <v>299488.75</v>
      </c>
      <c r="AG421" s="507">
        <f t="shared" si="210"/>
        <v>332.76527777777778</v>
      </c>
      <c r="AH421" s="508">
        <f t="shared" si="211"/>
        <v>323062</v>
      </c>
      <c r="AI421" s="508">
        <f t="shared" si="212"/>
        <v>358.95777777777778</v>
      </c>
      <c r="AJ421" s="516"/>
      <c r="AK421" s="519"/>
      <c r="AL421" s="506">
        <f t="shared" si="213"/>
        <v>0</v>
      </c>
      <c r="AM421" s="509">
        <f t="shared" si="214"/>
        <v>0</v>
      </c>
      <c r="AN421" s="518"/>
      <c r="AO421" s="520"/>
      <c r="AP421" s="516"/>
      <c r="AQ421" s="520"/>
      <c r="AR421" s="516"/>
      <c r="AS421" s="520"/>
      <c r="AT421" s="516"/>
      <c r="AU421" s="520"/>
      <c r="AV421" s="506">
        <f t="shared" si="215"/>
        <v>0</v>
      </c>
      <c r="AW421" s="511">
        <f t="shared" si="216"/>
        <v>0</v>
      </c>
      <c r="AX421" s="508">
        <f t="shared" si="217"/>
        <v>0</v>
      </c>
      <c r="AY421" s="512">
        <f t="shared" si="218"/>
        <v>0</v>
      </c>
      <c r="AZ421" s="513">
        <f t="shared" si="219"/>
        <v>332.76527777777778</v>
      </c>
      <c r="BA421" s="508">
        <f t="shared" si="220"/>
        <v>358.95777777777778</v>
      </c>
    </row>
    <row r="422" spans="1:53" ht="12.75" customHeight="1">
      <c r="A422" s="521" t="s">
        <v>452</v>
      </c>
      <c r="B422" s="505" t="s">
        <v>491</v>
      </c>
      <c r="C422" s="614"/>
      <c r="D422" s="521">
        <v>206905</v>
      </c>
      <c r="E422" s="521">
        <v>13</v>
      </c>
      <c r="F422" s="514"/>
      <c r="G422" s="515"/>
      <c r="H422" s="516"/>
      <c r="I422" s="519"/>
      <c r="J422" s="516"/>
      <c r="K422" s="519"/>
      <c r="L422" s="516"/>
      <c r="M422" s="519"/>
      <c r="N422" s="516"/>
      <c r="O422" s="520"/>
      <c r="P422" s="506">
        <f t="shared" si="203"/>
        <v>0</v>
      </c>
      <c r="Q422" s="507">
        <f t="shared" si="204"/>
        <v>0</v>
      </c>
      <c r="R422" s="508">
        <f t="shared" si="205"/>
        <v>0</v>
      </c>
      <c r="S422" s="509">
        <f t="shared" si="206"/>
        <v>0</v>
      </c>
      <c r="T422" s="516"/>
      <c r="U422" s="618"/>
      <c r="V422" s="506">
        <f t="shared" si="207"/>
        <v>0</v>
      </c>
      <c r="W422" s="510">
        <f t="shared" si="208"/>
        <v>0</v>
      </c>
      <c r="X422" s="517"/>
      <c r="Y422" s="618"/>
      <c r="Z422" s="516"/>
      <c r="AA422" s="519"/>
      <c r="AB422" s="516"/>
      <c r="AC422" s="519"/>
      <c r="AD422" s="516">
        <v>201922</v>
      </c>
      <c r="AE422" s="519">
        <v>252360</v>
      </c>
      <c r="AF422" s="506">
        <f t="shared" si="209"/>
        <v>201922</v>
      </c>
      <c r="AG422" s="507">
        <f t="shared" si="210"/>
        <v>224.35777777777778</v>
      </c>
      <c r="AH422" s="508">
        <f t="shared" si="211"/>
        <v>252360</v>
      </c>
      <c r="AI422" s="508">
        <f t="shared" si="212"/>
        <v>280.39999999999998</v>
      </c>
      <c r="AJ422" s="516"/>
      <c r="AK422" s="519"/>
      <c r="AL422" s="506">
        <f t="shared" si="213"/>
        <v>0</v>
      </c>
      <c r="AM422" s="509">
        <f t="shared" si="214"/>
        <v>0</v>
      </c>
      <c r="AN422" s="518"/>
      <c r="AO422" s="520"/>
      <c r="AP422" s="516"/>
      <c r="AQ422" s="520"/>
      <c r="AR422" s="516"/>
      <c r="AS422" s="520"/>
      <c r="AT422" s="516"/>
      <c r="AU422" s="520"/>
      <c r="AV422" s="506">
        <f t="shared" si="215"/>
        <v>0</v>
      </c>
      <c r="AW422" s="511">
        <f t="shared" si="216"/>
        <v>0</v>
      </c>
      <c r="AX422" s="508">
        <f t="shared" si="217"/>
        <v>0</v>
      </c>
      <c r="AY422" s="512">
        <f t="shared" si="218"/>
        <v>0</v>
      </c>
      <c r="AZ422" s="513">
        <f t="shared" si="219"/>
        <v>224.35777777777778</v>
      </c>
      <c r="BA422" s="508">
        <f t="shared" si="220"/>
        <v>280.39999999999998</v>
      </c>
    </row>
    <row r="423" spans="1:53" ht="12.75" customHeight="1">
      <c r="A423" s="521" t="s">
        <v>452</v>
      </c>
      <c r="B423" s="505" t="s">
        <v>492</v>
      </c>
      <c r="C423" s="614"/>
      <c r="D423" s="521">
        <v>250993</v>
      </c>
      <c r="E423" s="521">
        <v>13</v>
      </c>
      <c r="F423" s="514"/>
      <c r="G423" s="515"/>
      <c r="H423" s="516"/>
      <c r="I423" s="519"/>
      <c r="J423" s="516"/>
      <c r="K423" s="519"/>
      <c r="L423" s="516"/>
      <c r="M423" s="520"/>
      <c r="N423" s="516"/>
      <c r="O423" s="520"/>
      <c r="P423" s="506">
        <f t="shared" si="203"/>
        <v>0</v>
      </c>
      <c r="Q423" s="507">
        <f t="shared" si="204"/>
        <v>0</v>
      </c>
      <c r="R423" s="508">
        <f t="shared" si="205"/>
        <v>0</v>
      </c>
      <c r="S423" s="509">
        <f t="shared" si="206"/>
        <v>0</v>
      </c>
      <c r="T423" s="516"/>
      <c r="U423" s="618"/>
      <c r="V423" s="506">
        <f t="shared" si="207"/>
        <v>0</v>
      </c>
      <c r="W423" s="510">
        <f t="shared" si="208"/>
        <v>0</v>
      </c>
      <c r="X423" s="517"/>
      <c r="Y423" s="618"/>
      <c r="Z423" s="516"/>
      <c r="AA423" s="519"/>
      <c r="AB423" s="516"/>
      <c r="AC423" s="519"/>
      <c r="AD423" s="516">
        <v>312411.40999999997</v>
      </c>
      <c r="AE423" s="519">
        <v>300008</v>
      </c>
      <c r="AF423" s="506">
        <f t="shared" si="209"/>
        <v>312411.40999999997</v>
      </c>
      <c r="AG423" s="507">
        <f t="shared" si="210"/>
        <v>347.12378888888884</v>
      </c>
      <c r="AH423" s="508">
        <f t="shared" si="211"/>
        <v>300008</v>
      </c>
      <c r="AI423" s="508">
        <f t="shared" si="212"/>
        <v>333.34222222222223</v>
      </c>
      <c r="AJ423" s="516"/>
      <c r="AK423" s="519"/>
      <c r="AL423" s="506">
        <f t="shared" si="213"/>
        <v>0</v>
      </c>
      <c r="AM423" s="509">
        <f t="shared" si="214"/>
        <v>0</v>
      </c>
      <c r="AN423" s="518"/>
      <c r="AO423" s="520"/>
      <c r="AP423" s="516"/>
      <c r="AQ423" s="520"/>
      <c r="AR423" s="516"/>
      <c r="AS423" s="520"/>
      <c r="AT423" s="516"/>
      <c r="AU423" s="520"/>
      <c r="AV423" s="506">
        <f t="shared" si="215"/>
        <v>0</v>
      </c>
      <c r="AW423" s="511">
        <f t="shared" si="216"/>
        <v>0</v>
      </c>
      <c r="AX423" s="508">
        <f t="shared" si="217"/>
        <v>0</v>
      </c>
      <c r="AY423" s="512">
        <f t="shared" si="218"/>
        <v>0</v>
      </c>
      <c r="AZ423" s="513">
        <f t="shared" si="219"/>
        <v>347.12378888888884</v>
      </c>
      <c r="BA423" s="508">
        <f t="shared" si="220"/>
        <v>333.34222222222223</v>
      </c>
    </row>
    <row r="424" spans="1:53" ht="12.75" customHeight="1">
      <c r="A424" s="521" t="s">
        <v>452</v>
      </c>
      <c r="B424" s="505" t="s">
        <v>493</v>
      </c>
      <c r="C424" s="614"/>
      <c r="D424" s="521">
        <v>365198</v>
      </c>
      <c r="E424" s="521">
        <v>13</v>
      </c>
      <c r="F424" s="514"/>
      <c r="G424" s="515"/>
      <c r="H424" s="617"/>
      <c r="I424" s="520"/>
      <c r="J424" s="617"/>
      <c r="K424" s="520"/>
      <c r="L424" s="617"/>
      <c r="M424" s="520"/>
      <c r="N424" s="617"/>
      <c r="O424" s="520"/>
      <c r="P424" s="506">
        <f t="shared" si="203"/>
        <v>0</v>
      </c>
      <c r="Q424" s="507">
        <f t="shared" si="204"/>
        <v>0</v>
      </c>
      <c r="R424" s="508">
        <f t="shared" si="205"/>
        <v>0</v>
      </c>
      <c r="S424" s="509">
        <f t="shared" si="206"/>
        <v>0</v>
      </c>
      <c r="T424" s="617"/>
      <c r="U424" s="618"/>
      <c r="V424" s="506">
        <f t="shared" si="207"/>
        <v>0</v>
      </c>
      <c r="W424" s="510">
        <f t="shared" si="208"/>
        <v>0</v>
      </c>
      <c r="X424" s="617"/>
      <c r="Y424" s="520"/>
      <c r="Z424" s="617"/>
      <c r="AA424" s="520"/>
      <c r="AB424" s="617"/>
      <c r="AC424" s="520"/>
      <c r="AD424" s="617">
        <v>366536</v>
      </c>
      <c r="AE424" s="520">
        <v>365802</v>
      </c>
      <c r="AF424" s="506">
        <f t="shared" si="209"/>
        <v>366536</v>
      </c>
      <c r="AG424" s="507">
        <f t="shared" si="210"/>
        <v>407.26222222222225</v>
      </c>
      <c r="AH424" s="508">
        <f t="shared" si="211"/>
        <v>365802</v>
      </c>
      <c r="AI424" s="508">
        <f t="shared" si="212"/>
        <v>406.44666666666666</v>
      </c>
      <c r="AJ424" s="516"/>
      <c r="AK424" s="519"/>
      <c r="AL424" s="506">
        <f t="shared" si="213"/>
        <v>0</v>
      </c>
      <c r="AM424" s="509">
        <f t="shared" si="214"/>
        <v>0</v>
      </c>
      <c r="AN424" s="518"/>
      <c r="AO424" s="520"/>
      <c r="AP424" s="516"/>
      <c r="AQ424" s="520"/>
      <c r="AR424" s="516"/>
      <c r="AS424" s="520"/>
      <c r="AT424" s="516"/>
      <c r="AU424" s="520"/>
      <c r="AV424" s="506">
        <f t="shared" si="215"/>
        <v>0</v>
      </c>
      <c r="AW424" s="511">
        <f t="shared" si="216"/>
        <v>0</v>
      </c>
      <c r="AX424" s="508">
        <f t="shared" si="217"/>
        <v>0</v>
      </c>
      <c r="AY424" s="512">
        <f t="shared" si="218"/>
        <v>0</v>
      </c>
      <c r="AZ424" s="513">
        <f t="shared" si="219"/>
        <v>407.26222222222225</v>
      </c>
      <c r="BA424" s="508">
        <f t="shared" si="220"/>
        <v>406.44666666666666</v>
      </c>
    </row>
    <row r="425" spans="1:53" ht="12.75" customHeight="1">
      <c r="A425" s="521" t="s">
        <v>452</v>
      </c>
      <c r="B425" s="505" t="s">
        <v>494</v>
      </c>
      <c r="C425" s="614"/>
      <c r="D425" s="521">
        <v>368364</v>
      </c>
      <c r="E425" s="521">
        <v>13</v>
      </c>
      <c r="F425" s="514"/>
      <c r="G425" s="515"/>
      <c r="H425" s="617"/>
      <c r="I425" s="520"/>
      <c r="J425" s="617"/>
      <c r="K425" s="520"/>
      <c r="L425" s="617"/>
      <c r="M425" s="520"/>
      <c r="N425" s="617"/>
      <c r="O425" s="520"/>
      <c r="P425" s="506">
        <f t="shared" si="203"/>
        <v>0</v>
      </c>
      <c r="Q425" s="507">
        <f t="shared" si="204"/>
        <v>0</v>
      </c>
      <c r="R425" s="508">
        <f t="shared" si="205"/>
        <v>0</v>
      </c>
      <c r="S425" s="509">
        <f t="shared" si="206"/>
        <v>0</v>
      </c>
      <c r="T425" s="617"/>
      <c r="U425" s="618"/>
      <c r="V425" s="506">
        <f t="shared" si="207"/>
        <v>0</v>
      </c>
      <c r="W425" s="510">
        <f t="shared" si="208"/>
        <v>0</v>
      </c>
      <c r="X425" s="617"/>
      <c r="Y425" s="520"/>
      <c r="Z425" s="617"/>
      <c r="AA425" s="520"/>
      <c r="AB425" s="617"/>
      <c r="AC425" s="520"/>
      <c r="AD425" s="617">
        <v>233505</v>
      </c>
      <c r="AE425" s="520">
        <v>216488</v>
      </c>
      <c r="AF425" s="506">
        <f t="shared" si="209"/>
        <v>233505</v>
      </c>
      <c r="AG425" s="507">
        <f t="shared" si="210"/>
        <v>259.45</v>
      </c>
      <c r="AH425" s="508">
        <f t="shared" si="211"/>
        <v>216488</v>
      </c>
      <c r="AI425" s="508">
        <f t="shared" si="212"/>
        <v>240.54222222222222</v>
      </c>
      <c r="AJ425" s="516"/>
      <c r="AK425" s="519"/>
      <c r="AL425" s="506">
        <f t="shared" si="213"/>
        <v>0</v>
      </c>
      <c r="AM425" s="509">
        <f t="shared" si="214"/>
        <v>0</v>
      </c>
      <c r="AN425" s="518"/>
      <c r="AO425" s="520"/>
      <c r="AP425" s="516"/>
      <c r="AQ425" s="520"/>
      <c r="AR425" s="516"/>
      <c r="AS425" s="520"/>
      <c r="AT425" s="516"/>
      <c r="AU425" s="520"/>
      <c r="AV425" s="506">
        <f t="shared" si="215"/>
        <v>0</v>
      </c>
      <c r="AW425" s="511">
        <f t="shared" si="216"/>
        <v>0</v>
      </c>
      <c r="AX425" s="508">
        <f t="shared" si="217"/>
        <v>0</v>
      </c>
      <c r="AY425" s="512">
        <f t="shared" si="218"/>
        <v>0</v>
      </c>
      <c r="AZ425" s="513">
        <f t="shared" si="219"/>
        <v>259.45</v>
      </c>
      <c r="BA425" s="508">
        <f t="shared" si="220"/>
        <v>240.54222222222222</v>
      </c>
    </row>
    <row r="426" spans="1:53" ht="12.75" customHeight="1">
      <c r="A426" s="521" t="s">
        <v>452</v>
      </c>
      <c r="B426" s="505" t="s">
        <v>495</v>
      </c>
      <c r="C426" s="614"/>
      <c r="D426" s="521">
        <v>418287</v>
      </c>
      <c r="E426" s="521">
        <v>13</v>
      </c>
      <c r="F426" s="514"/>
      <c r="G426" s="515"/>
      <c r="H426" s="617"/>
      <c r="I426" s="520"/>
      <c r="J426" s="617"/>
      <c r="K426" s="520"/>
      <c r="L426" s="617"/>
      <c r="M426" s="520"/>
      <c r="N426" s="617"/>
      <c r="O426" s="520"/>
      <c r="P426" s="506">
        <f t="shared" si="203"/>
        <v>0</v>
      </c>
      <c r="Q426" s="507">
        <f t="shared" si="204"/>
        <v>0</v>
      </c>
      <c r="R426" s="508">
        <f t="shared" si="205"/>
        <v>0</v>
      </c>
      <c r="S426" s="509">
        <f t="shared" si="206"/>
        <v>0</v>
      </c>
      <c r="T426" s="617"/>
      <c r="U426" s="618"/>
      <c r="V426" s="506">
        <f t="shared" si="207"/>
        <v>0</v>
      </c>
      <c r="W426" s="510">
        <f t="shared" si="208"/>
        <v>0</v>
      </c>
      <c r="X426" s="617"/>
      <c r="Y426" s="520"/>
      <c r="Z426" s="617"/>
      <c r="AA426" s="520"/>
      <c r="AB426" s="617"/>
      <c r="AC426" s="520"/>
      <c r="AD426" s="617">
        <v>409084.75</v>
      </c>
      <c r="AE426" s="520">
        <v>400941</v>
      </c>
      <c r="AF426" s="506">
        <f t="shared" si="209"/>
        <v>409084.75</v>
      </c>
      <c r="AG426" s="507">
        <f t="shared" si="210"/>
        <v>454.53861111111109</v>
      </c>
      <c r="AH426" s="508">
        <f t="shared" si="211"/>
        <v>400941</v>
      </c>
      <c r="AI426" s="508">
        <f t="shared" si="212"/>
        <v>445.49</v>
      </c>
      <c r="AJ426" s="516"/>
      <c r="AK426" s="519"/>
      <c r="AL426" s="506">
        <f t="shared" si="213"/>
        <v>0</v>
      </c>
      <c r="AM426" s="509">
        <f t="shared" si="214"/>
        <v>0</v>
      </c>
      <c r="AN426" s="518"/>
      <c r="AO426" s="520"/>
      <c r="AP426" s="516"/>
      <c r="AQ426" s="520"/>
      <c r="AR426" s="516"/>
      <c r="AS426" s="520"/>
      <c r="AT426" s="516"/>
      <c r="AU426" s="520"/>
      <c r="AV426" s="506">
        <f t="shared" si="215"/>
        <v>0</v>
      </c>
      <c r="AW426" s="511">
        <f t="shared" si="216"/>
        <v>0</v>
      </c>
      <c r="AX426" s="508">
        <f t="shared" si="217"/>
        <v>0</v>
      </c>
      <c r="AY426" s="512">
        <f t="shared" si="218"/>
        <v>0</v>
      </c>
      <c r="AZ426" s="513">
        <f t="shared" si="219"/>
        <v>454.53861111111109</v>
      </c>
      <c r="BA426" s="508">
        <f t="shared" si="220"/>
        <v>445.49</v>
      </c>
    </row>
    <row r="427" spans="1:53" ht="12.75" customHeight="1">
      <c r="A427" s="521" t="s">
        <v>452</v>
      </c>
      <c r="B427" s="505" t="s">
        <v>496</v>
      </c>
      <c r="C427" s="614"/>
      <c r="D427" s="521">
        <v>207607</v>
      </c>
      <c r="E427" s="521">
        <v>13</v>
      </c>
      <c r="F427" s="514"/>
      <c r="G427" s="515"/>
      <c r="H427" s="617"/>
      <c r="I427" s="520"/>
      <c r="J427" s="617"/>
      <c r="K427" s="520"/>
      <c r="L427" s="617"/>
      <c r="M427" s="520"/>
      <c r="N427" s="617"/>
      <c r="O427" s="520"/>
      <c r="P427" s="506">
        <f t="shared" si="203"/>
        <v>0</v>
      </c>
      <c r="Q427" s="507">
        <f t="shared" si="204"/>
        <v>0</v>
      </c>
      <c r="R427" s="508">
        <f t="shared" si="205"/>
        <v>0</v>
      </c>
      <c r="S427" s="509">
        <f t="shared" si="206"/>
        <v>0</v>
      </c>
      <c r="T427" s="617"/>
      <c r="U427" s="520"/>
      <c r="V427" s="506">
        <f t="shared" si="207"/>
        <v>0</v>
      </c>
      <c r="W427" s="510">
        <f t="shared" si="208"/>
        <v>0</v>
      </c>
      <c r="X427" s="617"/>
      <c r="Y427" s="520"/>
      <c r="Z427" s="617"/>
      <c r="AA427" s="520"/>
      <c r="AB427" s="617"/>
      <c r="AC427" s="520"/>
      <c r="AD427" s="617">
        <v>343403.42</v>
      </c>
      <c r="AE427" s="520">
        <v>338177</v>
      </c>
      <c r="AF427" s="506">
        <f t="shared" si="209"/>
        <v>343403.42</v>
      </c>
      <c r="AG427" s="507">
        <f t="shared" si="210"/>
        <v>381.55935555555556</v>
      </c>
      <c r="AH427" s="508">
        <f t="shared" si="211"/>
        <v>338177</v>
      </c>
      <c r="AI427" s="508">
        <f t="shared" si="212"/>
        <v>375.7522222222222</v>
      </c>
      <c r="AJ427" s="516"/>
      <c r="AK427" s="519"/>
      <c r="AL427" s="506">
        <f t="shared" si="213"/>
        <v>0</v>
      </c>
      <c r="AM427" s="509">
        <f t="shared" si="214"/>
        <v>0</v>
      </c>
      <c r="AN427" s="518"/>
      <c r="AO427" s="520"/>
      <c r="AP427" s="516"/>
      <c r="AQ427" s="520"/>
      <c r="AR427" s="516"/>
      <c r="AS427" s="520"/>
      <c r="AT427" s="516"/>
      <c r="AU427" s="520"/>
      <c r="AV427" s="506">
        <f t="shared" si="215"/>
        <v>0</v>
      </c>
      <c r="AW427" s="511">
        <f t="shared" si="216"/>
        <v>0</v>
      </c>
      <c r="AX427" s="508">
        <f t="shared" si="217"/>
        <v>0</v>
      </c>
      <c r="AY427" s="512">
        <f t="shared" si="218"/>
        <v>0</v>
      </c>
      <c r="AZ427" s="513">
        <f t="shared" si="219"/>
        <v>381.55935555555556</v>
      </c>
      <c r="BA427" s="508">
        <f t="shared" si="220"/>
        <v>375.7522222222222</v>
      </c>
    </row>
    <row r="428" spans="1:53" ht="12.75" customHeight="1">
      <c r="A428" s="521" t="s">
        <v>452</v>
      </c>
      <c r="B428" s="505" t="s">
        <v>497</v>
      </c>
      <c r="C428" s="529"/>
      <c r="D428" s="521">
        <v>261393</v>
      </c>
      <c r="E428" s="528">
        <v>13</v>
      </c>
      <c r="F428" s="514"/>
      <c r="G428" s="515"/>
      <c r="H428" s="617"/>
      <c r="I428" s="520"/>
      <c r="J428" s="617"/>
      <c r="K428" s="520"/>
      <c r="L428" s="617"/>
      <c r="M428" s="520"/>
      <c r="N428" s="617"/>
      <c r="O428" s="520"/>
      <c r="P428" s="506">
        <f t="shared" si="203"/>
        <v>0</v>
      </c>
      <c r="Q428" s="507">
        <f t="shared" si="204"/>
        <v>0</v>
      </c>
      <c r="R428" s="508">
        <f t="shared" si="205"/>
        <v>0</v>
      </c>
      <c r="S428" s="509">
        <f t="shared" si="206"/>
        <v>0</v>
      </c>
      <c r="T428" s="617"/>
      <c r="U428" s="520"/>
      <c r="V428" s="506">
        <f t="shared" si="207"/>
        <v>0</v>
      </c>
      <c r="W428" s="510">
        <f t="shared" si="208"/>
        <v>0</v>
      </c>
      <c r="X428" s="617"/>
      <c r="Y428" s="520"/>
      <c r="Z428" s="617"/>
      <c r="AA428" s="520"/>
      <c r="AB428" s="617"/>
      <c r="AC428" s="520"/>
      <c r="AD428" s="617">
        <v>619510.21</v>
      </c>
      <c r="AE428" s="520">
        <v>765586</v>
      </c>
      <c r="AF428" s="506">
        <f t="shared" si="209"/>
        <v>619510.21</v>
      </c>
      <c r="AG428" s="507">
        <f t="shared" si="210"/>
        <v>688.34467777777775</v>
      </c>
      <c r="AH428" s="508">
        <f t="shared" si="211"/>
        <v>765586</v>
      </c>
      <c r="AI428" s="508">
        <f t="shared" si="212"/>
        <v>850.65111111111116</v>
      </c>
      <c r="AJ428" s="516"/>
      <c r="AK428" s="519"/>
      <c r="AL428" s="506">
        <f t="shared" si="213"/>
        <v>0</v>
      </c>
      <c r="AM428" s="509">
        <f t="shared" si="214"/>
        <v>0</v>
      </c>
      <c r="AN428" s="518"/>
      <c r="AO428" s="520"/>
      <c r="AP428" s="516"/>
      <c r="AQ428" s="520"/>
      <c r="AR428" s="516"/>
      <c r="AS428" s="520"/>
      <c r="AT428" s="516"/>
      <c r="AU428" s="520"/>
      <c r="AV428" s="506">
        <f t="shared" si="215"/>
        <v>0</v>
      </c>
      <c r="AW428" s="511">
        <f t="shared" si="216"/>
        <v>0</v>
      </c>
      <c r="AX428" s="508">
        <f t="shared" si="217"/>
        <v>0</v>
      </c>
      <c r="AY428" s="512">
        <f t="shared" si="218"/>
        <v>0</v>
      </c>
      <c r="AZ428" s="513">
        <f t="shared" si="219"/>
        <v>688.34467777777775</v>
      </c>
      <c r="BA428" s="508">
        <f t="shared" si="220"/>
        <v>850.65111111111116</v>
      </c>
    </row>
    <row r="429" spans="1:53" ht="12.75" customHeight="1">
      <c r="A429" s="521" t="s">
        <v>452</v>
      </c>
      <c r="B429" s="505" t="s">
        <v>498</v>
      </c>
      <c r="C429" s="614"/>
      <c r="D429" s="521">
        <v>261375</v>
      </c>
      <c r="E429" s="521">
        <v>13</v>
      </c>
      <c r="F429" s="514"/>
      <c r="G429" s="515"/>
      <c r="H429" s="617"/>
      <c r="I429" s="520"/>
      <c r="J429" s="617"/>
      <c r="K429" s="520"/>
      <c r="L429" s="617"/>
      <c r="M429" s="520"/>
      <c r="N429" s="617"/>
      <c r="O429" s="520"/>
      <c r="P429" s="506">
        <f t="shared" si="203"/>
        <v>0</v>
      </c>
      <c r="Q429" s="507">
        <f t="shared" si="204"/>
        <v>0</v>
      </c>
      <c r="R429" s="508">
        <f t="shared" si="205"/>
        <v>0</v>
      </c>
      <c r="S429" s="509">
        <f t="shared" si="206"/>
        <v>0</v>
      </c>
      <c r="T429" s="617"/>
      <c r="U429" s="520"/>
      <c r="V429" s="506">
        <f t="shared" si="207"/>
        <v>0</v>
      </c>
      <c r="W429" s="510">
        <f t="shared" si="208"/>
        <v>0</v>
      </c>
      <c r="X429" s="617"/>
      <c r="Y429" s="520"/>
      <c r="Z429" s="617"/>
      <c r="AA429" s="520"/>
      <c r="AB429" s="617"/>
      <c r="AC429" s="520"/>
      <c r="AD429" s="617">
        <v>847545.18</v>
      </c>
      <c r="AE429" s="520">
        <v>747476</v>
      </c>
      <c r="AF429" s="506">
        <f t="shared" si="209"/>
        <v>847545.18</v>
      </c>
      <c r="AG429" s="507">
        <f t="shared" si="210"/>
        <v>941.71686666666676</v>
      </c>
      <c r="AH429" s="508">
        <f t="shared" si="211"/>
        <v>747476</v>
      </c>
      <c r="AI429" s="508">
        <f t="shared" si="212"/>
        <v>830.5288888888889</v>
      </c>
      <c r="AJ429" s="516"/>
      <c r="AK429" s="519"/>
      <c r="AL429" s="506">
        <f t="shared" si="213"/>
        <v>0</v>
      </c>
      <c r="AM429" s="509">
        <f t="shared" si="214"/>
        <v>0</v>
      </c>
      <c r="AN429" s="518"/>
      <c r="AO429" s="520"/>
      <c r="AP429" s="516"/>
      <c r="AQ429" s="520"/>
      <c r="AR429" s="516"/>
      <c r="AS429" s="520"/>
      <c r="AT429" s="516"/>
      <c r="AU429" s="520"/>
      <c r="AV429" s="506">
        <f t="shared" si="215"/>
        <v>0</v>
      </c>
      <c r="AW429" s="511">
        <f t="shared" si="216"/>
        <v>0</v>
      </c>
      <c r="AX429" s="508">
        <f t="shared" si="217"/>
        <v>0</v>
      </c>
      <c r="AY429" s="512">
        <f t="shared" si="218"/>
        <v>0</v>
      </c>
      <c r="AZ429" s="513">
        <f t="shared" si="219"/>
        <v>941.71686666666676</v>
      </c>
      <c r="BA429" s="508">
        <f t="shared" si="220"/>
        <v>830.5288888888889</v>
      </c>
    </row>
    <row r="430" spans="1:53" ht="12.75" customHeight="1">
      <c r="A430" s="521" t="s">
        <v>452</v>
      </c>
      <c r="B430" s="505" t="s">
        <v>499</v>
      </c>
      <c r="C430" s="614"/>
      <c r="D430" s="521">
        <v>261384</v>
      </c>
      <c r="E430" s="521">
        <v>13</v>
      </c>
      <c r="F430" s="514"/>
      <c r="G430" s="515"/>
      <c r="H430" s="617"/>
      <c r="I430" s="520"/>
      <c r="J430" s="617"/>
      <c r="K430" s="520"/>
      <c r="L430" s="617"/>
      <c r="M430" s="520"/>
      <c r="N430" s="617"/>
      <c r="O430" s="520"/>
      <c r="P430" s="506">
        <f t="shared" si="203"/>
        <v>0</v>
      </c>
      <c r="Q430" s="507">
        <f t="shared" si="204"/>
        <v>0</v>
      </c>
      <c r="R430" s="508">
        <f t="shared" si="205"/>
        <v>0</v>
      </c>
      <c r="S430" s="509">
        <f t="shared" si="206"/>
        <v>0</v>
      </c>
      <c r="T430" s="617"/>
      <c r="U430" s="520"/>
      <c r="V430" s="506">
        <f t="shared" si="207"/>
        <v>0</v>
      </c>
      <c r="W430" s="510">
        <f t="shared" si="208"/>
        <v>0</v>
      </c>
      <c r="X430" s="617"/>
      <c r="Y430" s="520"/>
      <c r="Z430" s="617"/>
      <c r="AA430" s="520"/>
      <c r="AB430" s="617"/>
      <c r="AC430" s="520"/>
      <c r="AD430" s="617">
        <v>435187.5</v>
      </c>
      <c r="AE430" s="520">
        <v>409746</v>
      </c>
      <c r="AF430" s="506">
        <f t="shared" si="209"/>
        <v>435187.5</v>
      </c>
      <c r="AG430" s="507">
        <f t="shared" si="210"/>
        <v>483.54166666666669</v>
      </c>
      <c r="AH430" s="508">
        <f t="shared" si="211"/>
        <v>409746</v>
      </c>
      <c r="AI430" s="508">
        <f t="shared" si="212"/>
        <v>455.27333333333331</v>
      </c>
      <c r="AJ430" s="516"/>
      <c r="AK430" s="519"/>
      <c r="AL430" s="506">
        <f t="shared" si="213"/>
        <v>0</v>
      </c>
      <c r="AM430" s="509">
        <f t="shared" si="214"/>
        <v>0</v>
      </c>
      <c r="AN430" s="518"/>
      <c r="AO430" s="520"/>
      <c r="AP430" s="516"/>
      <c r="AQ430" s="520"/>
      <c r="AR430" s="516"/>
      <c r="AS430" s="520"/>
      <c r="AT430" s="516"/>
      <c r="AU430" s="520"/>
      <c r="AV430" s="506">
        <f t="shared" si="215"/>
        <v>0</v>
      </c>
      <c r="AW430" s="511">
        <f t="shared" si="216"/>
        <v>0</v>
      </c>
      <c r="AX430" s="508">
        <f t="shared" si="217"/>
        <v>0</v>
      </c>
      <c r="AY430" s="512">
        <f t="shared" si="218"/>
        <v>0</v>
      </c>
      <c r="AZ430" s="513">
        <f t="shared" si="219"/>
        <v>483.54166666666669</v>
      </c>
      <c r="BA430" s="508">
        <f t="shared" si="220"/>
        <v>455.27333333333331</v>
      </c>
    </row>
    <row r="431" spans="1:53">
      <c r="A431" s="521" t="s">
        <v>452</v>
      </c>
      <c r="B431" s="505" t="s">
        <v>500</v>
      </c>
      <c r="C431" s="614"/>
      <c r="D431" s="521">
        <v>418357</v>
      </c>
      <c r="E431" s="521">
        <v>13</v>
      </c>
      <c r="F431" s="514"/>
      <c r="G431" s="515"/>
      <c r="H431" s="617"/>
      <c r="I431" s="520"/>
      <c r="J431" s="617"/>
      <c r="K431" s="520"/>
      <c r="L431" s="617"/>
      <c r="M431" s="520"/>
      <c r="N431" s="617"/>
      <c r="O431" s="520"/>
      <c r="P431" s="506">
        <f t="shared" si="203"/>
        <v>0</v>
      </c>
      <c r="Q431" s="507">
        <f t="shared" si="204"/>
        <v>0</v>
      </c>
      <c r="R431" s="508">
        <f t="shared" si="205"/>
        <v>0</v>
      </c>
      <c r="S431" s="509">
        <f t="shared" si="206"/>
        <v>0</v>
      </c>
      <c r="T431" s="617"/>
      <c r="U431" s="520"/>
      <c r="V431" s="506">
        <f t="shared" si="207"/>
        <v>0</v>
      </c>
      <c r="W431" s="510">
        <f t="shared" si="208"/>
        <v>0</v>
      </c>
      <c r="X431" s="617"/>
      <c r="Y431" s="520"/>
      <c r="Z431" s="617"/>
      <c r="AA431" s="520"/>
      <c r="AB431" s="617"/>
      <c r="AC431" s="520"/>
      <c r="AD431" s="617">
        <v>203069</v>
      </c>
      <c r="AE431" s="520">
        <v>189543</v>
      </c>
      <c r="AF431" s="506">
        <f t="shared" si="209"/>
        <v>203069</v>
      </c>
      <c r="AG431" s="507">
        <f t="shared" si="210"/>
        <v>225.63222222222223</v>
      </c>
      <c r="AH431" s="508">
        <f t="shared" si="211"/>
        <v>189543</v>
      </c>
      <c r="AI431" s="508">
        <f t="shared" si="212"/>
        <v>210.60333333333332</v>
      </c>
      <c r="AJ431" s="516"/>
      <c r="AK431" s="519"/>
      <c r="AL431" s="506">
        <f t="shared" si="213"/>
        <v>0</v>
      </c>
      <c r="AM431" s="509">
        <f t="shared" si="214"/>
        <v>0</v>
      </c>
      <c r="AN431" s="518"/>
      <c r="AO431" s="520"/>
      <c r="AP431" s="516"/>
      <c r="AQ431" s="520"/>
      <c r="AR431" s="516"/>
      <c r="AS431" s="520"/>
      <c r="AT431" s="516"/>
      <c r="AU431" s="520"/>
      <c r="AV431" s="506">
        <f t="shared" si="215"/>
        <v>0</v>
      </c>
      <c r="AW431" s="511">
        <f t="shared" si="216"/>
        <v>0</v>
      </c>
      <c r="AX431" s="508">
        <f t="shared" si="217"/>
        <v>0</v>
      </c>
      <c r="AY431" s="512">
        <f t="shared" si="218"/>
        <v>0</v>
      </c>
      <c r="AZ431" s="513">
        <f t="shared" si="219"/>
        <v>225.63222222222223</v>
      </c>
      <c r="BA431" s="508">
        <f t="shared" si="220"/>
        <v>210.60333333333332</v>
      </c>
    </row>
    <row r="432" spans="1:53">
      <c r="A432" s="521" t="s">
        <v>452</v>
      </c>
      <c r="B432" s="505" t="s">
        <v>501</v>
      </c>
      <c r="C432" s="614"/>
      <c r="D432" s="521">
        <v>418302</v>
      </c>
      <c r="E432" s="521">
        <v>13</v>
      </c>
      <c r="F432" s="514"/>
      <c r="G432" s="515"/>
      <c r="H432" s="617"/>
      <c r="I432" s="520"/>
      <c r="J432" s="617"/>
      <c r="K432" s="520"/>
      <c r="L432" s="617"/>
      <c r="M432" s="520"/>
      <c r="N432" s="617"/>
      <c r="O432" s="520"/>
      <c r="P432" s="506">
        <f t="shared" si="203"/>
        <v>0</v>
      </c>
      <c r="Q432" s="507">
        <f t="shared" si="204"/>
        <v>0</v>
      </c>
      <c r="R432" s="508">
        <f t="shared" si="205"/>
        <v>0</v>
      </c>
      <c r="S432" s="509">
        <f t="shared" si="206"/>
        <v>0</v>
      </c>
      <c r="T432" s="617"/>
      <c r="U432" s="520"/>
      <c r="V432" s="506">
        <f t="shared" si="207"/>
        <v>0</v>
      </c>
      <c r="W432" s="510">
        <f t="shared" si="208"/>
        <v>0</v>
      </c>
      <c r="X432" s="617"/>
      <c r="Y432" s="520"/>
      <c r="Z432" s="617"/>
      <c r="AA432" s="520"/>
      <c r="AB432" s="617"/>
      <c r="AC432" s="520"/>
      <c r="AD432" s="617">
        <v>434095.55</v>
      </c>
      <c r="AE432" s="520">
        <v>381800</v>
      </c>
      <c r="AF432" s="506">
        <f t="shared" si="209"/>
        <v>434095.55</v>
      </c>
      <c r="AG432" s="507">
        <f t="shared" si="210"/>
        <v>482.32838888888887</v>
      </c>
      <c r="AH432" s="508">
        <f t="shared" si="211"/>
        <v>381800</v>
      </c>
      <c r="AI432" s="508">
        <f t="shared" si="212"/>
        <v>424.22222222222223</v>
      </c>
      <c r="AJ432" s="516"/>
      <c r="AK432" s="519"/>
      <c r="AL432" s="506">
        <f t="shared" si="213"/>
        <v>0</v>
      </c>
      <c r="AM432" s="509">
        <f t="shared" si="214"/>
        <v>0</v>
      </c>
      <c r="AN432" s="518"/>
      <c r="AO432" s="520"/>
      <c r="AP432" s="516"/>
      <c r="AQ432" s="520"/>
      <c r="AR432" s="516"/>
      <c r="AS432" s="520"/>
      <c r="AT432" s="516"/>
      <c r="AU432" s="520"/>
      <c r="AV432" s="506">
        <f t="shared" si="215"/>
        <v>0</v>
      </c>
      <c r="AW432" s="511">
        <f t="shared" si="216"/>
        <v>0</v>
      </c>
      <c r="AX432" s="508">
        <f t="shared" si="217"/>
        <v>0</v>
      </c>
      <c r="AY432" s="512">
        <f t="shared" si="218"/>
        <v>0</v>
      </c>
      <c r="AZ432" s="513">
        <f t="shared" si="219"/>
        <v>482.32838888888887</v>
      </c>
      <c r="BA432" s="508">
        <f t="shared" si="220"/>
        <v>424.22222222222223</v>
      </c>
    </row>
    <row r="433" spans="1:53">
      <c r="A433" s="738" t="s">
        <v>854</v>
      </c>
      <c r="B433" s="550" t="s">
        <v>855</v>
      </c>
      <c r="C433" s="548"/>
      <c r="D433" s="744">
        <v>217882</v>
      </c>
      <c r="E433" s="745">
        <v>1</v>
      </c>
      <c r="F433" s="514" t="s">
        <v>41</v>
      </c>
      <c r="G433" s="515"/>
      <c r="H433" s="617"/>
      <c r="I433" s="520"/>
      <c r="J433" s="617">
        <v>215291</v>
      </c>
      <c r="K433" s="520">
        <v>218776</v>
      </c>
      <c r="L433" s="617">
        <v>24389</v>
      </c>
      <c r="M433" s="520">
        <v>26274</v>
      </c>
      <c r="N433" s="617">
        <v>236236</v>
      </c>
      <c r="O433" s="520">
        <v>247981</v>
      </c>
      <c r="P433" s="506">
        <f t="shared" si="203"/>
        <v>475916</v>
      </c>
      <c r="Q433" s="507">
        <f t="shared" si="204"/>
        <v>15863.866666666667</v>
      </c>
      <c r="R433" s="508">
        <f t="shared" si="205"/>
        <v>493031</v>
      </c>
      <c r="S433" s="509">
        <f t="shared" si="206"/>
        <v>16434.366666666665</v>
      </c>
      <c r="T433" s="617"/>
      <c r="U433" s="520"/>
      <c r="V433" s="506">
        <f t="shared" si="207"/>
        <v>0</v>
      </c>
      <c r="W433" s="510">
        <f t="shared" si="208"/>
        <v>0</v>
      </c>
      <c r="X433" s="617"/>
      <c r="Y433" s="520"/>
      <c r="Z433" s="617"/>
      <c r="AA433" s="520"/>
      <c r="AB433" s="617"/>
      <c r="AC433" s="520"/>
      <c r="AD433" s="617"/>
      <c r="AE433" s="520"/>
      <c r="AF433" s="506">
        <f t="shared" si="209"/>
        <v>0</v>
      </c>
      <c r="AG433" s="507">
        <f t="shared" si="210"/>
        <v>0</v>
      </c>
      <c r="AH433" s="508">
        <f t="shared" si="211"/>
        <v>0</v>
      </c>
      <c r="AI433" s="508">
        <f t="shared" si="212"/>
        <v>0</v>
      </c>
      <c r="AJ433" s="516"/>
      <c r="AK433" s="519"/>
      <c r="AL433" s="506">
        <f t="shared" si="213"/>
        <v>0</v>
      </c>
      <c r="AM433" s="509">
        <f t="shared" si="214"/>
        <v>0</v>
      </c>
      <c r="AN433" s="518"/>
      <c r="AO433" s="520"/>
      <c r="AP433" s="516">
        <v>30766</v>
      </c>
      <c r="AQ433" s="618">
        <v>32409</v>
      </c>
      <c r="AR433" s="516">
        <v>12048</v>
      </c>
      <c r="AS433" s="618">
        <v>11918</v>
      </c>
      <c r="AT433" s="516">
        <v>34457</v>
      </c>
      <c r="AU433" s="618">
        <v>34909</v>
      </c>
      <c r="AV433" s="506">
        <f t="shared" si="215"/>
        <v>77271</v>
      </c>
      <c r="AW433" s="511">
        <f t="shared" si="216"/>
        <v>3219.625</v>
      </c>
      <c r="AX433" s="508">
        <f t="shared" si="217"/>
        <v>79236</v>
      </c>
      <c r="AY433" s="512">
        <f t="shared" si="218"/>
        <v>3301.5</v>
      </c>
      <c r="AZ433" s="513">
        <f t="shared" si="219"/>
        <v>19083.491666666669</v>
      </c>
      <c r="BA433" s="508">
        <f t="shared" si="220"/>
        <v>19735.866666666665</v>
      </c>
    </row>
    <row r="434" spans="1:53">
      <c r="A434" s="738" t="s">
        <v>854</v>
      </c>
      <c r="B434" s="550" t="s">
        <v>856</v>
      </c>
      <c r="C434" s="548"/>
      <c r="D434" s="744">
        <v>218663</v>
      </c>
      <c r="E434" s="745">
        <v>1</v>
      </c>
      <c r="F434" s="514" t="s">
        <v>41</v>
      </c>
      <c r="G434" s="515"/>
      <c r="H434" s="751"/>
      <c r="I434" s="519"/>
      <c r="J434" s="751">
        <v>297287</v>
      </c>
      <c r="K434" s="519">
        <v>313618</v>
      </c>
      <c r="L434" s="751">
        <v>32445</v>
      </c>
      <c r="M434" s="519">
        <v>32571</v>
      </c>
      <c r="N434" s="751">
        <v>332511</v>
      </c>
      <c r="O434" s="519">
        <v>343359</v>
      </c>
      <c r="P434" s="506">
        <f t="shared" si="203"/>
        <v>662243</v>
      </c>
      <c r="Q434" s="507">
        <f t="shared" si="204"/>
        <v>22074.766666666666</v>
      </c>
      <c r="R434" s="508">
        <f t="shared" si="205"/>
        <v>689548</v>
      </c>
      <c r="S434" s="509">
        <f t="shared" si="206"/>
        <v>22984.933333333334</v>
      </c>
      <c r="T434" s="751">
        <v>143</v>
      </c>
      <c r="U434" s="519">
        <v>135</v>
      </c>
      <c r="V434" s="506">
        <f t="shared" si="207"/>
        <v>662243</v>
      </c>
      <c r="W434" s="510">
        <f t="shared" si="208"/>
        <v>689548</v>
      </c>
      <c r="X434" s="751"/>
      <c r="Y434" s="519"/>
      <c r="Z434" s="751"/>
      <c r="AA434" s="519"/>
      <c r="AB434" s="751"/>
      <c r="AC434" s="519"/>
      <c r="AD434" s="751"/>
      <c r="AE434" s="519"/>
      <c r="AF434" s="506">
        <f t="shared" si="209"/>
        <v>0</v>
      </c>
      <c r="AG434" s="507">
        <f t="shared" si="210"/>
        <v>0</v>
      </c>
      <c r="AH434" s="508">
        <f t="shared" si="211"/>
        <v>0</v>
      </c>
      <c r="AI434" s="508">
        <f t="shared" si="212"/>
        <v>0</v>
      </c>
      <c r="AJ434" s="516"/>
      <c r="AK434" s="519"/>
      <c r="AL434" s="506">
        <f t="shared" si="213"/>
        <v>0</v>
      </c>
      <c r="AM434" s="509">
        <f t="shared" si="214"/>
        <v>0</v>
      </c>
      <c r="AN434" s="518"/>
      <c r="AO434" s="520"/>
      <c r="AP434" s="516">
        <v>50283</v>
      </c>
      <c r="AQ434" s="618">
        <v>48022</v>
      </c>
      <c r="AR434" s="516">
        <v>18193</v>
      </c>
      <c r="AS434" s="618">
        <v>17590</v>
      </c>
      <c r="AT434" s="516">
        <v>49746</v>
      </c>
      <c r="AU434" s="618">
        <v>47595</v>
      </c>
      <c r="AV434" s="506">
        <f t="shared" si="215"/>
        <v>118222</v>
      </c>
      <c r="AW434" s="511">
        <f t="shared" si="216"/>
        <v>4925.916666666667</v>
      </c>
      <c r="AX434" s="508">
        <f t="shared" si="217"/>
        <v>113207</v>
      </c>
      <c r="AY434" s="512">
        <f t="shared" si="218"/>
        <v>4716.958333333333</v>
      </c>
      <c r="AZ434" s="513">
        <f t="shared" si="219"/>
        <v>27000.683333333334</v>
      </c>
      <c r="BA434" s="508">
        <f t="shared" si="220"/>
        <v>27701.891666666666</v>
      </c>
    </row>
    <row r="435" spans="1:53">
      <c r="A435" s="738" t="s">
        <v>854</v>
      </c>
      <c r="B435" s="550" t="s">
        <v>857</v>
      </c>
      <c r="C435" s="548"/>
      <c r="D435" s="744">
        <v>217819</v>
      </c>
      <c r="E435" s="745">
        <v>3</v>
      </c>
      <c r="F435" s="514" t="s">
        <v>41</v>
      </c>
      <c r="G435" s="515"/>
      <c r="H435" s="751"/>
      <c r="I435" s="519"/>
      <c r="J435" s="751">
        <v>136212</v>
      </c>
      <c r="K435" s="519">
        <v>141679</v>
      </c>
      <c r="L435" s="751">
        <v>14126</v>
      </c>
      <c r="M435" s="519">
        <v>14705</v>
      </c>
      <c r="N435" s="751">
        <v>150084</v>
      </c>
      <c r="O435" s="519">
        <v>150561</v>
      </c>
      <c r="P435" s="506">
        <f t="shared" si="203"/>
        <v>300422</v>
      </c>
      <c r="Q435" s="507">
        <f t="shared" si="204"/>
        <v>10014.066666666668</v>
      </c>
      <c r="R435" s="508">
        <f t="shared" si="205"/>
        <v>306945</v>
      </c>
      <c r="S435" s="509">
        <f t="shared" si="206"/>
        <v>10231.5</v>
      </c>
      <c r="T435" s="751">
        <v>224</v>
      </c>
      <c r="U435" s="519">
        <v>293</v>
      </c>
      <c r="V435" s="506">
        <f t="shared" si="207"/>
        <v>300422</v>
      </c>
      <c r="W435" s="510">
        <f t="shared" si="208"/>
        <v>306945</v>
      </c>
      <c r="X435" s="751"/>
      <c r="Y435" s="519"/>
      <c r="Z435" s="751"/>
      <c r="AA435" s="519"/>
      <c r="AB435" s="751"/>
      <c r="AC435" s="519"/>
      <c r="AD435" s="751"/>
      <c r="AE435" s="519"/>
      <c r="AF435" s="506">
        <f t="shared" si="209"/>
        <v>0</v>
      </c>
      <c r="AG435" s="507">
        <f t="shared" si="210"/>
        <v>0</v>
      </c>
      <c r="AH435" s="508">
        <f t="shared" si="211"/>
        <v>0</v>
      </c>
      <c r="AI435" s="508">
        <f t="shared" si="212"/>
        <v>0</v>
      </c>
      <c r="AJ435" s="516"/>
      <c r="AK435" s="519"/>
      <c r="AL435" s="506">
        <f t="shared" si="213"/>
        <v>0</v>
      </c>
      <c r="AM435" s="509">
        <f t="shared" si="214"/>
        <v>0</v>
      </c>
      <c r="AN435" s="518"/>
      <c r="AO435" s="520"/>
      <c r="AP435" s="516">
        <v>7268</v>
      </c>
      <c r="AQ435" s="618">
        <v>7146</v>
      </c>
      <c r="AR435" s="516">
        <v>5273</v>
      </c>
      <c r="AS435" s="618">
        <v>4882</v>
      </c>
      <c r="AT435" s="516">
        <v>6513</v>
      </c>
      <c r="AU435" s="618">
        <v>6252</v>
      </c>
      <c r="AV435" s="506">
        <f t="shared" si="215"/>
        <v>19054</v>
      </c>
      <c r="AW435" s="511">
        <f t="shared" si="216"/>
        <v>793.91666666666663</v>
      </c>
      <c r="AX435" s="508">
        <f t="shared" si="217"/>
        <v>18280</v>
      </c>
      <c r="AY435" s="512">
        <f t="shared" si="218"/>
        <v>761.66666666666663</v>
      </c>
      <c r="AZ435" s="513">
        <f t="shared" si="219"/>
        <v>10807.983333333334</v>
      </c>
      <c r="BA435" s="508">
        <f t="shared" si="220"/>
        <v>10993.166666666666</v>
      </c>
    </row>
    <row r="436" spans="1:53">
      <c r="A436" s="738" t="s">
        <v>854</v>
      </c>
      <c r="B436" s="550" t="s">
        <v>858</v>
      </c>
      <c r="C436" s="548"/>
      <c r="D436" s="744">
        <v>218964</v>
      </c>
      <c r="E436" s="745">
        <v>3</v>
      </c>
      <c r="F436" s="514" t="s">
        <v>41</v>
      </c>
      <c r="G436" s="515"/>
      <c r="H436" s="516"/>
      <c r="I436" s="519"/>
      <c r="J436" s="516">
        <v>65103</v>
      </c>
      <c r="K436" s="519">
        <v>65305.5</v>
      </c>
      <c r="L436" s="516">
        <v>8200</v>
      </c>
      <c r="M436" s="519">
        <v>7630</v>
      </c>
      <c r="N436" s="516">
        <v>69093</v>
      </c>
      <c r="O436" s="519">
        <v>70915</v>
      </c>
      <c r="P436" s="506">
        <f t="shared" si="203"/>
        <v>142396</v>
      </c>
      <c r="Q436" s="507">
        <f t="shared" si="204"/>
        <v>4746.5333333333338</v>
      </c>
      <c r="R436" s="508">
        <f t="shared" si="205"/>
        <v>143850.5</v>
      </c>
      <c r="S436" s="509">
        <f t="shared" si="206"/>
        <v>4795.0166666666664</v>
      </c>
      <c r="T436" s="516">
        <v>1059</v>
      </c>
      <c r="U436" s="519">
        <v>1002</v>
      </c>
      <c r="V436" s="506">
        <f t="shared" si="207"/>
        <v>142396</v>
      </c>
      <c r="W436" s="510">
        <f t="shared" si="208"/>
        <v>143850.5</v>
      </c>
      <c r="X436" s="517"/>
      <c r="Y436" s="519"/>
      <c r="Z436" s="516"/>
      <c r="AA436" s="519"/>
      <c r="AB436" s="516"/>
      <c r="AC436" s="519"/>
      <c r="AD436" s="516"/>
      <c r="AE436" s="519"/>
      <c r="AF436" s="506">
        <f t="shared" si="209"/>
        <v>0</v>
      </c>
      <c r="AG436" s="507">
        <f t="shared" si="210"/>
        <v>0</v>
      </c>
      <c r="AH436" s="508">
        <f t="shared" si="211"/>
        <v>0</v>
      </c>
      <c r="AI436" s="508">
        <f t="shared" si="212"/>
        <v>0</v>
      </c>
      <c r="AJ436" s="516"/>
      <c r="AK436" s="519"/>
      <c r="AL436" s="506">
        <f t="shared" si="213"/>
        <v>0</v>
      </c>
      <c r="AM436" s="509">
        <f t="shared" si="214"/>
        <v>0</v>
      </c>
      <c r="AN436" s="518"/>
      <c r="AO436" s="520"/>
      <c r="AP436" s="516">
        <v>7369</v>
      </c>
      <c r="AQ436" s="519">
        <v>7134</v>
      </c>
      <c r="AR436" s="516">
        <v>3820</v>
      </c>
      <c r="AS436" s="519">
        <v>3638</v>
      </c>
      <c r="AT436" s="516">
        <v>7393</v>
      </c>
      <c r="AU436" s="519">
        <v>7672.5</v>
      </c>
      <c r="AV436" s="506">
        <f t="shared" si="215"/>
        <v>18582</v>
      </c>
      <c r="AW436" s="511">
        <f t="shared" si="216"/>
        <v>774.25</v>
      </c>
      <c r="AX436" s="508">
        <f t="shared" si="217"/>
        <v>18444.5</v>
      </c>
      <c r="AY436" s="512">
        <f t="shared" si="218"/>
        <v>768.52083333333337</v>
      </c>
      <c r="AZ436" s="513">
        <f t="shared" si="219"/>
        <v>5520.7833333333338</v>
      </c>
      <c r="BA436" s="508">
        <f t="shared" si="220"/>
        <v>5563.5374999999995</v>
      </c>
    </row>
    <row r="437" spans="1:53">
      <c r="A437" s="738" t="s">
        <v>854</v>
      </c>
      <c r="B437" s="550" t="s">
        <v>859</v>
      </c>
      <c r="C437" s="548" t="s">
        <v>414</v>
      </c>
      <c r="D437" s="744">
        <v>217864</v>
      </c>
      <c r="E437" s="745">
        <v>4</v>
      </c>
      <c r="F437" s="514" t="s">
        <v>41</v>
      </c>
      <c r="G437" s="515"/>
      <c r="H437" s="516"/>
      <c r="I437" s="519"/>
      <c r="J437" s="516">
        <v>39629</v>
      </c>
      <c r="K437" s="519">
        <v>39901</v>
      </c>
      <c r="L437" s="516">
        <v>5467</v>
      </c>
      <c r="M437" s="519">
        <v>6026</v>
      </c>
      <c r="N437" s="516">
        <v>42142</v>
      </c>
      <c r="O437" s="519">
        <v>44793</v>
      </c>
      <c r="P437" s="506">
        <f t="shared" si="203"/>
        <v>87238</v>
      </c>
      <c r="Q437" s="507">
        <f t="shared" si="204"/>
        <v>2907.9333333333334</v>
      </c>
      <c r="R437" s="508">
        <f t="shared" si="205"/>
        <v>90720</v>
      </c>
      <c r="S437" s="509">
        <f t="shared" si="206"/>
        <v>3024</v>
      </c>
      <c r="T437" s="516">
        <v>227</v>
      </c>
      <c r="U437" s="519">
        <v>213</v>
      </c>
      <c r="V437" s="506">
        <f t="shared" si="207"/>
        <v>87238</v>
      </c>
      <c r="W437" s="510">
        <f t="shared" si="208"/>
        <v>90720</v>
      </c>
      <c r="X437" s="517"/>
      <c r="Y437" s="519"/>
      <c r="Z437" s="516"/>
      <c r="AA437" s="519"/>
      <c r="AB437" s="516"/>
      <c r="AC437" s="519"/>
      <c r="AD437" s="516"/>
      <c r="AE437" s="519"/>
      <c r="AF437" s="506">
        <f t="shared" si="209"/>
        <v>0</v>
      </c>
      <c r="AG437" s="507">
        <f t="shared" si="210"/>
        <v>0</v>
      </c>
      <c r="AH437" s="508">
        <f t="shared" si="211"/>
        <v>0</v>
      </c>
      <c r="AI437" s="508">
        <f t="shared" si="212"/>
        <v>0</v>
      </c>
      <c r="AJ437" s="516"/>
      <c r="AK437" s="519"/>
      <c r="AL437" s="506">
        <f t="shared" si="213"/>
        <v>0</v>
      </c>
      <c r="AM437" s="509">
        <f t="shared" si="214"/>
        <v>0</v>
      </c>
      <c r="AN437" s="518"/>
      <c r="AO437" s="520"/>
      <c r="AP437" s="751">
        <v>5903</v>
      </c>
      <c r="AQ437" s="765">
        <v>4964</v>
      </c>
      <c r="AR437" s="516">
        <v>4727</v>
      </c>
      <c r="AS437" s="765">
        <v>3931</v>
      </c>
      <c r="AT437" s="516">
        <v>5432</v>
      </c>
      <c r="AU437" s="765">
        <v>5048</v>
      </c>
      <c r="AV437" s="506">
        <f t="shared" si="215"/>
        <v>16062</v>
      </c>
      <c r="AW437" s="511">
        <f t="shared" si="216"/>
        <v>669.25</v>
      </c>
      <c r="AX437" s="508">
        <f t="shared" si="217"/>
        <v>13943</v>
      </c>
      <c r="AY437" s="512">
        <f t="shared" si="218"/>
        <v>580.95833333333337</v>
      </c>
      <c r="AZ437" s="513">
        <f t="shared" si="219"/>
        <v>3577.1833333333334</v>
      </c>
      <c r="BA437" s="508">
        <f t="shared" si="220"/>
        <v>3604.9583333333335</v>
      </c>
    </row>
    <row r="438" spans="1:53">
      <c r="A438" s="738" t="s">
        <v>854</v>
      </c>
      <c r="B438" s="550" t="s">
        <v>860</v>
      </c>
      <c r="C438" s="548"/>
      <c r="D438" s="744">
        <v>218724</v>
      </c>
      <c r="E438" s="745">
        <v>5</v>
      </c>
      <c r="F438" s="514" t="s">
        <v>41</v>
      </c>
      <c r="G438" s="515"/>
      <c r="H438" s="516"/>
      <c r="I438" s="519"/>
      <c r="J438" s="516">
        <v>109295</v>
      </c>
      <c r="K438" s="519">
        <v>114906</v>
      </c>
      <c r="L438" s="516">
        <v>11181</v>
      </c>
      <c r="M438" s="519">
        <v>10682</v>
      </c>
      <c r="N438" s="516">
        <v>126828</v>
      </c>
      <c r="O438" s="519">
        <v>128522</v>
      </c>
      <c r="P438" s="506">
        <f t="shared" si="203"/>
        <v>247304</v>
      </c>
      <c r="Q438" s="507">
        <f t="shared" si="204"/>
        <v>8243.4666666666672</v>
      </c>
      <c r="R438" s="508">
        <f t="shared" si="205"/>
        <v>254110</v>
      </c>
      <c r="S438" s="509">
        <f t="shared" si="206"/>
        <v>8470.3333333333339</v>
      </c>
      <c r="T438" s="516">
        <v>93</v>
      </c>
      <c r="U438" s="519"/>
      <c r="V438" s="506">
        <f t="shared" si="207"/>
        <v>247304</v>
      </c>
      <c r="W438" s="510">
        <f t="shared" si="208"/>
        <v>0</v>
      </c>
      <c r="X438" s="517"/>
      <c r="Y438" s="519"/>
      <c r="Z438" s="516"/>
      <c r="AA438" s="519"/>
      <c r="AB438" s="516"/>
      <c r="AC438" s="519"/>
      <c r="AD438" s="516"/>
      <c r="AE438" s="519"/>
      <c r="AF438" s="506">
        <f t="shared" si="209"/>
        <v>0</v>
      </c>
      <c r="AG438" s="507">
        <f t="shared" si="210"/>
        <v>0</v>
      </c>
      <c r="AH438" s="508">
        <f t="shared" si="211"/>
        <v>0</v>
      </c>
      <c r="AI438" s="508">
        <f t="shared" si="212"/>
        <v>0</v>
      </c>
      <c r="AJ438" s="516"/>
      <c r="AK438" s="519"/>
      <c r="AL438" s="506">
        <f t="shared" si="213"/>
        <v>0</v>
      </c>
      <c r="AM438" s="509">
        <f t="shared" si="214"/>
        <v>0</v>
      </c>
      <c r="AN438" s="518"/>
      <c r="AO438" s="520"/>
      <c r="AP438" s="516">
        <v>2631</v>
      </c>
      <c r="AQ438" s="519">
        <v>2857</v>
      </c>
      <c r="AR438" s="516">
        <v>3454</v>
      </c>
      <c r="AS438" s="519">
        <v>3235</v>
      </c>
      <c r="AT438" s="516">
        <v>3183</v>
      </c>
      <c r="AU438" s="519">
        <v>3492</v>
      </c>
      <c r="AV438" s="506">
        <f t="shared" si="215"/>
        <v>9268</v>
      </c>
      <c r="AW438" s="511">
        <f t="shared" si="216"/>
        <v>386.16666666666669</v>
      </c>
      <c r="AX438" s="508">
        <f t="shared" si="217"/>
        <v>9584</v>
      </c>
      <c r="AY438" s="512">
        <f t="shared" si="218"/>
        <v>399.33333333333331</v>
      </c>
      <c r="AZ438" s="513">
        <f t="shared" si="219"/>
        <v>8629.6333333333332</v>
      </c>
      <c r="BA438" s="508">
        <f t="shared" si="220"/>
        <v>8869.6666666666679</v>
      </c>
    </row>
    <row r="439" spans="1:53">
      <c r="A439" s="738" t="s">
        <v>854</v>
      </c>
      <c r="B439" s="550" t="s">
        <v>861</v>
      </c>
      <c r="C439" s="548"/>
      <c r="D439" s="744">
        <v>218061</v>
      </c>
      <c r="E439" s="745">
        <v>5</v>
      </c>
      <c r="F439" s="514" t="s">
        <v>41</v>
      </c>
      <c r="G439" s="515"/>
      <c r="H439" s="516"/>
      <c r="I439" s="519"/>
      <c r="J439" s="516">
        <v>47620</v>
      </c>
      <c r="K439" s="519">
        <v>46930</v>
      </c>
      <c r="L439" s="516">
        <v>5279</v>
      </c>
      <c r="M439" s="519">
        <v>3724</v>
      </c>
      <c r="N439" s="516">
        <v>52100</v>
      </c>
      <c r="O439" s="519">
        <v>51424</v>
      </c>
      <c r="P439" s="506">
        <f t="shared" si="203"/>
        <v>104999</v>
      </c>
      <c r="Q439" s="507">
        <f t="shared" si="204"/>
        <v>3499.9666666666667</v>
      </c>
      <c r="R439" s="508">
        <f t="shared" si="205"/>
        <v>102078</v>
      </c>
      <c r="S439" s="509">
        <f t="shared" si="206"/>
        <v>3402.6</v>
      </c>
      <c r="T439" s="516">
        <v>1603</v>
      </c>
      <c r="U439" s="519">
        <v>695</v>
      </c>
      <c r="V439" s="506">
        <f t="shared" si="207"/>
        <v>104999</v>
      </c>
      <c r="W439" s="510">
        <f t="shared" si="208"/>
        <v>102078</v>
      </c>
      <c r="X439" s="517"/>
      <c r="Y439" s="519"/>
      <c r="Z439" s="516"/>
      <c r="AA439" s="519"/>
      <c r="AB439" s="516"/>
      <c r="AC439" s="519"/>
      <c r="AD439" s="516"/>
      <c r="AE439" s="519"/>
      <c r="AF439" s="506">
        <f t="shared" si="209"/>
        <v>0</v>
      </c>
      <c r="AG439" s="507">
        <f t="shared" si="210"/>
        <v>0</v>
      </c>
      <c r="AH439" s="508">
        <f t="shared" si="211"/>
        <v>0</v>
      </c>
      <c r="AI439" s="508">
        <f t="shared" si="212"/>
        <v>0</v>
      </c>
      <c r="AJ439" s="516"/>
      <c r="AK439" s="519"/>
      <c r="AL439" s="506">
        <f t="shared" si="213"/>
        <v>0</v>
      </c>
      <c r="AM439" s="509">
        <f t="shared" si="214"/>
        <v>0</v>
      </c>
      <c r="AN439" s="518"/>
      <c r="AO439" s="520"/>
      <c r="AP439" s="516">
        <v>1272</v>
      </c>
      <c r="AQ439" s="765">
        <v>1514</v>
      </c>
      <c r="AR439" s="516">
        <v>1828</v>
      </c>
      <c r="AS439" s="765">
        <v>1821</v>
      </c>
      <c r="AT439" s="770">
        <v>1867</v>
      </c>
      <c r="AU439" s="765">
        <v>1454</v>
      </c>
      <c r="AV439" s="506">
        <f t="shared" si="215"/>
        <v>4967</v>
      </c>
      <c r="AW439" s="511">
        <f t="shared" si="216"/>
        <v>206.95833333333334</v>
      </c>
      <c r="AX439" s="508">
        <f t="shared" si="217"/>
        <v>4789</v>
      </c>
      <c r="AY439" s="512">
        <f t="shared" si="218"/>
        <v>199.54166666666666</v>
      </c>
      <c r="AZ439" s="513">
        <f t="shared" si="219"/>
        <v>3706.9250000000002</v>
      </c>
      <c r="BA439" s="508">
        <f t="shared" si="220"/>
        <v>3602.1416666666664</v>
      </c>
    </row>
    <row r="440" spans="1:53">
      <c r="A440" s="738" t="s">
        <v>854</v>
      </c>
      <c r="B440" s="550" t="s">
        <v>862</v>
      </c>
      <c r="C440" s="548"/>
      <c r="D440" s="744">
        <v>218733</v>
      </c>
      <c r="E440" s="745">
        <v>5</v>
      </c>
      <c r="F440" s="514" t="s">
        <v>41</v>
      </c>
      <c r="G440" s="515"/>
      <c r="H440" s="516"/>
      <c r="I440" s="519"/>
      <c r="J440" s="516">
        <v>50332</v>
      </c>
      <c r="K440" s="519">
        <v>48329</v>
      </c>
      <c r="L440" s="516">
        <v>7507</v>
      </c>
      <c r="M440" s="519">
        <v>6259</v>
      </c>
      <c r="N440" s="516">
        <v>54604</v>
      </c>
      <c r="O440" s="519">
        <v>46979</v>
      </c>
      <c r="P440" s="506">
        <f t="shared" si="203"/>
        <v>112443</v>
      </c>
      <c r="Q440" s="507">
        <f t="shared" si="204"/>
        <v>3748.1</v>
      </c>
      <c r="R440" s="508">
        <f t="shared" si="205"/>
        <v>101567</v>
      </c>
      <c r="S440" s="509">
        <f t="shared" si="206"/>
        <v>3385.5666666666666</v>
      </c>
      <c r="T440" s="516"/>
      <c r="U440" s="519"/>
      <c r="V440" s="506">
        <f t="shared" si="207"/>
        <v>0</v>
      </c>
      <c r="W440" s="510">
        <f t="shared" si="208"/>
        <v>0</v>
      </c>
      <c r="X440" s="517"/>
      <c r="Y440" s="519"/>
      <c r="Z440" s="516"/>
      <c r="AA440" s="519"/>
      <c r="AB440" s="516"/>
      <c r="AC440" s="519"/>
      <c r="AD440" s="516"/>
      <c r="AE440" s="519"/>
      <c r="AF440" s="506">
        <f t="shared" si="209"/>
        <v>0</v>
      </c>
      <c r="AG440" s="507">
        <f t="shared" si="210"/>
        <v>0</v>
      </c>
      <c r="AH440" s="508">
        <f t="shared" si="211"/>
        <v>0</v>
      </c>
      <c r="AI440" s="508">
        <f t="shared" si="212"/>
        <v>0</v>
      </c>
      <c r="AJ440" s="516"/>
      <c r="AK440" s="519"/>
      <c r="AL440" s="506">
        <f t="shared" si="213"/>
        <v>0</v>
      </c>
      <c r="AM440" s="509">
        <f t="shared" si="214"/>
        <v>0</v>
      </c>
      <c r="AN440" s="518"/>
      <c r="AO440" s="520"/>
      <c r="AP440" s="516">
        <v>4286</v>
      </c>
      <c r="AQ440" s="519">
        <v>4227</v>
      </c>
      <c r="AR440" s="516">
        <v>1974</v>
      </c>
      <c r="AS440" s="519">
        <v>1932</v>
      </c>
      <c r="AT440" s="516">
        <v>4234</v>
      </c>
      <c r="AU440" s="519">
        <v>3872</v>
      </c>
      <c r="AV440" s="506">
        <f t="shared" si="215"/>
        <v>10494</v>
      </c>
      <c r="AW440" s="511">
        <f t="shared" si="216"/>
        <v>437.25</v>
      </c>
      <c r="AX440" s="508">
        <f t="shared" si="217"/>
        <v>10031</v>
      </c>
      <c r="AY440" s="512">
        <f t="shared" si="218"/>
        <v>417.95833333333331</v>
      </c>
      <c r="AZ440" s="513">
        <f t="shared" si="219"/>
        <v>4185.3500000000004</v>
      </c>
      <c r="BA440" s="508">
        <f t="shared" si="220"/>
        <v>3803.5250000000001</v>
      </c>
    </row>
    <row r="441" spans="1:53">
      <c r="A441" s="738" t="s">
        <v>854</v>
      </c>
      <c r="B441" s="550" t="s">
        <v>863</v>
      </c>
      <c r="C441" s="548"/>
      <c r="D441" s="744">
        <v>218229</v>
      </c>
      <c r="E441" s="745">
        <v>6</v>
      </c>
      <c r="F441" s="514" t="s">
        <v>41</v>
      </c>
      <c r="G441" s="515"/>
      <c r="H441" s="516"/>
      <c r="I441" s="519"/>
      <c r="J441" s="516">
        <v>38776</v>
      </c>
      <c r="K441" s="519">
        <v>39529.01</v>
      </c>
      <c r="L441" s="516">
        <v>4083</v>
      </c>
      <c r="M441" s="519">
        <v>4321</v>
      </c>
      <c r="N441" s="516">
        <v>42546</v>
      </c>
      <c r="O441" s="519">
        <v>41793</v>
      </c>
      <c r="P441" s="506">
        <f t="shared" si="203"/>
        <v>85405</v>
      </c>
      <c r="Q441" s="507">
        <f t="shared" si="204"/>
        <v>2846.8333333333335</v>
      </c>
      <c r="R441" s="508">
        <f t="shared" si="205"/>
        <v>85643.010000000009</v>
      </c>
      <c r="S441" s="509">
        <f t="shared" si="206"/>
        <v>2854.7670000000003</v>
      </c>
      <c r="T441" s="516">
        <v>179</v>
      </c>
      <c r="U441" s="519">
        <v>163</v>
      </c>
      <c r="V441" s="506">
        <f t="shared" si="207"/>
        <v>85405</v>
      </c>
      <c r="W441" s="510">
        <f t="shared" si="208"/>
        <v>85643.010000000009</v>
      </c>
      <c r="X441" s="517"/>
      <c r="Y441" s="519"/>
      <c r="Z441" s="516"/>
      <c r="AA441" s="519"/>
      <c r="AB441" s="516"/>
      <c r="AC441" s="519"/>
      <c r="AD441" s="516"/>
      <c r="AE441" s="519"/>
      <c r="AF441" s="506">
        <f t="shared" si="209"/>
        <v>0</v>
      </c>
      <c r="AG441" s="507">
        <f t="shared" si="210"/>
        <v>0</v>
      </c>
      <c r="AH441" s="508">
        <f t="shared" si="211"/>
        <v>0</v>
      </c>
      <c r="AI441" s="508">
        <f t="shared" si="212"/>
        <v>0</v>
      </c>
      <c r="AJ441" s="516"/>
      <c r="AK441" s="519"/>
      <c r="AL441" s="506">
        <f t="shared" si="213"/>
        <v>0</v>
      </c>
      <c r="AM441" s="509">
        <f t="shared" si="214"/>
        <v>0</v>
      </c>
      <c r="AN441" s="518"/>
      <c r="AO441" s="520"/>
      <c r="AP441" s="516">
        <v>414</v>
      </c>
      <c r="AQ441" s="765">
        <v>357</v>
      </c>
      <c r="AR441" s="516">
        <v>1104</v>
      </c>
      <c r="AS441" s="765">
        <v>1146</v>
      </c>
      <c r="AT441" s="516">
        <v>156</v>
      </c>
      <c r="AU441" s="765">
        <v>366</v>
      </c>
      <c r="AV441" s="506">
        <f t="shared" si="215"/>
        <v>1674</v>
      </c>
      <c r="AW441" s="511">
        <f t="shared" si="216"/>
        <v>69.75</v>
      </c>
      <c r="AX441" s="508">
        <f t="shared" si="217"/>
        <v>1869</v>
      </c>
      <c r="AY441" s="512">
        <f t="shared" si="218"/>
        <v>77.875</v>
      </c>
      <c r="AZ441" s="513">
        <f t="shared" si="219"/>
        <v>2916.5833333333335</v>
      </c>
      <c r="BA441" s="508">
        <f t="shared" si="220"/>
        <v>2932.6420000000003</v>
      </c>
    </row>
    <row r="442" spans="1:53">
      <c r="A442" s="738" t="s">
        <v>854</v>
      </c>
      <c r="B442" s="550" t="s">
        <v>864</v>
      </c>
      <c r="C442" s="548"/>
      <c r="D442" s="744">
        <v>218645</v>
      </c>
      <c r="E442" s="745">
        <v>6</v>
      </c>
      <c r="F442" s="514" t="s">
        <v>41</v>
      </c>
      <c r="G442" s="515"/>
      <c r="H442" s="516"/>
      <c r="I442" s="519"/>
      <c r="J442" s="516">
        <v>37961</v>
      </c>
      <c r="K442" s="519">
        <v>37614</v>
      </c>
      <c r="L442" s="516">
        <v>5294</v>
      </c>
      <c r="M442" s="519">
        <v>4938</v>
      </c>
      <c r="N442" s="516">
        <v>41204</v>
      </c>
      <c r="O442" s="519">
        <v>40607</v>
      </c>
      <c r="P442" s="506">
        <f t="shared" si="203"/>
        <v>84459</v>
      </c>
      <c r="Q442" s="507">
        <f t="shared" si="204"/>
        <v>2815.3</v>
      </c>
      <c r="R442" s="508">
        <f t="shared" si="205"/>
        <v>83159</v>
      </c>
      <c r="S442" s="509">
        <f t="shared" si="206"/>
        <v>2771.9666666666667</v>
      </c>
      <c r="T442" s="516">
        <v>641</v>
      </c>
      <c r="U442" s="519">
        <v>742</v>
      </c>
      <c r="V442" s="506">
        <f t="shared" si="207"/>
        <v>84459</v>
      </c>
      <c r="W442" s="510">
        <f t="shared" si="208"/>
        <v>83159</v>
      </c>
      <c r="X442" s="517"/>
      <c r="Y442" s="519"/>
      <c r="Z442" s="516"/>
      <c r="AA442" s="519"/>
      <c r="AB442" s="516"/>
      <c r="AC442" s="519"/>
      <c r="AD442" s="516"/>
      <c r="AE442" s="519"/>
      <c r="AF442" s="506">
        <f t="shared" si="209"/>
        <v>0</v>
      </c>
      <c r="AG442" s="507">
        <f t="shared" si="210"/>
        <v>0</v>
      </c>
      <c r="AH442" s="508">
        <f t="shared" si="211"/>
        <v>0</v>
      </c>
      <c r="AI442" s="508">
        <f t="shared" si="212"/>
        <v>0</v>
      </c>
      <c r="AJ442" s="516"/>
      <c r="AK442" s="519"/>
      <c r="AL442" s="506">
        <f t="shared" si="213"/>
        <v>0</v>
      </c>
      <c r="AM442" s="509">
        <f t="shared" si="214"/>
        <v>0</v>
      </c>
      <c r="AN442" s="518"/>
      <c r="AO442" s="520"/>
      <c r="AP442" s="516">
        <v>391</v>
      </c>
      <c r="AQ442" s="519">
        <v>466</v>
      </c>
      <c r="AR442" s="516">
        <v>356</v>
      </c>
      <c r="AS442" s="519">
        <v>357</v>
      </c>
      <c r="AT442" s="516">
        <v>475</v>
      </c>
      <c r="AU442" s="519">
        <v>503</v>
      </c>
      <c r="AV442" s="506">
        <f t="shared" si="215"/>
        <v>1222</v>
      </c>
      <c r="AW442" s="511">
        <f t="shared" si="216"/>
        <v>50.916666666666664</v>
      </c>
      <c r="AX442" s="508">
        <f t="shared" si="217"/>
        <v>1326</v>
      </c>
      <c r="AY442" s="512">
        <f t="shared" si="218"/>
        <v>55.25</v>
      </c>
      <c r="AZ442" s="513">
        <f t="shared" si="219"/>
        <v>2866.2166666666667</v>
      </c>
      <c r="BA442" s="508">
        <f t="shared" si="220"/>
        <v>2827.2166666666667</v>
      </c>
    </row>
    <row r="443" spans="1:53">
      <c r="A443" s="738" t="s">
        <v>854</v>
      </c>
      <c r="B443" s="553" t="s">
        <v>865</v>
      </c>
      <c r="C443" s="563"/>
      <c r="D443" s="744">
        <v>218654</v>
      </c>
      <c r="E443" s="745">
        <v>6</v>
      </c>
      <c r="F443" s="514" t="s">
        <v>41</v>
      </c>
      <c r="G443" s="515"/>
      <c r="H443" s="516"/>
      <c r="I443" s="519"/>
      <c r="J443" s="516">
        <v>21353</v>
      </c>
      <c r="K443" s="519">
        <v>21874</v>
      </c>
      <c r="L443" s="516">
        <v>2922</v>
      </c>
      <c r="M443" s="519">
        <v>2224</v>
      </c>
      <c r="N443" s="516">
        <v>23892</v>
      </c>
      <c r="O443" s="519">
        <v>23210</v>
      </c>
      <c r="P443" s="506">
        <f t="shared" si="203"/>
        <v>48167</v>
      </c>
      <c r="Q443" s="507">
        <f t="shared" si="204"/>
        <v>1605.5666666666666</v>
      </c>
      <c r="R443" s="508">
        <f t="shared" si="205"/>
        <v>47308</v>
      </c>
      <c r="S443" s="509">
        <f t="shared" si="206"/>
        <v>1576.9333333333334</v>
      </c>
      <c r="T443" s="516">
        <v>70</v>
      </c>
      <c r="U443" s="519">
        <v>87</v>
      </c>
      <c r="V443" s="506">
        <f t="shared" si="207"/>
        <v>48167</v>
      </c>
      <c r="W443" s="510">
        <f t="shared" si="208"/>
        <v>47308</v>
      </c>
      <c r="X443" s="517"/>
      <c r="Y443" s="519"/>
      <c r="Z443" s="516"/>
      <c r="AA443" s="519"/>
      <c r="AB443" s="516"/>
      <c r="AC443" s="519"/>
      <c r="AD443" s="516"/>
      <c r="AE443" s="519"/>
      <c r="AF443" s="506">
        <f t="shared" si="209"/>
        <v>0</v>
      </c>
      <c r="AG443" s="507">
        <f t="shared" si="210"/>
        <v>0</v>
      </c>
      <c r="AH443" s="508">
        <f t="shared" si="211"/>
        <v>0</v>
      </c>
      <c r="AI443" s="508">
        <f t="shared" si="212"/>
        <v>0</v>
      </c>
      <c r="AJ443" s="516"/>
      <c r="AK443" s="519"/>
      <c r="AL443" s="506">
        <f t="shared" si="213"/>
        <v>0</v>
      </c>
      <c r="AM443" s="509">
        <f t="shared" si="214"/>
        <v>0</v>
      </c>
      <c r="AN443" s="518"/>
      <c r="AO443" s="520"/>
      <c r="AP443" s="516"/>
      <c r="AQ443" s="765">
        <v>0</v>
      </c>
      <c r="AR443" s="516"/>
      <c r="AS443" s="765">
        <v>0</v>
      </c>
      <c r="AT443" s="516"/>
      <c r="AU443" s="765">
        <v>0</v>
      </c>
      <c r="AV443" s="506">
        <f t="shared" si="215"/>
        <v>0</v>
      </c>
      <c r="AW443" s="511">
        <f t="shared" si="216"/>
        <v>0</v>
      </c>
      <c r="AX443" s="508">
        <f t="shared" si="217"/>
        <v>0</v>
      </c>
      <c r="AY443" s="512">
        <f t="shared" si="218"/>
        <v>0</v>
      </c>
      <c r="AZ443" s="513">
        <f t="shared" si="219"/>
        <v>1605.5666666666666</v>
      </c>
      <c r="BA443" s="508">
        <f t="shared" si="220"/>
        <v>1576.9333333333334</v>
      </c>
    </row>
    <row r="444" spans="1:53">
      <c r="A444" s="738" t="s">
        <v>854</v>
      </c>
      <c r="B444" s="550" t="s">
        <v>866</v>
      </c>
      <c r="C444" s="548"/>
      <c r="D444" s="744">
        <v>218742</v>
      </c>
      <c r="E444" s="745">
        <v>6</v>
      </c>
      <c r="F444" s="514" t="s">
        <v>41</v>
      </c>
      <c r="G444" s="515"/>
      <c r="H444" s="516"/>
      <c r="I444" s="519"/>
      <c r="J444" s="516">
        <v>68592</v>
      </c>
      <c r="K444" s="519">
        <v>67295</v>
      </c>
      <c r="L444" s="516">
        <v>8352</v>
      </c>
      <c r="M444" s="519">
        <v>7526</v>
      </c>
      <c r="N444" s="516">
        <v>72853</v>
      </c>
      <c r="O444" s="519">
        <v>72603</v>
      </c>
      <c r="P444" s="506">
        <f t="shared" si="203"/>
        <v>149797</v>
      </c>
      <c r="Q444" s="507">
        <f t="shared" si="204"/>
        <v>4993.2333333333336</v>
      </c>
      <c r="R444" s="508">
        <f t="shared" si="205"/>
        <v>147424</v>
      </c>
      <c r="S444" s="509">
        <f t="shared" si="206"/>
        <v>4914.1333333333332</v>
      </c>
      <c r="T444" s="516">
        <v>2028</v>
      </c>
      <c r="U444" s="519">
        <v>2008</v>
      </c>
      <c r="V444" s="506">
        <f t="shared" si="207"/>
        <v>149797</v>
      </c>
      <c r="W444" s="510">
        <f t="shared" si="208"/>
        <v>147424</v>
      </c>
      <c r="X444" s="517"/>
      <c r="Y444" s="519"/>
      <c r="Z444" s="516"/>
      <c r="AA444" s="519"/>
      <c r="AB444" s="516"/>
      <c r="AC444" s="519"/>
      <c r="AD444" s="516"/>
      <c r="AE444" s="519"/>
      <c r="AF444" s="506">
        <f t="shared" si="209"/>
        <v>0</v>
      </c>
      <c r="AG444" s="507">
        <f t="shared" si="210"/>
        <v>0</v>
      </c>
      <c r="AH444" s="508">
        <f t="shared" si="211"/>
        <v>0</v>
      </c>
      <c r="AI444" s="508">
        <f t="shared" si="212"/>
        <v>0</v>
      </c>
      <c r="AJ444" s="516"/>
      <c r="AK444" s="519"/>
      <c r="AL444" s="506">
        <f t="shared" si="213"/>
        <v>0</v>
      </c>
      <c r="AM444" s="509">
        <f t="shared" si="214"/>
        <v>0</v>
      </c>
      <c r="AN444" s="518"/>
      <c r="AO444" s="520"/>
      <c r="AP444" s="751">
        <v>526</v>
      </c>
      <c r="AQ444" s="519">
        <v>574</v>
      </c>
      <c r="AR444" s="516">
        <v>503</v>
      </c>
      <c r="AS444" s="519">
        <v>600</v>
      </c>
      <c r="AT444" s="516">
        <v>328</v>
      </c>
      <c r="AU444" s="519">
        <v>504</v>
      </c>
      <c r="AV444" s="506">
        <f t="shared" si="215"/>
        <v>1357</v>
      </c>
      <c r="AW444" s="511">
        <f t="shared" si="216"/>
        <v>56.541666666666664</v>
      </c>
      <c r="AX444" s="508">
        <f t="shared" si="217"/>
        <v>1678</v>
      </c>
      <c r="AY444" s="512">
        <f t="shared" si="218"/>
        <v>69.916666666666671</v>
      </c>
      <c r="AZ444" s="513">
        <f t="shared" si="219"/>
        <v>5049.7750000000005</v>
      </c>
      <c r="BA444" s="508">
        <f t="shared" si="220"/>
        <v>4984.05</v>
      </c>
    </row>
    <row r="445" spans="1:53">
      <c r="A445" s="747" t="s">
        <v>854</v>
      </c>
      <c r="B445" s="556" t="s">
        <v>874</v>
      </c>
      <c r="C445" s="741" t="s">
        <v>887</v>
      </c>
      <c r="D445" s="744">
        <v>218025</v>
      </c>
      <c r="E445" s="742">
        <v>8</v>
      </c>
      <c r="F445" s="514" t="s">
        <v>41</v>
      </c>
      <c r="G445" s="515"/>
      <c r="H445" s="516"/>
      <c r="I445" s="519"/>
      <c r="J445" s="516">
        <v>62769.43</v>
      </c>
      <c r="K445" s="519">
        <v>62876.43</v>
      </c>
      <c r="L445" s="516">
        <v>26266.17</v>
      </c>
      <c r="M445" s="519">
        <v>23888.17</v>
      </c>
      <c r="N445" s="516">
        <v>66154.420000000013</v>
      </c>
      <c r="O445" s="519">
        <v>64363.42</v>
      </c>
      <c r="P445" s="506">
        <f t="shared" si="203"/>
        <v>155190.02000000002</v>
      </c>
      <c r="Q445" s="507">
        <f t="shared" si="204"/>
        <v>5173.0006666666677</v>
      </c>
      <c r="R445" s="508">
        <f t="shared" si="205"/>
        <v>151128.02000000002</v>
      </c>
      <c r="S445" s="509">
        <f t="shared" si="206"/>
        <v>5037.6006666666672</v>
      </c>
      <c r="T445" s="743">
        <v>883</v>
      </c>
      <c r="U445" s="519">
        <v>363</v>
      </c>
      <c r="V445" s="506">
        <f t="shared" si="207"/>
        <v>155190.02000000002</v>
      </c>
      <c r="W445" s="510">
        <f t="shared" si="208"/>
        <v>151128.02000000002</v>
      </c>
      <c r="X445" s="517"/>
      <c r="Y445" s="519"/>
      <c r="Z445" s="516"/>
      <c r="AA445" s="519"/>
      <c r="AB445" s="516"/>
      <c r="AC445" s="519"/>
      <c r="AD445" s="516"/>
      <c r="AE445" s="519"/>
      <c r="AF445" s="506">
        <f t="shared" si="209"/>
        <v>0</v>
      </c>
      <c r="AG445" s="507">
        <f t="shared" si="210"/>
        <v>0</v>
      </c>
      <c r="AH445" s="508">
        <f t="shared" si="211"/>
        <v>0</v>
      </c>
      <c r="AI445" s="508">
        <f t="shared" si="212"/>
        <v>0</v>
      </c>
      <c r="AJ445" s="516"/>
      <c r="AK445" s="519"/>
      <c r="AL445" s="506">
        <f t="shared" si="213"/>
        <v>0</v>
      </c>
      <c r="AM445" s="509">
        <f t="shared" si="214"/>
        <v>0</v>
      </c>
      <c r="AN445" s="518"/>
      <c r="AO445" s="520"/>
      <c r="AP445" s="516"/>
      <c r="AQ445" s="765">
        <v>0</v>
      </c>
      <c r="AR445" s="516"/>
      <c r="AS445" s="765">
        <v>0</v>
      </c>
      <c r="AT445" s="516"/>
      <c r="AU445" s="765">
        <v>0</v>
      </c>
      <c r="AV445" s="506">
        <f t="shared" si="215"/>
        <v>0</v>
      </c>
      <c r="AW445" s="511">
        <f t="shared" si="216"/>
        <v>0</v>
      </c>
      <c r="AX445" s="508">
        <f t="shared" si="217"/>
        <v>0</v>
      </c>
      <c r="AY445" s="512">
        <f t="shared" si="218"/>
        <v>0</v>
      </c>
      <c r="AZ445" s="513">
        <f t="shared" si="219"/>
        <v>5173.0006666666677</v>
      </c>
      <c r="BA445" s="508">
        <f t="shared" si="220"/>
        <v>5037.6006666666672</v>
      </c>
    </row>
    <row r="446" spans="1:53">
      <c r="A446" s="747" t="s">
        <v>854</v>
      </c>
      <c r="B446" s="556" t="s">
        <v>867</v>
      </c>
      <c r="C446" s="739"/>
      <c r="D446" s="744">
        <v>218113</v>
      </c>
      <c r="E446" s="740">
        <v>8</v>
      </c>
      <c r="F446" s="514" t="s">
        <v>41</v>
      </c>
      <c r="G446" s="515"/>
      <c r="H446" s="516"/>
      <c r="I446" s="519"/>
      <c r="J446" s="516">
        <v>148927.34999999998</v>
      </c>
      <c r="K446" s="519">
        <v>144236.34999999998</v>
      </c>
      <c r="L446" s="516">
        <v>56767.560000000005</v>
      </c>
      <c r="M446" s="519">
        <v>52851.560000000005</v>
      </c>
      <c r="N446" s="516">
        <v>152072.21</v>
      </c>
      <c r="O446" s="519">
        <v>146968.21</v>
      </c>
      <c r="P446" s="506">
        <f t="shared" si="203"/>
        <v>357767.12</v>
      </c>
      <c r="Q446" s="507">
        <f t="shared" si="204"/>
        <v>11925.570666666667</v>
      </c>
      <c r="R446" s="508">
        <f t="shared" si="205"/>
        <v>344056.12</v>
      </c>
      <c r="S446" s="509">
        <f t="shared" si="206"/>
        <v>11468.537333333334</v>
      </c>
      <c r="T446" s="516">
        <v>10314</v>
      </c>
      <c r="U446" s="519">
        <v>10298</v>
      </c>
      <c r="V446" s="506">
        <f t="shared" si="207"/>
        <v>357767.12</v>
      </c>
      <c r="W446" s="510">
        <f t="shared" si="208"/>
        <v>344056.12</v>
      </c>
      <c r="X446" s="517"/>
      <c r="Y446" s="519"/>
      <c r="Z446" s="516"/>
      <c r="AA446" s="519"/>
      <c r="AB446" s="516"/>
      <c r="AC446" s="519"/>
      <c r="AD446" s="516"/>
      <c r="AE446" s="519"/>
      <c r="AF446" s="506">
        <f t="shared" si="209"/>
        <v>0</v>
      </c>
      <c r="AG446" s="507">
        <f t="shared" si="210"/>
        <v>0</v>
      </c>
      <c r="AH446" s="508">
        <f t="shared" si="211"/>
        <v>0</v>
      </c>
      <c r="AI446" s="508">
        <f t="shared" si="212"/>
        <v>0</v>
      </c>
      <c r="AJ446" s="516"/>
      <c r="AK446" s="519"/>
      <c r="AL446" s="506">
        <f t="shared" si="213"/>
        <v>0</v>
      </c>
      <c r="AM446" s="509">
        <f t="shared" si="214"/>
        <v>0</v>
      </c>
      <c r="AN446" s="518"/>
      <c r="AO446" s="520"/>
      <c r="AP446" s="516"/>
      <c r="AQ446" s="519">
        <v>0</v>
      </c>
      <c r="AR446" s="516"/>
      <c r="AS446" s="520">
        <v>0</v>
      </c>
      <c r="AT446" s="516"/>
      <c r="AU446" s="519">
        <v>0</v>
      </c>
      <c r="AV446" s="506">
        <f t="shared" si="215"/>
        <v>0</v>
      </c>
      <c r="AW446" s="511">
        <f t="shared" si="216"/>
        <v>0</v>
      </c>
      <c r="AX446" s="508">
        <f t="shared" si="217"/>
        <v>0</v>
      </c>
      <c r="AY446" s="512">
        <f t="shared" si="218"/>
        <v>0</v>
      </c>
      <c r="AZ446" s="513">
        <f t="shared" si="219"/>
        <v>11925.570666666667</v>
      </c>
      <c r="BA446" s="508">
        <f t="shared" si="220"/>
        <v>11468.537333333334</v>
      </c>
    </row>
    <row r="447" spans="1:53">
      <c r="A447" s="747" t="s">
        <v>854</v>
      </c>
      <c r="B447" s="556" t="s">
        <v>868</v>
      </c>
      <c r="C447" s="741"/>
      <c r="D447" s="744">
        <v>218140</v>
      </c>
      <c r="E447" s="746">
        <v>8</v>
      </c>
      <c r="F447" s="514" t="s">
        <v>41</v>
      </c>
      <c r="G447" s="515"/>
      <c r="H447" s="516"/>
      <c r="I447" s="519"/>
      <c r="J447" s="516">
        <v>75067.030000000013</v>
      </c>
      <c r="K447" s="519">
        <v>75945.030000000013</v>
      </c>
      <c r="L447" s="516">
        <v>27859.530000000002</v>
      </c>
      <c r="M447" s="519">
        <v>27424.530000000002</v>
      </c>
      <c r="N447" s="516">
        <v>75063.459999999992</v>
      </c>
      <c r="O447" s="519">
        <v>75778.459999999992</v>
      </c>
      <c r="P447" s="506">
        <f t="shared" si="203"/>
        <v>177990.02000000002</v>
      </c>
      <c r="Q447" s="507">
        <f t="shared" si="204"/>
        <v>5933.0006666666677</v>
      </c>
      <c r="R447" s="508">
        <f t="shared" si="205"/>
        <v>179148.02000000002</v>
      </c>
      <c r="S447" s="509">
        <f t="shared" si="206"/>
        <v>5971.6006666666672</v>
      </c>
      <c r="T447" s="743">
        <v>5201</v>
      </c>
      <c r="U447" s="519">
        <v>2444</v>
      </c>
      <c r="V447" s="506">
        <f t="shared" si="207"/>
        <v>177990.02000000002</v>
      </c>
      <c r="W447" s="510">
        <f t="shared" si="208"/>
        <v>179148.02000000002</v>
      </c>
      <c r="X447" s="517"/>
      <c r="Y447" s="519"/>
      <c r="Z447" s="516"/>
      <c r="AA447" s="519"/>
      <c r="AB447" s="516"/>
      <c r="AC447" s="519"/>
      <c r="AD447" s="516"/>
      <c r="AE447" s="519"/>
      <c r="AF447" s="506">
        <f t="shared" si="209"/>
        <v>0</v>
      </c>
      <c r="AG447" s="507">
        <f t="shared" si="210"/>
        <v>0</v>
      </c>
      <c r="AH447" s="508">
        <f t="shared" si="211"/>
        <v>0</v>
      </c>
      <c r="AI447" s="508">
        <f t="shared" si="212"/>
        <v>0</v>
      </c>
      <c r="AJ447" s="516"/>
      <c r="AK447" s="519"/>
      <c r="AL447" s="506">
        <f t="shared" si="213"/>
        <v>0</v>
      </c>
      <c r="AM447" s="509">
        <f t="shared" si="214"/>
        <v>0</v>
      </c>
      <c r="AN447" s="518"/>
      <c r="AO447" s="520"/>
      <c r="AP447" s="516"/>
      <c r="AQ447" s="765">
        <v>0</v>
      </c>
      <c r="AR447" s="516"/>
      <c r="AS447" s="520">
        <v>0</v>
      </c>
      <c r="AT447" s="516"/>
      <c r="AU447" s="765">
        <v>0</v>
      </c>
      <c r="AV447" s="506">
        <f t="shared" si="215"/>
        <v>0</v>
      </c>
      <c r="AW447" s="511">
        <f t="shared" si="216"/>
        <v>0</v>
      </c>
      <c r="AX447" s="508">
        <f t="shared" si="217"/>
        <v>0</v>
      </c>
      <c r="AY447" s="512">
        <f t="shared" si="218"/>
        <v>0</v>
      </c>
      <c r="AZ447" s="513">
        <f t="shared" si="219"/>
        <v>5933.0006666666677</v>
      </c>
      <c r="BA447" s="508">
        <f t="shared" si="220"/>
        <v>5971.6006666666672</v>
      </c>
    </row>
    <row r="448" spans="1:53">
      <c r="A448" s="747" t="s">
        <v>854</v>
      </c>
      <c r="B448" s="556" t="s">
        <v>869</v>
      </c>
      <c r="C448" s="739"/>
      <c r="D448" s="744">
        <v>218353</v>
      </c>
      <c r="E448" s="740">
        <v>8</v>
      </c>
      <c r="F448" s="514" t="s">
        <v>41</v>
      </c>
      <c r="G448" s="515"/>
      <c r="H448" s="516"/>
      <c r="I448" s="519"/>
      <c r="J448" s="516">
        <v>119033.01</v>
      </c>
      <c r="K448" s="519">
        <v>120662.01</v>
      </c>
      <c r="L448" s="516">
        <v>54145.53</v>
      </c>
      <c r="M448" s="519">
        <v>50709.53</v>
      </c>
      <c r="N448" s="516">
        <v>131242.36000000002</v>
      </c>
      <c r="O448" s="519">
        <v>129034.36</v>
      </c>
      <c r="P448" s="506">
        <f t="shared" si="203"/>
        <v>304420.90000000002</v>
      </c>
      <c r="Q448" s="507">
        <f t="shared" si="204"/>
        <v>10147.363333333335</v>
      </c>
      <c r="R448" s="508">
        <f t="shared" si="205"/>
        <v>300405.89999999997</v>
      </c>
      <c r="S448" s="509">
        <f t="shared" si="206"/>
        <v>10013.529999999999</v>
      </c>
      <c r="T448" s="558">
        <v>1423</v>
      </c>
      <c r="U448" s="519">
        <v>1573</v>
      </c>
      <c r="V448" s="506">
        <f t="shared" si="207"/>
        <v>304420.90000000002</v>
      </c>
      <c r="W448" s="510">
        <f t="shared" si="208"/>
        <v>300405.89999999997</v>
      </c>
      <c r="X448" s="517"/>
      <c r="Y448" s="519"/>
      <c r="Z448" s="516"/>
      <c r="AA448" s="519"/>
      <c r="AB448" s="516"/>
      <c r="AC448" s="519"/>
      <c r="AD448" s="516"/>
      <c r="AE448" s="519"/>
      <c r="AF448" s="506">
        <f t="shared" si="209"/>
        <v>0</v>
      </c>
      <c r="AG448" s="507">
        <f t="shared" si="210"/>
        <v>0</v>
      </c>
      <c r="AH448" s="508">
        <f t="shared" si="211"/>
        <v>0</v>
      </c>
      <c r="AI448" s="508">
        <f t="shared" si="212"/>
        <v>0</v>
      </c>
      <c r="AJ448" s="516"/>
      <c r="AK448" s="519"/>
      <c r="AL448" s="506">
        <f t="shared" si="213"/>
        <v>0</v>
      </c>
      <c r="AM448" s="509">
        <f t="shared" si="214"/>
        <v>0</v>
      </c>
      <c r="AN448" s="518"/>
      <c r="AO448" s="520"/>
      <c r="AP448" s="516"/>
      <c r="AQ448" s="519">
        <v>0</v>
      </c>
      <c r="AR448" s="516"/>
      <c r="AS448" s="520">
        <v>0</v>
      </c>
      <c r="AT448" s="516"/>
      <c r="AU448" s="519">
        <v>0</v>
      </c>
      <c r="AV448" s="506">
        <f t="shared" si="215"/>
        <v>0</v>
      </c>
      <c r="AW448" s="511">
        <f t="shared" si="216"/>
        <v>0</v>
      </c>
      <c r="AX448" s="508">
        <f t="shared" si="217"/>
        <v>0</v>
      </c>
      <c r="AY448" s="512">
        <f t="shared" si="218"/>
        <v>0</v>
      </c>
      <c r="AZ448" s="513">
        <f t="shared" si="219"/>
        <v>10147.363333333335</v>
      </c>
      <c r="BA448" s="508">
        <f t="shared" si="220"/>
        <v>10013.529999999999</v>
      </c>
    </row>
    <row r="449" spans="1:53">
      <c r="A449" s="747" t="s">
        <v>854</v>
      </c>
      <c r="B449" s="556" t="s">
        <v>876</v>
      </c>
      <c r="C449" s="741" t="s">
        <v>887</v>
      </c>
      <c r="D449" s="744">
        <v>218520</v>
      </c>
      <c r="E449" s="742">
        <v>8</v>
      </c>
      <c r="F449" s="514" t="s">
        <v>41</v>
      </c>
      <c r="G449" s="515"/>
      <c r="H449" s="516"/>
      <c r="I449" s="519"/>
      <c r="J449" s="516">
        <v>56429.969999999994</v>
      </c>
      <c r="K449" s="519">
        <v>58859.969999999994</v>
      </c>
      <c r="L449" s="516">
        <v>29623.039999999997</v>
      </c>
      <c r="M449" s="519">
        <v>26989.039999999997</v>
      </c>
      <c r="N449" s="516">
        <v>65603.86</v>
      </c>
      <c r="O449" s="519">
        <v>68727.859999999986</v>
      </c>
      <c r="P449" s="506">
        <f t="shared" si="203"/>
        <v>151656.87</v>
      </c>
      <c r="Q449" s="507">
        <f t="shared" si="204"/>
        <v>5055.2290000000003</v>
      </c>
      <c r="R449" s="508">
        <f t="shared" si="205"/>
        <v>154576.87</v>
      </c>
      <c r="S449" s="509">
        <f t="shared" si="206"/>
        <v>5152.5623333333333</v>
      </c>
      <c r="T449" s="743">
        <v>10116</v>
      </c>
      <c r="U449" s="519">
        <v>11680</v>
      </c>
      <c r="V449" s="506">
        <f t="shared" si="207"/>
        <v>151656.87</v>
      </c>
      <c r="W449" s="510">
        <f t="shared" si="208"/>
        <v>154576.87</v>
      </c>
      <c r="X449" s="517"/>
      <c r="Y449" s="519"/>
      <c r="Z449" s="516"/>
      <c r="AA449" s="519"/>
      <c r="AB449" s="516"/>
      <c r="AC449" s="519"/>
      <c r="AD449" s="516"/>
      <c r="AE449" s="519"/>
      <c r="AF449" s="506">
        <f t="shared" si="209"/>
        <v>0</v>
      </c>
      <c r="AG449" s="507">
        <f t="shared" si="210"/>
        <v>0</v>
      </c>
      <c r="AH449" s="508">
        <f t="shared" si="211"/>
        <v>0</v>
      </c>
      <c r="AI449" s="508">
        <f t="shared" si="212"/>
        <v>0</v>
      </c>
      <c r="AJ449" s="516"/>
      <c r="AK449" s="519"/>
      <c r="AL449" s="506">
        <f t="shared" si="213"/>
        <v>0</v>
      </c>
      <c r="AM449" s="509">
        <f t="shared" si="214"/>
        <v>0</v>
      </c>
      <c r="AN449" s="518"/>
      <c r="AO449" s="520"/>
      <c r="AP449" s="516"/>
      <c r="AQ449" s="765">
        <v>0</v>
      </c>
      <c r="AR449" s="516"/>
      <c r="AS449" s="520">
        <v>0</v>
      </c>
      <c r="AT449" s="516"/>
      <c r="AU449" s="765">
        <v>0</v>
      </c>
      <c r="AV449" s="506">
        <f t="shared" si="215"/>
        <v>0</v>
      </c>
      <c r="AW449" s="511">
        <f t="shared" si="216"/>
        <v>0</v>
      </c>
      <c r="AX449" s="508">
        <f t="shared" si="217"/>
        <v>0</v>
      </c>
      <c r="AY449" s="512">
        <f t="shared" si="218"/>
        <v>0</v>
      </c>
      <c r="AZ449" s="513">
        <f t="shared" si="219"/>
        <v>5055.2290000000003</v>
      </c>
      <c r="BA449" s="508">
        <f t="shared" si="220"/>
        <v>5152.5623333333333</v>
      </c>
    </row>
    <row r="450" spans="1:53">
      <c r="A450" s="747" t="s">
        <v>854</v>
      </c>
      <c r="B450" s="556" t="s">
        <v>870</v>
      </c>
      <c r="C450" s="741"/>
      <c r="D450" s="744">
        <v>218885</v>
      </c>
      <c r="E450" s="746">
        <v>8</v>
      </c>
      <c r="F450" s="514" t="s">
        <v>41</v>
      </c>
      <c r="G450" s="515"/>
      <c r="H450" s="516"/>
      <c r="I450" s="519"/>
      <c r="J450" s="516">
        <v>74788.17</v>
      </c>
      <c r="K450" s="519">
        <v>69376.17</v>
      </c>
      <c r="L450" s="516">
        <v>28096.77</v>
      </c>
      <c r="M450" s="519">
        <v>25132.77</v>
      </c>
      <c r="N450" s="516">
        <v>79476.34</v>
      </c>
      <c r="O450" s="519">
        <v>77607.34</v>
      </c>
      <c r="P450" s="506">
        <f t="shared" si="203"/>
        <v>182361.28</v>
      </c>
      <c r="Q450" s="507">
        <f t="shared" si="204"/>
        <v>6078.7093333333332</v>
      </c>
      <c r="R450" s="508">
        <f t="shared" si="205"/>
        <v>172116.28</v>
      </c>
      <c r="S450" s="509">
        <f t="shared" si="206"/>
        <v>5737.2093333333332</v>
      </c>
      <c r="T450" s="743">
        <v>5385</v>
      </c>
      <c r="U450" s="519">
        <v>6144</v>
      </c>
      <c r="V450" s="506">
        <f t="shared" si="207"/>
        <v>182361.28</v>
      </c>
      <c r="W450" s="510">
        <f t="shared" si="208"/>
        <v>172116.28</v>
      </c>
      <c r="X450" s="517"/>
      <c r="Y450" s="519"/>
      <c r="Z450" s="516"/>
      <c r="AA450" s="519"/>
      <c r="AB450" s="516"/>
      <c r="AC450" s="519"/>
      <c r="AD450" s="516"/>
      <c r="AE450" s="519"/>
      <c r="AF450" s="506">
        <f t="shared" si="209"/>
        <v>0</v>
      </c>
      <c r="AG450" s="507">
        <f t="shared" si="210"/>
        <v>0</v>
      </c>
      <c r="AH450" s="508">
        <f t="shared" si="211"/>
        <v>0</v>
      </c>
      <c r="AI450" s="508">
        <f t="shared" si="212"/>
        <v>0</v>
      </c>
      <c r="AJ450" s="516"/>
      <c r="AK450" s="519"/>
      <c r="AL450" s="506">
        <f t="shared" si="213"/>
        <v>0</v>
      </c>
      <c r="AM450" s="509">
        <f t="shared" si="214"/>
        <v>0</v>
      </c>
      <c r="AN450" s="518"/>
      <c r="AO450" s="520"/>
      <c r="AP450" s="516"/>
      <c r="AQ450" s="520">
        <v>0</v>
      </c>
      <c r="AR450" s="516"/>
      <c r="AS450" s="520">
        <v>0</v>
      </c>
      <c r="AT450" s="516"/>
      <c r="AU450" s="520">
        <v>0</v>
      </c>
      <c r="AV450" s="506">
        <f t="shared" si="215"/>
        <v>0</v>
      </c>
      <c r="AW450" s="511">
        <f t="shared" si="216"/>
        <v>0</v>
      </c>
      <c r="AX450" s="508">
        <f t="shared" si="217"/>
        <v>0</v>
      </c>
      <c r="AY450" s="512">
        <f t="shared" si="218"/>
        <v>0</v>
      </c>
      <c r="AZ450" s="513">
        <f t="shared" si="219"/>
        <v>6078.7093333333332</v>
      </c>
      <c r="BA450" s="508">
        <f t="shared" si="220"/>
        <v>5737.2093333333332</v>
      </c>
    </row>
    <row r="451" spans="1:53">
      <c r="A451" s="747" t="s">
        <v>854</v>
      </c>
      <c r="B451" s="556" t="s">
        <v>871</v>
      </c>
      <c r="C451" s="739"/>
      <c r="D451" s="744">
        <v>218894</v>
      </c>
      <c r="E451" s="740">
        <v>8</v>
      </c>
      <c r="F451" s="514" t="s">
        <v>41</v>
      </c>
      <c r="G451" s="515"/>
      <c r="H451" s="516"/>
      <c r="I451" s="519"/>
      <c r="J451" s="516">
        <v>153372.26999999999</v>
      </c>
      <c r="K451" s="519">
        <v>161776.26999999999</v>
      </c>
      <c r="L451" s="516">
        <v>76076.94</v>
      </c>
      <c r="M451" s="519">
        <v>77027.94</v>
      </c>
      <c r="N451" s="516">
        <v>166684.25999999998</v>
      </c>
      <c r="O451" s="519">
        <v>169822.25999999998</v>
      </c>
      <c r="P451" s="506">
        <f t="shared" si="203"/>
        <v>396133.47</v>
      </c>
      <c r="Q451" s="507">
        <f t="shared" si="204"/>
        <v>13204.448999999999</v>
      </c>
      <c r="R451" s="508">
        <f t="shared" si="205"/>
        <v>408626.47</v>
      </c>
      <c r="S451" s="509">
        <f t="shared" si="206"/>
        <v>13620.882333333333</v>
      </c>
      <c r="T451" s="743">
        <v>7716</v>
      </c>
      <c r="U451" s="519">
        <v>8798</v>
      </c>
      <c r="V451" s="506">
        <f t="shared" si="207"/>
        <v>396133.47</v>
      </c>
      <c r="W451" s="510">
        <f t="shared" si="208"/>
        <v>408626.47</v>
      </c>
      <c r="X451" s="517"/>
      <c r="Y451" s="519"/>
      <c r="Z451" s="516"/>
      <c r="AA451" s="519"/>
      <c r="AB451" s="516"/>
      <c r="AC451" s="519"/>
      <c r="AD451" s="516"/>
      <c r="AE451" s="519"/>
      <c r="AF451" s="506">
        <f t="shared" si="209"/>
        <v>0</v>
      </c>
      <c r="AG451" s="507">
        <f t="shared" si="210"/>
        <v>0</v>
      </c>
      <c r="AH451" s="508">
        <f t="shared" si="211"/>
        <v>0</v>
      </c>
      <c r="AI451" s="508">
        <f t="shared" si="212"/>
        <v>0</v>
      </c>
      <c r="AJ451" s="516"/>
      <c r="AK451" s="519"/>
      <c r="AL451" s="506">
        <f t="shared" si="213"/>
        <v>0</v>
      </c>
      <c r="AM451" s="509">
        <f t="shared" si="214"/>
        <v>0</v>
      </c>
      <c r="AN451" s="518"/>
      <c r="AO451" s="520"/>
      <c r="AP451" s="516"/>
      <c r="AQ451" s="520">
        <v>0</v>
      </c>
      <c r="AR451" s="516"/>
      <c r="AS451" s="520">
        <v>0</v>
      </c>
      <c r="AT451" s="516"/>
      <c r="AU451" s="520">
        <v>0</v>
      </c>
      <c r="AV451" s="506">
        <f t="shared" si="215"/>
        <v>0</v>
      </c>
      <c r="AW451" s="511">
        <f t="shared" si="216"/>
        <v>0</v>
      </c>
      <c r="AX451" s="508">
        <f t="shared" si="217"/>
        <v>0</v>
      </c>
      <c r="AY451" s="512">
        <f t="shared" si="218"/>
        <v>0</v>
      </c>
      <c r="AZ451" s="513">
        <f t="shared" si="219"/>
        <v>13204.448999999999</v>
      </c>
      <c r="BA451" s="508">
        <f t="shared" si="220"/>
        <v>13620.882333333333</v>
      </c>
    </row>
    <row r="452" spans="1:53">
      <c r="A452" s="747" t="s">
        <v>854</v>
      </c>
      <c r="B452" s="556" t="s">
        <v>872</v>
      </c>
      <c r="C452" s="566"/>
      <c r="D452" s="744">
        <v>217615</v>
      </c>
      <c r="E452" s="740">
        <v>9</v>
      </c>
      <c r="F452" s="514" t="s">
        <v>41</v>
      </c>
      <c r="G452" s="515"/>
      <c r="H452" s="516"/>
      <c r="I452" s="519"/>
      <c r="J452" s="516">
        <v>32334.39</v>
      </c>
      <c r="K452" s="519">
        <v>31132.39</v>
      </c>
      <c r="L452" s="516">
        <v>11698.03</v>
      </c>
      <c r="M452" s="519">
        <v>12097.03</v>
      </c>
      <c r="N452" s="516">
        <v>34484.67</v>
      </c>
      <c r="O452" s="519">
        <v>32738.67</v>
      </c>
      <c r="P452" s="506">
        <f t="shared" si="203"/>
        <v>78517.09</v>
      </c>
      <c r="Q452" s="507">
        <f t="shared" si="204"/>
        <v>2617.2363333333333</v>
      </c>
      <c r="R452" s="508">
        <f t="shared" si="205"/>
        <v>75968.09</v>
      </c>
      <c r="S452" s="509">
        <f t="shared" si="206"/>
        <v>2532.2696666666666</v>
      </c>
      <c r="T452" s="743">
        <v>580</v>
      </c>
      <c r="U452" s="519">
        <v>676</v>
      </c>
      <c r="V452" s="506">
        <f t="shared" si="207"/>
        <v>78517.09</v>
      </c>
      <c r="W452" s="510">
        <f t="shared" si="208"/>
        <v>75968.09</v>
      </c>
      <c r="X452" s="517"/>
      <c r="Y452" s="519"/>
      <c r="Z452" s="516"/>
      <c r="AA452" s="519"/>
      <c r="AB452" s="516"/>
      <c r="AC452" s="519"/>
      <c r="AD452" s="516"/>
      <c r="AE452" s="519"/>
      <c r="AF452" s="506">
        <f t="shared" si="209"/>
        <v>0</v>
      </c>
      <c r="AG452" s="507">
        <f t="shared" si="210"/>
        <v>0</v>
      </c>
      <c r="AH452" s="508">
        <f t="shared" si="211"/>
        <v>0</v>
      </c>
      <c r="AI452" s="508">
        <f t="shared" si="212"/>
        <v>0</v>
      </c>
      <c r="AJ452" s="516"/>
      <c r="AK452" s="519"/>
      <c r="AL452" s="506">
        <f t="shared" si="213"/>
        <v>0</v>
      </c>
      <c r="AM452" s="509">
        <f t="shared" si="214"/>
        <v>0</v>
      </c>
      <c r="AN452" s="518"/>
      <c r="AO452" s="520"/>
      <c r="AP452" s="516"/>
      <c r="AQ452" s="520">
        <v>0</v>
      </c>
      <c r="AR452" s="516"/>
      <c r="AS452" s="520">
        <v>0</v>
      </c>
      <c r="AT452" s="516"/>
      <c r="AU452" s="520">
        <v>0</v>
      </c>
      <c r="AV452" s="506">
        <f t="shared" si="215"/>
        <v>0</v>
      </c>
      <c r="AW452" s="511">
        <f t="shared" si="216"/>
        <v>0</v>
      </c>
      <c r="AX452" s="508">
        <f t="shared" si="217"/>
        <v>0</v>
      </c>
      <c r="AY452" s="512">
        <f t="shared" si="218"/>
        <v>0</v>
      </c>
      <c r="AZ452" s="513">
        <f t="shared" si="219"/>
        <v>2617.2363333333333</v>
      </c>
      <c r="BA452" s="508">
        <f t="shared" si="220"/>
        <v>2532.2696666666666</v>
      </c>
    </row>
    <row r="453" spans="1:53">
      <c r="A453" s="747" t="s">
        <v>854</v>
      </c>
      <c r="B453" s="556" t="s">
        <v>873</v>
      </c>
      <c r="C453" s="739"/>
      <c r="D453" s="744">
        <v>218858</v>
      </c>
      <c r="E453" s="740">
        <v>9</v>
      </c>
      <c r="F453" s="514" t="s">
        <v>41</v>
      </c>
      <c r="G453" s="515"/>
      <c r="H453" s="516"/>
      <c r="I453" s="519"/>
      <c r="J453" s="516">
        <v>37693.81</v>
      </c>
      <c r="K453" s="519">
        <v>38308.81</v>
      </c>
      <c r="L453" s="516">
        <v>17233.2</v>
      </c>
      <c r="M453" s="519">
        <v>17067.2</v>
      </c>
      <c r="N453" s="516">
        <v>41682.21</v>
      </c>
      <c r="O453" s="519">
        <v>41472.21</v>
      </c>
      <c r="P453" s="506">
        <f t="shared" si="203"/>
        <v>96609.22</v>
      </c>
      <c r="Q453" s="507">
        <f t="shared" si="204"/>
        <v>3220.3073333333332</v>
      </c>
      <c r="R453" s="508">
        <f t="shared" si="205"/>
        <v>96848.22</v>
      </c>
      <c r="S453" s="509">
        <f t="shared" si="206"/>
        <v>3228.2739999999999</v>
      </c>
      <c r="T453" s="743">
        <v>2965</v>
      </c>
      <c r="U453" s="519">
        <v>3928</v>
      </c>
      <c r="V453" s="506">
        <f t="shared" si="207"/>
        <v>96609.22</v>
      </c>
      <c r="W453" s="510">
        <f t="shared" si="208"/>
        <v>96848.22</v>
      </c>
      <c r="X453" s="517"/>
      <c r="Y453" s="519"/>
      <c r="Z453" s="516"/>
      <c r="AA453" s="519"/>
      <c r="AB453" s="516"/>
      <c r="AC453" s="519"/>
      <c r="AD453" s="516"/>
      <c r="AE453" s="519"/>
      <c r="AF453" s="506">
        <f t="shared" si="209"/>
        <v>0</v>
      </c>
      <c r="AG453" s="507">
        <f t="shared" si="210"/>
        <v>0</v>
      </c>
      <c r="AH453" s="508">
        <f t="shared" si="211"/>
        <v>0</v>
      </c>
      <c r="AI453" s="508">
        <f t="shared" si="212"/>
        <v>0</v>
      </c>
      <c r="AJ453" s="516"/>
      <c r="AK453" s="519"/>
      <c r="AL453" s="506">
        <f t="shared" si="213"/>
        <v>0</v>
      </c>
      <c r="AM453" s="509">
        <f t="shared" si="214"/>
        <v>0</v>
      </c>
      <c r="AN453" s="518"/>
      <c r="AO453" s="520"/>
      <c r="AP453" s="516"/>
      <c r="AQ453" s="520">
        <v>0</v>
      </c>
      <c r="AR453" s="516"/>
      <c r="AS453" s="520">
        <v>0</v>
      </c>
      <c r="AT453" s="516"/>
      <c r="AU453" s="520">
        <v>0</v>
      </c>
      <c r="AV453" s="506">
        <f t="shared" si="215"/>
        <v>0</v>
      </c>
      <c r="AW453" s="511">
        <f t="shared" si="216"/>
        <v>0</v>
      </c>
      <c r="AX453" s="508">
        <f t="shared" si="217"/>
        <v>0</v>
      </c>
      <c r="AY453" s="512">
        <f t="shared" si="218"/>
        <v>0</v>
      </c>
      <c r="AZ453" s="513">
        <f t="shared" si="219"/>
        <v>3220.3073333333332</v>
      </c>
      <c r="BA453" s="508">
        <f t="shared" si="220"/>
        <v>3228.2739999999999</v>
      </c>
    </row>
    <row r="454" spans="1:53">
      <c r="A454" s="747" t="s">
        <v>854</v>
      </c>
      <c r="B454" s="556" t="s">
        <v>875</v>
      </c>
      <c r="C454" s="739"/>
      <c r="D454" s="744">
        <v>218487</v>
      </c>
      <c r="E454" s="740">
        <v>9</v>
      </c>
      <c r="F454" s="514" t="s">
        <v>41</v>
      </c>
      <c r="G454" s="515"/>
      <c r="H454" s="516"/>
      <c r="I454" s="519"/>
      <c r="J454" s="516">
        <v>29415.019999999997</v>
      </c>
      <c r="K454" s="519">
        <v>26386.019999999997</v>
      </c>
      <c r="L454" s="516">
        <v>12361.019999999999</v>
      </c>
      <c r="M454" s="519">
        <v>10104.019999999999</v>
      </c>
      <c r="N454" s="516">
        <v>29616.820000000003</v>
      </c>
      <c r="O454" s="519">
        <v>29832.820000000003</v>
      </c>
      <c r="P454" s="506">
        <f t="shared" si="203"/>
        <v>71392.86</v>
      </c>
      <c r="Q454" s="507">
        <f t="shared" si="204"/>
        <v>2379.7620000000002</v>
      </c>
      <c r="R454" s="508">
        <f t="shared" si="205"/>
        <v>66322.86</v>
      </c>
      <c r="S454" s="509">
        <f t="shared" si="206"/>
        <v>2210.7620000000002</v>
      </c>
      <c r="T454" s="743">
        <v>5214</v>
      </c>
      <c r="U454" s="519">
        <v>5247</v>
      </c>
      <c r="V454" s="506">
        <f t="shared" si="207"/>
        <v>71392.86</v>
      </c>
      <c r="W454" s="510">
        <f t="shared" si="208"/>
        <v>66322.86</v>
      </c>
      <c r="X454" s="517"/>
      <c r="Y454" s="519"/>
      <c r="Z454" s="516"/>
      <c r="AA454" s="519"/>
      <c r="AB454" s="516"/>
      <c r="AC454" s="519"/>
      <c r="AD454" s="516"/>
      <c r="AE454" s="519"/>
      <c r="AF454" s="506">
        <f t="shared" si="209"/>
        <v>0</v>
      </c>
      <c r="AG454" s="507">
        <f t="shared" si="210"/>
        <v>0</v>
      </c>
      <c r="AH454" s="508">
        <f t="shared" si="211"/>
        <v>0</v>
      </c>
      <c r="AI454" s="508">
        <f t="shared" si="212"/>
        <v>0</v>
      </c>
      <c r="AJ454" s="516"/>
      <c r="AK454" s="519"/>
      <c r="AL454" s="506">
        <f t="shared" si="213"/>
        <v>0</v>
      </c>
      <c r="AM454" s="509">
        <f t="shared" si="214"/>
        <v>0</v>
      </c>
      <c r="AN454" s="518"/>
      <c r="AO454" s="520"/>
      <c r="AP454" s="516"/>
      <c r="AQ454" s="520">
        <v>0</v>
      </c>
      <c r="AR454" s="516"/>
      <c r="AS454" s="520">
        <v>0</v>
      </c>
      <c r="AT454" s="516"/>
      <c r="AU454" s="520">
        <v>0</v>
      </c>
      <c r="AV454" s="506">
        <f t="shared" si="215"/>
        <v>0</v>
      </c>
      <c r="AW454" s="511">
        <f t="shared" si="216"/>
        <v>0</v>
      </c>
      <c r="AX454" s="508">
        <f t="shared" si="217"/>
        <v>0</v>
      </c>
      <c r="AY454" s="512">
        <f t="shared" si="218"/>
        <v>0</v>
      </c>
      <c r="AZ454" s="513">
        <f t="shared" si="219"/>
        <v>2379.7620000000002</v>
      </c>
      <c r="BA454" s="508">
        <f t="shared" si="220"/>
        <v>2210.7620000000002</v>
      </c>
    </row>
    <row r="455" spans="1:53">
      <c r="A455" s="747" t="s">
        <v>854</v>
      </c>
      <c r="B455" s="556" t="s">
        <v>877</v>
      </c>
      <c r="C455" s="568"/>
      <c r="D455" s="744">
        <v>218830</v>
      </c>
      <c r="E455" s="740">
        <v>9</v>
      </c>
      <c r="F455" s="514" t="s">
        <v>41</v>
      </c>
      <c r="G455" s="515"/>
      <c r="H455" s="516"/>
      <c r="I455" s="519"/>
      <c r="J455" s="516">
        <v>59062.23</v>
      </c>
      <c r="K455" s="519">
        <v>57432.23</v>
      </c>
      <c r="L455" s="516">
        <v>24762.95</v>
      </c>
      <c r="M455" s="519">
        <v>22098.95</v>
      </c>
      <c r="N455" s="516">
        <v>61544.94</v>
      </c>
      <c r="O455" s="519">
        <v>60606.94</v>
      </c>
      <c r="P455" s="506">
        <f t="shared" si="203"/>
        <v>145370.12</v>
      </c>
      <c r="Q455" s="507">
        <f t="shared" si="204"/>
        <v>4845.6706666666669</v>
      </c>
      <c r="R455" s="508">
        <f t="shared" si="205"/>
        <v>140138.12</v>
      </c>
      <c r="S455" s="509">
        <f t="shared" si="206"/>
        <v>4671.2706666666663</v>
      </c>
      <c r="T455" s="743">
        <v>4306</v>
      </c>
      <c r="U455" s="519">
        <v>5705</v>
      </c>
      <c r="V455" s="506">
        <f t="shared" si="207"/>
        <v>145370.12</v>
      </c>
      <c r="W455" s="510">
        <f t="shared" si="208"/>
        <v>140138.12</v>
      </c>
      <c r="X455" s="517"/>
      <c r="Y455" s="519"/>
      <c r="Z455" s="516"/>
      <c r="AA455" s="519"/>
      <c r="AB455" s="516"/>
      <c r="AC455" s="519"/>
      <c r="AD455" s="516"/>
      <c r="AE455" s="519"/>
      <c r="AF455" s="506">
        <f t="shared" si="209"/>
        <v>0</v>
      </c>
      <c r="AG455" s="507">
        <f t="shared" si="210"/>
        <v>0</v>
      </c>
      <c r="AH455" s="508">
        <f t="shared" si="211"/>
        <v>0</v>
      </c>
      <c r="AI455" s="508">
        <f t="shared" si="212"/>
        <v>0</v>
      </c>
      <c r="AJ455" s="516"/>
      <c r="AK455" s="519"/>
      <c r="AL455" s="506">
        <f t="shared" si="213"/>
        <v>0</v>
      </c>
      <c r="AM455" s="509">
        <f t="shared" si="214"/>
        <v>0</v>
      </c>
      <c r="AN455" s="518"/>
      <c r="AO455" s="520"/>
      <c r="AP455" s="516"/>
      <c r="AQ455" s="520">
        <v>0</v>
      </c>
      <c r="AR455" s="516"/>
      <c r="AS455" s="520">
        <v>0</v>
      </c>
      <c r="AT455" s="516"/>
      <c r="AU455" s="520">
        <v>0</v>
      </c>
      <c r="AV455" s="506">
        <f t="shared" si="215"/>
        <v>0</v>
      </c>
      <c r="AW455" s="511">
        <f t="shared" si="216"/>
        <v>0</v>
      </c>
      <c r="AX455" s="508">
        <f t="shared" si="217"/>
        <v>0</v>
      </c>
      <c r="AY455" s="512">
        <f t="shared" si="218"/>
        <v>0</v>
      </c>
      <c r="AZ455" s="513">
        <f t="shared" si="219"/>
        <v>4845.6706666666669</v>
      </c>
      <c r="BA455" s="508">
        <f t="shared" si="220"/>
        <v>4671.2706666666663</v>
      </c>
    </row>
    <row r="456" spans="1:53">
      <c r="A456" s="747" t="s">
        <v>854</v>
      </c>
      <c r="B456" s="556" t="s">
        <v>878</v>
      </c>
      <c r="C456" s="568"/>
      <c r="D456" s="744">
        <v>218991</v>
      </c>
      <c r="E456" s="740">
        <v>9</v>
      </c>
      <c r="F456" s="514" t="s">
        <v>41</v>
      </c>
      <c r="G456" s="515"/>
      <c r="H456" s="516"/>
      <c r="I456" s="519"/>
      <c r="J456" s="516">
        <v>58380.35</v>
      </c>
      <c r="K456" s="519">
        <v>52722.35</v>
      </c>
      <c r="L456" s="516">
        <v>25935.54</v>
      </c>
      <c r="M456" s="519">
        <v>22400.54</v>
      </c>
      <c r="N456" s="516">
        <v>58007.85</v>
      </c>
      <c r="O456" s="519">
        <v>51165.85</v>
      </c>
      <c r="P456" s="506">
        <f t="shared" si="203"/>
        <v>142323.74</v>
      </c>
      <c r="Q456" s="507">
        <f t="shared" si="204"/>
        <v>4744.1246666666666</v>
      </c>
      <c r="R456" s="508">
        <f t="shared" si="205"/>
        <v>126288.73999999999</v>
      </c>
      <c r="S456" s="509">
        <f t="shared" si="206"/>
        <v>4209.6246666666666</v>
      </c>
      <c r="T456" s="516">
        <v>6061</v>
      </c>
      <c r="U456" s="519">
        <v>3136</v>
      </c>
      <c r="V456" s="506">
        <f t="shared" si="207"/>
        <v>142323.74</v>
      </c>
      <c r="W456" s="510">
        <f t="shared" si="208"/>
        <v>126288.73999999999</v>
      </c>
      <c r="X456" s="517"/>
      <c r="Y456" s="519"/>
      <c r="Z456" s="516"/>
      <c r="AA456" s="519"/>
      <c r="AB456" s="516"/>
      <c r="AC456" s="519"/>
      <c r="AD456" s="516"/>
      <c r="AE456" s="519"/>
      <c r="AF456" s="506">
        <f t="shared" si="209"/>
        <v>0</v>
      </c>
      <c r="AG456" s="507">
        <f t="shared" si="210"/>
        <v>0</v>
      </c>
      <c r="AH456" s="508">
        <f t="shared" si="211"/>
        <v>0</v>
      </c>
      <c r="AI456" s="508">
        <f t="shared" si="212"/>
        <v>0</v>
      </c>
      <c r="AJ456" s="516"/>
      <c r="AK456" s="519"/>
      <c r="AL456" s="506">
        <f t="shared" si="213"/>
        <v>0</v>
      </c>
      <c r="AM456" s="509">
        <f t="shared" si="214"/>
        <v>0</v>
      </c>
      <c r="AN456" s="518"/>
      <c r="AO456" s="520"/>
      <c r="AP456" s="516"/>
      <c r="AQ456" s="520">
        <v>0</v>
      </c>
      <c r="AR456" s="516"/>
      <c r="AS456" s="520">
        <v>0</v>
      </c>
      <c r="AT456" s="516"/>
      <c r="AU456" s="520">
        <v>0</v>
      </c>
      <c r="AV456" s="506">
        <f t="shared" si="215"/>
        <v>0</v>
      </c>
      <c r="AW456" s="511">
        <f t="shared" si="216"/>
        <v>0</v>
      </c>
      <c r="AX456" s="508">
        <f t="shared" si="217"/>
        <v>0</v>
      </c>
      <c r="AY456" s="512">
        <f t="shared" si="218"/>
        <v>0</v>
      </c>
      <c r="AZ456" s="513">
        <f t="shared" si="219"/>
        <v>4744.1246666666666</v>
      </c>
      <c r="BA456" s="508">
        <f t="shared" si="220"/>
        <v>4209.6246666666666</v>
      </c>
    </row>
    <row r="457" spans="1:53">
      <c r="A457" s="747" t="s">
        <v>854</v>
      </c>
      <c r="B457" s="556" t="s">
        <v>879</v>
      </c>
      <c r="C457" s="739" t="s">
        <v>321</v>
      </c>
      <c r="D457" s="744">
        <v>217989</v>
      </c>
      <c r="E457" s="740">
        <v>10</v>
      </c>
      <c r="F457" s="514" t="s">
        <v>41</v>
      </c>
      <c r="G457" s="515"/>
      <c r="H457" s="516"/>
      <c r="I457" s="519"/>
      <c r="J457" s="516">
        <v>11987</v>
      </c>
      <c r="K457" s="519">
        <v>24677</v>
      </c>
      <c r="L457" s="516">
        <v>3736.42</v>
      </c>
      <c r="M457" s="519">
        <v>11890.42</v>
      </c>
      <c r="N457" s="516">
        <v>22499.91</v>
      </c>
      <c r="O457" s="519">
        <v>28216.91</v>
      </c>
      <c r="P457" s="506">
        <f t="shared" si="203"/>
        <v>38223.33</v>
      </c>
      <c r="Q457" s="507">
        <f t="shared" si="204"/>
        <v>1274.1110000000001</v>
      </c>
      <c r="R457" s="508">
        <f t="shared" si="205"/>
        <v>64784.33</v>
      </c>
      <c r="S457" s="509">
        <f t="shared" si="206"/>
        <v>2159.4776666666667</v>
      </c>
      <c r="T457" s="516"/>
      <c r="U457" s="519"/>
      <c r="V457" s="506">
        <f t="shared" si="207"/>
        <v>0</v>
      </c>
      <c r="W457" s="510">
        <f t="shared" si="208"/>
        <v>0</v>
      </c>
      <c r="X457" s="517"/>
      <c r="Y457" s="519"/>
      <c r="Z457" s="516"/>
      <c r="AA457" s="519"/>
      <c r="AB457" s="516"/>
      <c r="AC457" s="519"/>
      <c r="AD457" s="516"/>
      <c r="AE457" s="519"/>
      <c r="AF457" s="506">
        <f t="shared" si="209"/>
        <v>0</v>
      </c>
      <c r="AG457" s="507">
        <f t="shared" si="210"/>
        <v>0</v>
      </c>
      <c r="AH457" s="508">
        <f t="shared" si="211"/>
        <v>0</v>
      </c>
      <c r="AI457" s="508">
        <f t="shared" si="212"/>
        <v>0</v>
      </c>
      <c r="AJ457" s="516"/>
      <c r="AK457" s="519"/>
      <c r="AL457" s="506">
        <f t="shared" si="213"/>
        <v>0</v>
      </c>
      <c r="AM457" s="509">
        <f t="shared" si="214"/>
        <v>0</v>
      </c>
      <c r="AN457" s="518"/>
      <c r="AO457" s="520"/>
      <c r="AP457" s="516"/>
      <c r="AQ457" s="520">
        <v>0</v>
      </c>
      <c r="AR457" s="516"/>
      <c r="AS457" s="520">
        <v>0</v>
      </c>
      <c r="AT457" s="516"/>
      <c r="AU457" s="520">
        <v>0</v>
      </c>
      <c r="AV457" s="506">
        <f t="shared" si="215"/>
        <v>0</v>
      </c>
      <c r="AW457" s="511">
        <f t="shared" si="216"/>
        <v>0</v>
      </c>
      <c r="AX457" s="508">
        <f t="shared" si="217"/>
        <v>0</v>
      </c>
      <c r="AY457" s="512">
        <f t="shared" si="218"/>
        <v>0</v>
      </c>
      <c r="AZ457" s="513">
        <f t="shared" si="219"/>
        <v>1274.1110000000001</v>
      </c>
      <c r="BA457" s="508">
        <f t="shared" si="220"/>
        <v>2159.4776666666667</v>
      </c>
    </row>
    <row r="458" spans="1:53">
      <c r="A458" s="747" t="s">
        <v>854</v>
      </c>
      <c r="B458" s="556" t="s">
        <v>880</v>
      </c>
      <c r="C458" s="739"/>
      <c r="D458" s="744">
        <v>217837</v>
      </c>
      <c r="E458" s="740">
        <v>10</v>
      </c>
      <c r="F458" s="514" t="s">
        <v>41</v>
      </c>
      <c r="G458" s="515"/>
      <c r="H458" s="516"/>
      <c r="I458" s="519"/>
      <c r="J458" s="516">
        <v>13200.18</v>
      </c>
      <c r="K458" s="519">
        <v>12521.18</v>
      </c>
      <c r="L458" s="516">
        <v>6317.71</v>
      </c>
      <c r="M458" s="519">
        <v>4788.71</v>
      </c>
      <c r="N458" s="516">
        <v>14675.9</v>
      </c>
      <c r="O458" s="519">
        <v>13964.9</v>
      </c>
      <c r="P458" s="506">
        <f t="shared" si="203"/>
        <v>34193.79</v>
      </c>
      <c r="Q458" s="507">
        <f t="shared" si="204"/>
        <v>1139.7930000000001</v>
      </c>
      <c r="R458" s="508">
        <f t="shared" si="205"/>
        <v>31274.79</v>
      </c>
      <c r="S458" s="509">
        <f t="shared" si="206"/>
        <v>1042.4929999999999</v>
      </c>
      <c r="T458" s="516">
        <v>1077</v>
      </c>
      <c r="U458" s="519">
        <v>1302</v>
      </c>
      <c r="V458" s="506">
        <f t="shared" si="207"/>
        <v>34193.79</v>
      </c>
      <c r="W458" s="510">
        <f t="shared" si="208"/>
        <v>31274.79</v>
      </c>
      <c r="X458" s="517"/>
      <c r="Y458" s="519"/>
      <c r="Z458" s="516"/>
      <c r="AA458" s="519"/>
      <c r="AB458" s="516"/>
      <c r="AC458" s="519"/>
      <c r="AD458" s="751"/>
      <c r="AE458" s="618"/>
      <c r="AF458" s="506">
        <f t="shared" si="209"/>
        <v>0</v>
      </c>
      <c r="AG458" s="507">
        <f t="shared" si="210"/>
        <v>0</v>
      </c>
      <c r="AH458" s="508">
        <f t="shared" si="211"/>
        <v>0</v>
      </c>
      <c r="AI458" s="508">
        <f t="shared" si="212"/>
        <v>0</v>
      </c>
      <c r="AJ458" s="516"/>
      <c r="AK458" s="519"/>
      <c r="AL458" s="506">
        <f t="shared" si="213"/>
        <v>0</v>
      </c>
      <c r="AM458" s="509">
        <f t="shared" si="214"/>
        <v>0</v>
      </c>
      <c r="AN458" s="518"/>
      <c r="AO458" s="520"/>
      <c r="AP458" s="516"/>
      <c r="AQ458" s="520">
        <v>0</v>
      </c>
      <c r="AR458" s="516"/>
      <c r="AS458" s="520">
        <v>0</v>
      </c>
      <c r="AT458" s="516"/>
      <c r="AU458" s="520">
        <v>0</v>
      </c>
      <c r="AV458" s="506">
        <f t="shared" si="215"/>
        <v>0</v>
      </c>
      <c r="AW458" s="511">
        <f t="shared" si="216"/>
        <v>0</v>
      </c>
      <c r="AX458" s="508">
        <f t="shared" si="217"/>
        <v>0</v>
      </c>
      <c r="AY458" s="512">
        <f t="shared" si="218"/>
        <v>0</v>
      </c>
      <c r="AZ458" s="513">
        <f t="shared" si="219"/>
        <v>1139.7930000000001</v>
      </c>
      <c r="BA458" s="508">
        <f t="shared" si="220"/>
        <v>1042.4929999999999</v>
      </c>
    </row>
    <row r="459" spans="1:53">
      <c r="A459" s="747" t="s">
        <v>854</v>
      </c>
      <c r="B459" s="556" t="s">
        <v>881</v>
      </c>
      <c r="C459" s="739"/>
      <c r="D459" s="744">
        <v>217712</v>
      </c>
      <c r="E459" s="740">
        <v>10</v>
      </c>
      <c r="F459" s="514" t="s">
        <v>41</v>
      </c>
      <c r="G459" s="515"/>
      <c r="H459" s="516"/>
      <c r="I459" s="519"/>
      <c r="J459" s="516">
        <v>26277.49</v>
      </c>
      <c r="K459" s="519">
        <v>25522.49</v>
      </c>
      <c r="L459" s="516">
        <v>12049.68</v>
      </c>
      <c r="M459" s="519">
        <v>9167.68</v>
      </c>
      <c r="N459" s="516">
        <v>25182.799999999996</v>
      </c>
      <c r="O459" s="519">
        <v>22459.799999999996</v>
      </c>
      <c r="P459" s="506">
        <f t="shared" si="203"/>
        <v>63509.969999999994</v>
      </c>
      <c r="Q459" s="507">
        <f t="shared" si="204"/>
        <v>2116.9989999999998</v>
      </c>
      <c r="R459" s="508">
        <f t="shared" si="205"/>
        <v>57149.969999999994</v>
      </c>
      <c r="S459" s="509">
        <f t="shared" si="206"/>
        <v>1904.9989999999998</v>
      </c>
      <c r="T459" s="516">
        <v>3230</v>
      </c>
      <c r="U459" s="519">
        <v>3119</v>
      </c>
      <c r="V459" s="506">
        <f t="shared" si="207"/>
        <v>63509.969999999994</v>
      </c>
      <c r="W459" s="510">
        <f t="shared" si="208"/>
        <v>57149.969999999994</v>
      </c>
      <c r="X459" s="517"/>
      <c r="Y459" s="519"/>
      <c r="Z459" s="516"/>
      <c r="AA459" s="519"/>
      <c r="AB459" s="516"/>
      <c r="AC459" s="519"/>
      <c r="AD459" s="751"/>
      <c r="AE459" s="618"/>
      <c r="AF459" s="506">
        <f t="shared" si="209"/>
        <v>0</v>
      </c>
      <c r="AG459" s="507">
        <f t="shared" si="210"/>
        <v>0</v>
      </c>
      <c r="AH459" s="508">
        <f t="shared" si="211"/>
        <v>0</v>
      </c>
      <c r="AI459" s="508">
        <f t="shared" si="212"/>
        <v>0</v>
      </c>
      <c r="AJ459" s="516"/>
      <c r="AK459" s="519"/>
      <c r="AL459" s="506">
        <f t="shared" si="213"/>
        <v>0</v>
      </c>
      <c r="AM459" s="509">
        <f t="shared" si="214"/>
        <v>0</v>
      </c>
      <c r="AN459" s="518"/>
      <c r="AO459" s="520"/>
      <c r="AP459" s="516"/>
      <c r="AQ459" s="520">
        <v>0</v>
      </c>
      <c r="AR459" s="516"/>
      <c r="AS459" s="520">
        <v>0</v>
      </c>
      <c r="AT459" s="516"/>
      <c r="AU459" s="520">
        <v>0</v>
      </c>
      <c r="AV459" s="506">
        <f t="shared" si="215"/>
        <v>0</v>
      </c>
      <c r="AW459" s="511">
        <f t="shared" si="216"/>
        <v>0</v>
      </c>
      <c r="AX459" s="508">
        <f t="shared" si="217"/>
        <v>0</v>
      </c>
      <c r="AY459" s="512">
        <f t="shared" si="218"/>
        <v>0</v>
      </c>
      <c r="AZ459" s="513">
        <f t="shared" si="219"/>
        <v>2116.9989999999998</v>
      </c>
      <c r="BA459" s="508">
        <f t="shared" si="220"/>
        <v>1904.9989999999998</v>
      </c>
    </row>
    <row r="460" spans="1:53">
      <c r="A460" s="747" t="s">
        <v>854</v>
      </c>
      <c r="B460" s="556" t="s">
        <v>882</v>
      </c>
      <c r="C460" s="739"/>
      <c r="D460" s="744">
        <v>218672</v>
      </c>
      <c r="E460" s="740">
        <v>10</v>
      </c>
      <c r="F460" s="514" t="s">
        <v>41</v>
      </c>
      <c r="G460" s="515"/>
      <c r="H460" s="516"/>
      <c r="I460" s="519"/>
      <c r="J460" s="516">
        <v>15347</v>
      </c>
      <c r="K460" s="519">
        <v>16275</v>
      </c>
      <c r="L460" s="516">
        <v>2302</v>
      </c>
      <c r="M460" s="519">
        <v>1958</v>
      </c>
      <c r="N460" s="516">
        <v>18890</v>
      </c>
      <c r="O460" s="519">
        <v>19475</v>
      </c>
      <c r="P460" s="506">
        <f t="shared" si="203"/>
        <v>36539</v>
      </c>
      <c r="Q460" s="507">
        <f t="shared" si="204"/>
        <v>1217.9666666666667</v>
      </c>
      <c r="R460" s="508">
        <f t="shared" si="205"/>
        <v>37708</v>
      </c>
      <c r="S460" s="509">
        <f t="shared" si="206"/>
        <v>1256.9333333333334</v>
      </c>
      <c r="T460" s="516">
        <v>3394</v>
      </c>
      <c r="U460" s="519">
        <v>4133</v>
      </c>
      <c r="V460" s="506">
        <f t="shared" si="207"/>
        <v>36539</v>
      </c>
      <c r="W460" s="510">
        <f t="shared" si="208"/>
        <v>37708</v>
      </c>
      <c r="X460" s="517"/>
      <c r="Y460" s="519"/>
      <c r="Z460" s="516"/>
      <c r="AA460" s="519"/>
      <c r="AB460" s="516"/>
      <c r="AC460" s="519"/>
      <c r="AD460" s="751"/>
      <c r="AE460" s="618"/>
      <c r="AF460" s="506">
        <f t="shared" si="209"/>
        <v>0</v>
      </c>
      <c r="AG460" s="507">
        <f t="shared" si="210"/>
        <v>0</v>
      </c>
      <c r="AH460" s="508">
        <f t="shared" si="211"/>
        <v>0</v>
      </c>
      <c r="AI460" s="508">
        <f t="shared" si="212"/>
        <v>0</v>
      </c>
      <c r="AJ460" s="516"/>
      <c r="AK460" s="519"/>
      <c r="AL460" s="506">
        <f t="shared" si="213"/>
        <v>0</v>
      </c>
      <c r="AM460" s="509">
        <f t="shared" si="214"/>
        <v>0</v>
      </c>
      <c r="AN460" s="518"/>
      <c r="AO460" s="520"/>
      <c r="AP460" s="516"/>
      <c r="AQ460" s="520">
        <v>0</v>
      </c>
      <c r="AR460" s="516"/>
      <c r="AS460" s="520">
        <v>0</v>
      </c>
      <c r="AT460" s="516"/>
      <c r="AU460" s="520">
        <v>0</v>
      </c>
      <c r="AV460" s="506">
        <f t="shared" si="215"/>
        <v>0</v>
      </c>
      <c r="AW460" s="511">
        <f t="shared" si="216"/>
        <v>0</v>
      </c>
      <c r="AX460" s="508">
        <f t="shared" si="217"/>
        <v>0</v>
      </c>
      <c r="AY460" s="512">
        <f t="shared" si="218"/>
        <v>0</v>
      </c>
      <c r="AZ460" s="513">
        <f t="shared" si="219"/>
        <v>1217.9666666666667</v>
      </c>
      <c r="BA460" s="508">
        <f t="shared" si="220"/>
        <v>1256.9333333333334</v>
      </c>
    </row>
    <row r="461" spans="1:53">
      <c r="A461" s="747" t="s">
        <v>854</v>
      </c>
      <c r="B461" s="556" t="s">
        <v>883</v>
      </c>
      <c r="C461" s="739"/>
      <c r="D461" s="744">
        <v>218681</v>
      </c>
      <c r="E461" s="740">
        <v>10</v>
      </c>
      <c r="F461" s="514" t="s">
        <v>41</v>
      </c>
      <c r="G461" s="515"/>
      <c r="H461" s="516"/>
      <c r="I461" s="519"/>
      <c r="J461" s="516">
        <v>11479</v>
      </c>
      <c r="K461" s="519">
        <v>11145</v>
      </c>
      <c r="L461" s="516">
        <v>1205</v>
      </c>
      <c r="M461" s="519">
        <v>779</v>
      </c>
      <c r="N461" s="516">
        <v>11380</v>
      </c>
      <c r="O461" s="519">
        <v>11935</v>
      </c>
      <c r="P461" s="506">
        <f t="shared" si="203"/>
        <v>24064</v>
      </c>
      <c r="Q461" s="507">
        <f t="shared" si="204"/>
        <v>802.13333333333333</v>
      </c>
      <c r="R461" s="508">
        <f t="shared" si="205"/>
        <v>23859</v>
      </c>
      <c r="S461" s="509">
        <f t="shared" si="206"/>
        <v>795.3</v>
      </c>
      <c r="T461" s="516">
        <v>1403</v>
      </c>
      <c r="U461" s="519">
        <v>1881</v>
      </c>
      <c r="V461" s="506">
        <f t="shared" si="207"/>
        <v>24064</v>
      </c>
      <c r="W461" s="510">
        <f t="shared" si="208"/>
        <v>23859</v>
      </c>
      <c r="X461" s="517"/>
      <c r="Y461" s="519"/>
      <c r="Z461" s="516"/>
      <c r="AA461" s="519"/>
      <c r="AB461" s="516"/>
      <c r="AC461" s="519"/>
      <c r="AD461" s="751"/>
      <c r="AE461" s="618"/>
      <c r="AF461" s="506">
        <f t="shared" si="209"/>
        <v>0</v>
      </c>
      <c r="AG461" s="507">
        <f t="shared" si="210"/>
        <v>0</v>
      </c>
      <c r="AH461" s="508">
        <f t="shared" si="211"/>
        <v>0</v>
      </c>
      <c r="AI461" s="508">
        <f t="shared" si="212"/>
        <v>0</v>
      </c>
      <c r="AJ461" s="516"/>
      <c r="AK461" s="519"/>
      <c r="AL461" s="506">
        <f t="shared" si="213"/>
        <v>0</v>
      </c>
      <c r="AM461" s="509">
        <f t="shared" si="214"/>
        <v>0</v>
      </c>
      <c r="AN461" s="518"/>
      <c r="AO461" s="520"/>
      <c r="AP461" s="516"/>
      <c r="AQ461" s="520">
        <v>0</v>
      </c>
      <c r="AR461" s="516"/>
      <c r="AS461" s="520">
        <v>0</v>
      </c>
      <c r="AT461" s="516"/>
      <c r="AU461" s="520">
        <v>0</v>
      </c>
      <c r="AV461" s="506">
        <f t="shared" si="215"/>
        <v>0</v>
      </c>
      <c r="AW461" s="511">
        <f t="shared" si="216"/>
        <v>0</v>
      </c>
      <c r="AX461" s="508">
        <f t="shared" si="217"/>
        <v>0</v>
      </c>
      <c r="AY461" s="512">
        <f t="shared" si="218"/>
        <v>0</v>
      </c>
      <c r="AZ461" s="513">
        <f t="shared" si="219"/>
        <v>802.13333333333333</v>
      </c>
      <c r="BA461" s="508">
        <f t="shared" si="220"/>
        <v>795.3</v>
      </c>
    </row>
    <row r="462" spans="1:53">
      <c r="A462" s="747" t="s">
        <v>854</v>
      </c>
      <c r="B462" s="556" t="s">
        <v>884</v>
      </c>
      <c r="C462" s="739"/>
      <c r="D462" s="744">
        <v>218690</v>
      </c>
      <c r="E462" s="740">
        <v>10</v>
      </c>
      <c r="F462" s="514" t="s">
        <v>41</v>
      </c>
      <c r="G462" s="515"/>
      <c r="H462" s="516"/>
      <c r="I462" s="519"/>
      <c r="J462" s="516">
        <v>11564</v>
      </c>
      <c r="K462" s="519">
        <v>9870</v>
      </c>
      <c r="L462" s="516">
        <v>1439</v>
      </c>
      <c r="M462" s="519">
        <v>1003</v>
      </c>
      <c r="N462" s="516">
        <v>11625</v>
      </c>
      <c r="O462" s="519">
        <v>10504</v>
      </c>
      <c r="P462" s="506">
        <f t="shared" si="203"/>
        <v>24628</v>
      </c>
      <c r="Q462" s="507">
        <f t="shared" si="204"/>
        <v>820.93333333333328</v>
      </c>
      <c r="R462" s="508">
        <f t="shared" si="205"/>
        <v>21377</v>
      </c>
      <c r="S462" s="509">
        <f t="shared" si="206"/>
        <v>712.56666666666672</v>
      </c>
      <c r="T462" s="516">
        <v>3081</v>
      </c>
      <c r="U462" s="519">
        <v>2589</v>
      </c>
      <c r="V462" s="506">
        <f t="shared" si="207"/>
        <v>24628</v>
      </c>
      <c r="W462" s="510">
        <f t="shared" si="208"/>
        <v>21377</v>
      </c>
      <c r="X462" s="517"/>
      <c r="Y462" s="519"/>
      <c r="Z462" s="516"/>
      <c r="AA462" s="519"/>
      <c r="AB462" s="516"/>
      <c r="AC462" s="519"/>
      <c r="AD462" s="751"/>
      <c r="AE462" s="618"/>
      <c r="AF462" s="506">
        <f t="shared" si="209"/>
        <v>0</v>
      </c>
      <c r="AG462" s="507">
        <f t="shared" si="210"/>
        <v>0</v>
      </c>
      <c r="AH462" s="508">
        <f t="shared" si="211"/>
        <v>0</v>
      </c>
      <c r="AI462" s="508">
        <f t="shared" si="212"/>
        <v>0</v>
      </c>
      <c r="AJ462" s="516"/>
      <c r="AK462" s="519"/>
      <c r="AL462" s="506">
        <f t="shared" si="213"/>
        <v>0</v>
      </c>
      <c r="AM462" s="509">
        <f t="shared" si="214"/>
        <v>0</v>
      </c>
      <c r="AN462" s="518"/>
      <c r="AO462" s="520"/>
      <c r="AP462" s="516"/>
      <c r="AQ462" s="520">
        <v>0</v>
      </c>
      <c r="AR462" s="516"/>
      <c r="AS462" s="520">
        <v>0</v>
      </c>
      <c r="AT462" s="516"/>
      <c r="AU462" s="520">
        <v>0</v>
      </c>
      <c r="AV462" s="506">
        <f t="shared" si="215"/>
        <v>0</v>
      </c>
      <c r="AW462" s="511">
        <f t="shared" si="216"/>
        <v>0</v>
      </c>
      <c r="AX462" s="508">
        <f t="shared" si="217"/>
        <v>0</v>
      </c>
      <c r="AY462" s="512">
        <f t="shared" si="218"/>
        <v>0</v>
      </c>
      <c r="AZ462" s="513">
        <f t="shared" si="219"/>
        <v>820.93333333333328</v>
      </c>
      <c r="BA462" s="508">
        <f t="shared" si="220"/>
        <v>712.56666666666672</v>
      </c>
    </row>
    <row r="463" spans="1:53">
      <c r="A463" s="747" t="s">
        <v>854</v>
      </c>
      <c r="B463" s="556" t="s">
        <v>885</v>
      </c>
      <c r="C463" s="739"/>
      <c r="D463" s="744">
        <v>218706</v>
      </c>
      <c r="E463" s="740">
        <v>10</v>
      </c>
      <c r="F463" s="514" t="s">
        <v>41</v>
      </c>
      <c r="G463" s="515"/>
      <c r="H463" s="516"/>
      <c r="I463" s="519"/>
      <c r="J463" s="516">
        <v>5960</v>
      </c>
      <c r="K463" s="519">
        <v>5684</v>
      </c>
      <c r="L463" s="516">
        <v>559</v>
      </c>
      <c r="M463" s="519">
        <v>314</v>
      </c>
      <c r="N463" s="516">
        <v>5014</v>
      </c>
      <c r="O463" s="519">
        <v>5162</v>
      </c>
      <c r="P463" s="506">
        <f t="shared" si="203"/>
        <v>11533</v>
      </c>
      <c r="Q463" s="507">
        <f t="shared" si="204"/>
        <v>384.43333333333334</v>
      </c>
      <c r="R463" s="508">
        <f t="shared" si="205"/>
        <v>11160</v>
      </c>
      <c r="S463" s="509">
        <f t="shared" si="206"/>
        <v>372</v>
      </c>
      <c r="T463" s="516">
        <v>3503</v>
      </c>
      <c r="U463" s="519">
        <v>3265</v>
      </c>
      <c r="V463" s="506">
        <f t="shared" si="207"/>
        <v>11533</v>
      </c>
      <c r="W463" s="510">
        <f t="shared" si="208"/>
        <v>11160</v>
      </c>
      <c r="X463" s="517"/>
      <c r="Y463" s="519"/>
      <c r="Z463" s="516"/>
      <c r="AA463" s="519"/>
      <c r="AB463" s="516"/>
      <c r="AC463" s="519"/>
      <c r="AD463" s="751"/>
      <c r="AE463" s="618"/>
      <c r="AF463" s="506">
        <f t="shared" si="209"/>
        <v>0</v>
      </c>
      <c r="AG463" s="507">
        <f t="shared" si="210"/>
        <v>0</v>
      </c>
      <c r="AH463" s="508">
        <f t="shared" si="211"/>
        <v>0</v>
      </c>
      <c r="AI463" s="508">
        <f t="shared" si="212"/>
        <v>0</v>
      </c>
      <c r="AJ463" s="516"/>
      <c r="AK463" s="519"/>
      <c r="AL463" s="506">
        <f t="shared" si="213"/>
        <v>0</v>
      </c>
      <c r="AM463" s="509">
        <f t="shared" si="214"/>
        <v>0</v>
      </c>
      <c r="AN463" s="518"/>
      <c r="AO463" s="520"/>
      <c r="AP463" s="516"/>
      <c r="AQ463" s="520">
        <v>0</v>
      </c>
      <c r="AR463" s="516"/>
      <c r="AS463" s="520">
        <v>0</v>
      </c>
      <c r="AT463" s="516"/>
      <c r="AU463" s="520">
        <v>0</v>
      </c>
      <c r="AV463" s="506">
        <f t="shared" si="215"/>
        <v>0</v>
      </c>
      <c r="AW463" s="511">
        <f t="shared" si="216"/>
        <v>0</v>
      </c>
      <c r="AX463" s="508">
        <f t="shared" si="217"/>
        <v>0</v>
      </c>
      <c r="AY463" s="512">
        <f t="shared" si="218"/>
        <v>0</v>
      </c>
      <c r="AZ463" s="513">
        <f t="shared" si="219"/>
        <v>384.43333333333334</v>
      </c>
      <c r="BA463" s="508">
        <f t="shared" si="220"/>
        <v>372</v>
      </c>
    </row>
    <row r="464" spans="1:53">
      <c r="A464" s="747" t="s">
        <v>854</v>
      </c>
      <c r="B464" s="556" t="s">
        <v>886</v>
      </c>
      <c r="C464" s="739"/>
      <c r="D464" s="744">
        <v>218955</v>
      </c>
      <c r="E464" s="740">
        <v>10</v>
      </c>
      <c r="F464" s="514" t="s">
        <v>41</v>
      </c>
      <c r="G464" s="515"/>
      <c r="H464" s="516"/>
      <c r="I464" s="519"/>
      <c r="J464" s="516">
        <v>6513.01</v>
      </c>
      <c r="K464" s="519">
        <v>5710.01</v>
      </c>
      <c r="L464" s="516">
        <v>3810.52</v>
      </c>
      <c r="M464" s="519">
        <v>2703.52</v>
      </c>
      <c r="N464" s="516">
        <v>6284.96</v>
      </c>
      <c r="O464" s="519">
        <v>6031.96</v>
      </c>
      <c r="P464" s="506">
        <f t="shared" si="203"/>
        <v>16608.490000000002</v>
      </c>
      <c r="Q464" s="507">
        <f t="shared" si="204"/>
        <v>553.61633333333339</v>
      </c>
      <c r="R464" s="508">
        <f t="shared" si="205"/>
        <v>14445.490000000002</v>
      </c>
      <c r="S464" s="509">
        <f t="shared" si="206"/>
        <v>481.51633333333336</v>
      </c>
      <c r="T464" s="516">
        <v>165</v>
      </c>
      <c r="U464" s="519">
        <v>201</v>
      </c>
      <c r="V464" s="506">
        <f t="shared" si="207"/>
        <v>16608.490000000002</v>
      </c>
      <c r="W464" s="510">
        <f t="shared" si="208"/>
        <v>14445.490000000002</v>
      </c>
      <c r="X464" s="517"/>
      <c r="Y464" s="519"/>
      <c r="Z464" s="516"/>
      <c r="AA464" s="519"/>
      <c r="AB464" s="516"/>
      <c r="AC464" s="519"/>
      <c r="AD464" s="751"/>
      <c r="AE464" s="618"/>
      <c r="AF464" s="506">
        <f t="shared" si="209"/>
        <v>0</v>
      </c>
      <c r="AG464" s="507">
        <f t="shared" si="210"/>
        <v>0</v>
      </c>
      <c r="AH464" s="508">
        <f t="shared" si="211"/>
        <v>0</v>
      </c>
      <c r="AI464" s="508">
        <f t="shared" si="212"/>
        <v>0</v>
      </c>
      <c r="AJ464" s="516"/>
      <c r="AK464" s="519"/>
      <c r="AL464" s="506">
        <f t="shared" si="213"/>
        <v>0</v>
      </c>
      <c r="AM464" s="509">
        <f t="shared" si="214"/>
        <v>0</v>
      </c>
      <c r="AN464" s="518"/>
      <c r="AO464" s="520"/>
      <c r="AP464" s="516"/>
      <c r="AQ464" s="520">
        <v>0</v>
      </c>
      <c r="AR464" s="516"/>
      <c r="AS464" s="520">
        <v>0</v>
      </c>
      <c r="AT464" s="516"/>
      <c r="AU464" s="520">
        <v>0</v>
      </c>
      <c r="AV464" s="506">
        <f t="shared" si="215"/>
        <v>0</v>
      </c>
      <c r="AW464" s="511">
        <f t="shared" si="216"/>
        <v>0</v>
      </c>
      <c r="AX464" s="508">
        <f t="shared" si="217"/>
        <v>0</v>
      </c>
      <c r="AY464" s="512">
        <f t="shared" si="218"/>
        <v>0</v>
      </c>
      <c r="AZ464" s="513">
        <f t="shared" si="219"/>
        <v>553.61633333333339</v>
      </c>
      <c r="BA464" s="508">
        <f t="shared" si="220"/>
        <v>481.51633333333336</v>
      </c>
    </row>
    <row r="465" spans="1:53" ht="15">
      <c r="A465" s="674" t="s">
        <v>652</v>
      </c>
      <c r="B465" s="675" t="s">
        <v>653</v>
      </c>
      <c r="C465" s="685"/>
      <c r="D465" s="686">
        <v>220862</v>
      </c>
      <c r="E465" s="678">
        <v>1</v>
      </c>
      <c r="F465" s="514" t="s">
        <v>41</v>
      </c>
      <c r="G465" s="515"/>
      <c r="H465" s="516"/>
      <c r="I465" s="519"/>
      <c r="J465" s="516">
        <v>200974</v>
      </c>
      <c r="K465" s="676">
        <v>205095</v>
      </c>
      <c r="L465" s="516">
        <v>30227</v>
      </c>
      <c r="M465" s="676">
        <v>29622</v>
      </c>
      <c r="N465" s="516">
        <v>216891</v>
      </c>
      <c r="O465" s="676">
        <v>215044</v>
      </c>
      <c r="P465" s="506">
        <f t="shared" si="203"/>
        <v>448092</v>
      </c>
      <c r="Q465" s="507">
        <f t="shared" si="204"/>
        <v>14936.4</v>
      </c>
      <c r="R465" s="508">
        <f t="shared" si="205"/>
        <v>449761</v>
      </c>
      <c r="S465" s="509">
        <f t="shared" si="206"/>
        <v>14992.033333333333</v>
      </c>
      <c r="T465" s="516"/>
      <c r="U465" s="519"/>
      <c r="V465" s="506">
        <f t="shared" si="207"/>
        <v>0</v>
      </c>
      <c r="W465" s="510">
        <f t="shared" si="208"/>
        <v>0</v>
      </c>
      <c r="X465" s="517"/>
      <c r="Y465" s="519"/>
      <c r="Z465" s="516"/>
      <c r="AA465" s="519"/>
      <c r="AB465" s="516"/>
      <c r="AC465" s="519"/>
      <c r="AD465" s="751"/>
      <c r="AE465" s="618"/>
      <c r="AF465" s="506">
        <f t="shared" si="209"/>
        <v>0</v>
      </c>
      <c r="AG465" s="507">
        <f t="shared" si="210"/>
        <v>0</v>
      </c>
      <c r="AH465" s="508">
        <f t="shared" si="211"/>
        <v>0</v>
      </c>
      <c r="AI465" s="508">
        <f t="shared" si="212"/>
        <v>0</v>
      </c>
      <c r="AJ465" s="516"/>
      <c r="AK465" s="519"/>
      <c r="AL465" s="506">
        <f t="shared" si="213"/>
        <v>0</v>
      </c>
      <c r="AM465" s="509">
        <f t="shared" si="214"/>
        <v>0</v>
      </c>
      <c r="AN465" s="518"/>
      <c r="AO465" s="520"/>
      <c r="AP465" s="516">
        <v>39257</v>
      </c>
      <c r="AQ465" s="766">
        <v>38048</v>
      </c>
      <c r="AR465" s="516">
        <v>8077</v>
      </c>
      <c r="AS465" s="766">
        <v>8361</v>
      </c>
      <c r="AT465" s="516">
        <v>39175</v>
      </c>
      <c r="AU465" s="766">
        <v>37503</v>
      </c>
      <c r="AV465" s="506">
        <f t="shared" si="215"/>
        <v>86509</v>
      </c>
      <c r="AW465" s="511">
        <f t="shared" si="216"/>
        <v>3604.5416666666665</v>
      </c>
      <c r="AX465" s="508">
        <f t="shared" si="217"/>
        <v>83912</v>
      </c>
      <c r="AY465" s="512">
        <f t="shared" si="218"/>
        <v>3496.3333333333335</v>
      </c>
      <c r="AZ465" s="513">
        <f t="shared" si="219"/>
        <v>18540.941666666666</v>
      </c>
      <c r="BA465" s="508">
        <f t="shared" si="220"/>
        <v>18488.366666666665</v>
      </c>
    </row>
    <row r="466" spans="1:53" ht="15">
      <c r="A466" s="674" t="s">
        <v>652</v>
      </c>
      <c r="B466" s="675" t="s">
        <v>654</v>
      </c>
      <c r="C466" s="685"/>
      <c r="D466" s="686">
        <v>221759</v>
      </c>
      <c r="E466" s="678">
        <v>1</v>
      </c>
      <c r="F466" s="514" t="s">
        <v>41</v>
      </c>
      <c r="G466" s="515"/>
      <c r="H466" s="516"/>
      <c r="I466" s="519"/>
      <c r="J466" s="558">
        <v>268598</v>
      </c>
      <c r="K466" s="676">
        <v>267133</v>
      </c>
      <c r="L466" s="516">
        <v>32903</v>
      </c>
      <c r="M466" s="676">
        <v>35001</v>
      </c>
      <c r="N466" s="516">
        <v>281570</v>
      </c>
      <c r="O466" s="676">
        <v>282072</v>
      </c>
      <c r="P466" s="506">
        <f t="shared" si="203"/>
        <v>583071</v>
      </c>
      <c r="Q466" s="507">
        <f t="shared" si="204"/>
        <v>19435.7</v>
      </c>
      <c r="R466" s="508">
        <f t="shared" si="205"/>
        <v>584206</v>
      </c>
      <c r="S466" s="509">
        <f t="shared" si="206"/>
        <v>19473.533333333333</v>
      </c>
      <c r="T466" s="516"/>
      <c r="U466" s="519"/>
      <c r="V466" s="506">
        <f t="shared" si="207"/>
        <v>0</v>
      </c>
      <c r="W466" s="510">
        <f t="shared" si="208"/>
        <v>0</v>
      </c>
      <c r="X466" s="517"/>
      <c r="Y466" s="519"/>
      <c r="Z466" s="516"/>
      <c r="AA466" s="519"/>
      <c r="AB466" s="516"/>
      <c r="AC466" s="519"/>
      <c r="AD466" s="751"/>
      <c r="AE466" s="618"/>
      <c r="AF466" s="506">
        <f t="shared" si="209"/>
        <v>0</v>
      </c>
      <c r="AG466" s="507">
        <f t="shared" si="210"/>
        <v>0</v>
      </c>
      <c r="AH466" s="508">
        <f t="shared" si="211"/>
        <v>0</v>
      </c>
      <c r="AI466" s="508">
        <f t="shared" si="212"/>
        <v>0</v>
      </c>
      <c r="AJ466" s="516"/>
      <c r="AK466" s="519"/>
      <c r="AL466" s="506">
        <f t="shared" si="213"/>
        <v>0</v>
      </c>
      <c r="AM466" s="509">
        <f t="shared" si="214"/>
        <v>0</v>
      </c>
      <c r="AN466" s="518"/>
      <c r="AO466" s="520"/>
      <c r="AP466" s="762">
        <v>49260</v>
      </c>
      <c r="AQ466" s="764">
        <v>49019</v>
      </c>
      <c r="AR466" s="516">
        <v>17488</v>
      </c>
      <c r="AS466" s="764">
        <v>17533</v>
      </c>
      <c r="AT466" s="516">
        <v>50880</v>
      </c>
      <c r="AU466" s="764">
        <v>52657</v>
      </c>
      <c r="AV466" s="506">
        <f t="shared" si="215"/>
        <v>117628</v>
      </c>
      <c r="AW466" s="511">
        <f t="shared" si="216"/>
        <v>4901.166666666667</v>
      </c>
      <c r="AX466" s="508">
        <f t="shared" si="217"/>
        <v>119209</v>
      </c>
      <c r="AY466" s="512">
        <f t="shared" si="218"/>
        <v>4967.041666666667</v>
      </c>
      <c r="AZ466" s="513">
        <f t="shared" si="219"/>
        <v>24336.866666666669</v>
      </c>
      <c r="BA466" s="508">
        <f t="shared" si="220"/>
        <v>24440.575000000001</v>
      </c>
    </row>
    <row r="467" spans="1:53" ht="15">
      <c r="A467" s="674" t="s">
        <v>652</v>
      </c>
      <c r="B467" s="677" t="s">
        <v>655</v>
      </c>
      <c r="C467" s="682"/>
      <c r="D467" s="686">
        <v>221838</v>
      </c>
      <c r="E467" s="687">
        <v>2</v>
      </c>
      <c r="F467" s="514" t="s">
        <v>41</v>
      </c>
      <c r="G467" s="515"/>
      <c r="H467" s="516"/>
      <c r="I467" s="519"/>
      <c r="J467" s="516">
        <v>82054</v>
      </c>
      <c r="K467" s="676">
        <v>83514</v>
      </c>
      <c r="L467" s="516">
        <v>14911</v>
      </c>
      <c r="M467" s="676">
        <v>12181</v>
      </c>
      <c r="N467" s="516">
        <v>88692</v>
      </c>
      <c r="O467" s="676">
        <v>85330</v>
      </c>
      <c r="P467" s="506">
        <f t="shared" si="203"/>
        <v>185657</v>
      </c>
      <c r="Q467" s="507">
        <f t="shared" si="204"/>
        <v>6188.5666666666666</v>
      </c>
      <c r="R467" s="508">
        <f t="shared" si="205"/>
        <v>181025</v>
      </c>
      <c r="S467" s="509">
        <f t="shared" si="206"/>
        <v>6034.166666666667</v>
      </c>
      <c r="T467" s="516"/>
      <c r="U467" s="519"/>
      <c r="V467" s="506">
        <f t="shared" si="207"/>
        <v>0</v>
      </c>
      <c r="W467" s="510">
        <f t="shared" si="208"/>
        <v>0</v>
      </c>
      <c r="X467" s="517"/>
      <c r="Y467" s="519"/>
      <c r="Z467" s="516"/>
      <c r="AA467" s="519"/>
      <c r="AB467" s="516"/>
      <c r="AC467" s="519"/>
      <c r="AD467" s="751"/>
      <c r="AE467" s="618"/>
      <c r="AF467" s="506">
        <f t="shared" si="209"/>
        <v>0</v>
      </c>
      <c r="AG467" s="507">
        <f t="shared" si="210"/>
        <v>0</v>
      </c>
      <c r="AH467" s="508">
        <f t="shared" si="211"/>
        <v>0</v>
      </c>
      <c r="AI467" s="508">
        <f t="shared" si="212"/>
        <v>0</v>
      </c>
      <c r="AJ467" s="516"/>
      <c r="AK467" s="519"/>
      <c r="AL467" s="506">
        <f t="shared" si="213"/>
        <v>0</v>
      </c>
      <c r="AM467" s="509">
        <f t="shared" si="214"/>
        <v>0</v>
      </c>
      <c r="AN467" s="518"/>
      <c r="AO467" s="520"/>
      <c r="AP467" s="516">
        <v>14601</v>
      </c>
      <c r="AQ467" s="764">
        <v>14457</v>
      </c>
      <c r="AR467" s="516">
        <v>6421</v>
      </c>
      <c r="AS467" s="764">
        <v>6088</v>
      </c>
      <c r="AT467" s="516">
        <v>14953</v>
      </c>
      <c r="AU467" s="764">
        <v>14545</v>
      </c>
      <c r="AV467" s="506">
        <f t="shared" si="215"/>
        <v>35975</v>
      </c>
      <c r="AW467" s="511">
        <f t="shared" si="216"/>
        <v>1498.9583333333333</v>
      </c>
      <c r="AX467" s="508">
        <f t="shared" si="217"/>
        <v>35090</v>
      </c>
      <c r="AY467" s="512">
        <f t="shared" si="218"/>
        <v>1462.0833333333333</v>
      </c>
      <c r="AZ467" s="513">
        <f t="shared" si="219"/>
        <v>7687.5249999999996</v>
      </c>
      <c r="BA467" s="508">
        <f t="shared" si="220"/>
        <v>7496.25</v>
      </c>
    </row>
    <row r="468" spans="1:53" ht="15">
      <c r="A468" s="674" t="s">
        <v>652</v>
      </c>
      <c r="B468" s="677" t="s">
        <v>656</v>
      </c>
      <c r="C468" s="685"/>
      <c r="D468" s="686">
        <v>219602</v>
      </c>
      <c r="E468" s="678">
        <v>3</v>
      </c>
      <c r="F468" s="514" t="s">
        <v>41</v>
      </c>
      <c r="G468" s="515"/>
      <c r="H468" s="516"/>
      <c r="I468" s="519"/>
      <c r="J468" s="516">
        <v>103833</v>
      </c>
      <c r="K468" s="676">
        <v>110890</v>
      </c>
      <c r="L468" s="516">
        <v>22046</v>
      </c>
      <c r="M468" s="676">
        <v>22384</v>
      </c>
      <c r="N468" s="516">
        <v>120070</v>
      </c>
      <c r="O468" s="676">
        <v>119482</v>
      </c>
      <c r="P468" s="506">
        <f t="shared" si="203"/>
        <v>245949</v>
      </c>
      <c r="Q468" s="507">
        <f t="shared" si="204"/>
        <v>8198.2999999999993</v>
      </c>
      <c r="R468" s="508">
        <f t="shared" si="205"/>
        <v>252756</v>
      </c>
      <c r="S468" s="509">
        <f t="shared" si="206"/>
        <v>8425.2000000000007</v>
      </c>
      <c r="T468" s="516">
        <v>1577</v>
      </c>
      <c r="U468" s="679">
        <v>1845</v>
      </c>
      <c r="V468" s="506">
        <f t="shared" si="207"/>
        <v>245949</v>
      </c>
      <c r="W468" s="510">
        <f t="shared" si="208"/>
        <v>252756</v>
      </c>
      <c r="X468" s="517"/>
      <c r="Y468" s="519"/>
      <c r="Z468" s="516"/>
      <c r="AA468" s="519"/>
      <c r="AB468" s="516"/>
      <c r="AC468" s="519"/>
      <c r="AD468" s="751"/>
      <c r="AE468" s="618"/>
      <c r="AF468" s="506">
        <f t="shared" si="209"/>
        <v>0</v>
      </c>
      <c r="AG468" s="507">
        <f t="shared" si="210"/>
        <v>0</v>
      </c>
      <c r="AH468" s="508">
        <f t="shared" si="211"/>
        <v>0</v>
      </c>
      <c r="AI468" s="508">
        <f t="shared" si="212"/>
        <v>0</v>
      </c>
      <c r="AJ468" s="516"/>
      <c r="AK468" s="519"/>
      <c r="AL468" s="506">
        <f t="shared" si="213"/>
        <v>0</v>
      </c>
      <c r="AM468" s="509">
        <f t="shared" si="214"/>
        <v>0</v>
      </c>
      <c r="AN468" s="518"/>
      <c r="AO468" s="520"/>
      <c r="AP468" s="516">
        <v>6298</v>
      </c>
      <c r="AQ468" s="764">
        <v>5962</v>
      </c>
      <c r="AR468" s="516">
        <v>2721</v>
      </c>
      <c r="AS468" s="764">
        <v>2916</v>
      </c>
      <c r="AT468" s="769">
        <v>6476</v>
      </c>
      <c r="AU468" s="764">
        <v>6505</v>
      </c>
      <c r="AV468" s="506">
        <f t="shared" si="215"/>
        <v>15495</v>
      </c>
      <c r="AW468" s="511">
        <f t="shared" si="216"/>
        <v>645.625</v>
      </c>
      <c r="AX468" s="508">
        <f t="shared" si="217"/>
        <v>15383</v>
      </c>
      <c r="AY468" s="512">
        <f t="shared" si="218"/>
        <v>640.95833333333337</v>
      </c>
      <c r="AZ468" s="513">
        <f t="shared" si="219"/>
        <v>8843.9249999999993</v>
      </c>
      <c r="BA468" s="508">
        <f t="shared" si="220"/>
        <v>9066.1583333333347</v>
      </c>
    </row>
    <row r="469" spans="1:53" ht="15">
      <c r="A469" s="674" t="s">
        <v>652</v>
      </c>
      <c r="B469" s="675" t="s">
        <v>657</v>
      </c>
      <c r="C469" s="685"/>
      <c r="D469" s="686">
        <v>220075</v>
      </c>
      <c r="E469" s="678">
        <v>3</v>
      </c>
      <c r="F469" s="514" t="s">
        <v>41</v>
      </c>
      <c r="G469" s="515"/>
      <c r="H469" s="516"/>
      <c r="I469" s="519"/>
      <c r="J469" s="516">
        <v>148311</v>
      </c>
      <c r="K469" s="676">
        <v>151184</v>
      </c>
      <c r="L469" s="516">
        <v>24097</v>
      </c>
      <c r="M469" s="676">
        <v>23270</v>
      </c>
      <c r="N469" s="516">
        <v>164764</v>
      </c>
      <c r="O469" s="676">
        <v>159588</v>
      </c>
      <c r="P469" s="506">
        <f t="shared" si="203"/>
        <v>337172</v>
      </c>
      <c r="Q469" s="507">
        <f t="shared" si="204"/>
        <v>11239.066666666668</v>
      </c>
      <c r="R469" s="508">
        <f t="shared" si="205"/>
        <v>334042</v>
      </c>
      <c r="S469" s="509">
        <f t="shared" si="206"/>
        <v>11134.733333333334</v>
      </c>
      <c r="T469" s="516"/>
      <c r="U469" s="519"/>
      <c r="V469" s="506">
        <f t="shared" si="207"/>
        <v>0</v>
      </c>
      <c r="W469" s="510">
        <f t="shared" si="208"/>
        <v>0</v>
      </c>
      <c r="X469" s="517"/>
      <c r="Y469" s="519"/>
      <c r="Z469" s="516"/>
      <c r="AA469" s="519"/>
      <c r="AB469" s="516"/>
      <c r="AC469" s="519"/>
      <c r="AD469" s="751"/>
      <c r="AE469" s="618"/>
      <c r="AF469" s="506">
        <f t="shared" si="209"/>
        <v>0</v>
      </c>
      <c r="AG469" s="507">
        <f t="shared" si="210"/>
        <v>0</v>
      </c>
      <c r="AH469" s="508">
        <f t="shared" si="211"/>
        <v>0</v>
      </c>
      <c r="AI469" s="508">
        <f t="shared" si="212"/>
        <v>0</v>
      </c>
      <c r="AJ469" s="516"/>
      <c r="AK469" s="519"/>
      <c r="AL469" s="506">
        <f t="shared" si="213"/>
        <v>0</v>
      </c>
      <c r="AM469" s="509">
        <f t="shared" si="214"/>
        <v>0</v>
      </c>
      <c r="AN469" s="518"/>
      <c r="AO469" s="520"/>
      <c r="AP469" s="516">
        <v>16849</v>
      </c>
      <c r="AQ469" s="764">
        <v>16736</v>
      </c>
      <c r="AR469" s="516">
        <v>7166</v>
      </c>
      <c r="AS469" s="764">
        <v>7818</v>
      </c>
      <c r="AT469" s="516">
        <v>17492</v>
      </c>
      <c r="AU469" s="764">
        <v>18568</v>
      </c>
      <c r="AV469" s="506">
        <f t="shared" si="215"/>
        <v>41507</v>
      </c>
      <c r="AW469" s="511">
        <f t="shared" si="216"/>
        <v>1729.4583333333333</v>
      </c>
      <c r="AX469" s="508">
        <f t="shared" si="217"/>
        <v>43122</v>
      </c>
      <c r="AY469" s="512">
        <f t="shared" si="218"/>
        <v>1796.75</v>
      </c>
      <c r="AZ469" s="513">
        <f t="shared" si="219"/>
        <v>12968.525000000001</v>
      </c>
      <c r="BA469" s="508">
        <f t="shared" si="220"/>
        <v>12931.483333333334</v>
      </c>
    </row>
    <row r="470" spans="1:53" ht="15">
      <c r="A470" s="674" t="s">
        <v>652</v>
      </c>
      <c r="B470" s="675" t="s">
        <v>658</v>
      </c>
      <c r="C470" s="685"/>
      <c r="D470" s="686">
        <v>220978</v>
      </c>
      <c r="E470" s="678">
        <v>3</v>
      </c>
      <c r="F470" s="514" t="s">
        <v>41</v>
      </c>
      <c r="G470" s="515"/>
      <c r="H470" s="516"/>
      <c r="I470" s="519"/>
      <c r="J470" s="516">
        <v>280020</v>
      </c>
      <c r="K470" s="676">
        <v>272267</v>
      </c>
      <c r="L470" s="516">
        <v>47561</v>
      </c>
      <c r="M470" s="676">
        <v>46567</v>
      </c>
      <c r="N470" s="516">
        <v>301604</v>
      </c>
      <c r="O470" s="676">
        <v>286959</v>
      </c>
      <c r="P470" s="506">
        <f t="shared" si="203"/>
        <v>629185</v>
      </c>
      <c r="Q470" s="507">
        <f t="shared" si="204"/>
        <v>20972.833333333332</v>
      </c>
      <c r="R470" s="508">
        <f t="shared" si="205"/>
        <v>605793</v>
      </c>
      <c r="S470" s="509">
        <f t="shared" si="206"/>
        <v>20193.099999999999</v>
      </c>
      <c r="T470" s="516"/>
      <c r="U470" s="519"/>
      <c r="V470" s="506">
        <f t="shared" si="207"/>
        <v>0</v>
      </c>
      <c r="W470" s="510">
        <f t="shared" si="208"/>
        <v>0</v>
      </c>
      <c r="X470" s="517"/>
      <c r="Y470" s="519"/>
      <c r="Z470" s="516"/>
      <c r="AA470" s="519"/>
      <c r="AB470" s="516"/>
      <c r="AC470" s="519"/>
      <c r="AD470" s="751"/>
      <c r="AE470" s="618"/>
      <c r="AF470" s="506">
        <f t="shared" si="209"/>
        <v>0</v>
      </c>
      <c r="AG470" s="507">
        <f t="shared" si="210"/>
        <v>0</v>
      </c>
      <c r="AH470" s="508">
        <f t="shared" si="211"/>
        <v>0</v>
      </c>
      <c r="AI470" s="508">
        <f t="shared" si="212"/>
        <v>0</v>
      </c>
      <c r="AJ470" s="516"/>
      <c r="AK470" s="519"/>
      <c r="AL470" s="506">
        <f t="shared" si="213"/>
        <v>0</v>
      </c>
      <c r="AM470" s="509">
        <f t="shared" si="214"/>
        <v>0</v>
      </c>
      <c r="AN470" s="518"/>
      <c r="AO470" s="520"/>
      <c r="AP470" s="516">
        <v>19471</v>
      </c>
      <c r="AQ470" s="764">
        <v>19237</v>
      </c>
      <c r="AR470" s="516">
        <v>9625</v>
      </c>
      <c r="AS470" s="764">
        <v>9619</v>
      </c>
      <c r="AT470" s="516">
        <v>20402</v>
      </c>
      <c r="AU470" s="764">
        <v>20316</v>
      </c>
      <c r="AV470" s="506">
        <f t="shared" si="215"/>
        <v>49498</v>
      </c>
      <c r="AW470" s="511">
        <f t="shared" si="216"/>
        <v>2062.4166666666665</v>
      </c>
      <c r="AX470" s="508">
        <f t="shared" si="217"/>
        <v>49172</v>
      </c>
      <c r="AY470" s="512">
        <f t="shared" si="218"/>
        <v>2048.8333333333335</v>
      </c>
      <c r="AZ470" s="513">
        <f t="shared" si="219"/>
        <v>23035.25</v>
      </c>
      <c r="BA470" s="508">
        <f t="shared" si="220"/>
        <v>22241.933333333331</v>
      </c>
    </row>
    <row r="471" spans="1:53" ht="15">
      <c r="A471" s="674" t="s">
        <v>652</v>
      </c>
      <c r="B471" s="675" t="s">
        <v>659</v>
      </c>
      <c r="C471" s="685"/>
      <c r="D471" s="686">
        <v>221847</v>
      </c>
      <c r="E471" s="678">
        <v>3</v>
      </c>
      <c r="F471" s="514" t="s">
        <v>41</v>
      </c>
      <c r="G471" s="515"/>
      <c r="H471" s="516"/>
      <c r="I471" s="519"/>
      <c r="J471" s="516">
        <v>117328</v>
      </c>
      <c r="K471" s="676">
        <v>121717</v>
      </c>
      <c r="L471" s="516">
        <v>13099</v>
      </c>
      <c r="M471" s="676">
        <v>14024</v>
      </c>
      <c r="N471" s="516">
        <v>132670</v>
      </c>
      <c r="O471" s="676">
        <v>134982</v>
      </c>
      <c r="P471" s="506">
        <f t="shared" si="203"/>
        <v>263097</v>
      </c>
      <c r="Q471" s="507">
        <f t="shared" si="204"/>
        <v>8769.9</v>
      </c>
      <c r="R471" s="508">
        <f t="shared" si="205"/>
        <v>270723</v>
      </c>
      <c r="S471" s="509">
        <f t="shared" si="206"/>
        <v>9024.1</v>
      </c>
      <c r="T471" s="516"/>
      <c r="U471" s="519"/>
      <c r="V471" s="506">
        <f t="shared" si="207"/>
        <v>0</v>
      </c>
      <c r="W471" s="510">
        <f t="shared" si="208"/>
        <v>0</v>
      </c>
      <c r="X471" s="517"/>
      <c r="Y471" s="519"/>
      <c r="Z471" s="516"/>
      <c r="AA471" s="519"/>
      <c r="AB471" s="516"/>
      <c r="AC471" s="519"/>
      <c r="AD471" s="751"/>
      <c r="AE471" s="618"/>
      <c r="AF471" s="506">
        <f t="shared" si="209"/>
        <v>0</v>
      </c>
      <c r="AG471" s="507">
        <f t="shared" si="210"/>
        <v>0</v>
      </c>
      <c r="AH471" s="508">
        <f t="shared" si="211"/>
        <v>0</v>
      </c>
      <c r="AI471" s="508">
        <f t="shared" si="212"/>
        <v>0</v>
      </c>
      <c r="AJ471" s="516"/>
      <c r="AK471" s="519"/>
      <c r="AL471" s="506">
        <f t="shared" si="213"/>
        <v>0</v>
      </c>
      <c r="AM471" s="509">
        <f t="shared" si="214"/>
        <v>0</v>
      </c>
      <c r="AN471" s="518"/>
      <c r="AO471" s="520"/>
      <c r="AP471" s="516">
        <v>8437</v>
      </c>
      <c r="AQ471" s="764">
        <v>7082</v>
      </c>
      <c r="AR471" s="516">
        <v>3656</v>
      </c>
      <c r="AS471" s="764">
        <v>3227</v>
      </c>
      <c r="AT471" s="516">
        <v>8165</v>
      </c>
      <c r="AU471" s="764">
        <v>7650</v>
      </c>
      <c r="AV471" s="506">
        <f t="shared" si="215"/>
        <v>20258</v>
      </c>
      <c r="AW471" s="511">
        <f t="shared" si="216"/>
        <v>844.08333333333337</v>
      </c>
      <c r="AX471" s="508">
        <f t="shared" si="217"/>
        <v>17959</v>
      </c>
      <c r="AY471" s="512">
        <f t="shared" si="218"/>
        <v>748.29166666666663</v>
      </c>
      <c r="AZ471" s="513">
        <f t="shared" si="219"/>
        <v>9613.9833333333336</v>
      </c>
      <c r="BA471" s="508">
        <f t="shared" si="220"/>
        <v>9772.3916666666664</v>
      </c>
    </row>
    <row r="472" spans="1:53" ht="15">
      <c r="A472" s="674" t="s">
        <v>652</v>
      </c>
      <c r="B472" s="675" t="s">
        <v>660</v>
      </c>
      <c r="C472" s="685"/>
      <c r="D472" s="686">
        <v>221740</v>
      </c>
      <c r="E472" s="678">
        <v>3</v>
      </c>
      <c r="F472" s="514" t="s">
        <v>41</v>
      </c>
      <c r="G472" s="515"/>
      <c r="H472" s="516"/>
      <c r="I472" s="519"/>
      <c r="J472" s="516">
        <v>109626</v>
      </c>
      <c r="K472" s="676">
        <v>121325</v>
      </c>
      <c r="L472" s="516">
        <v>14737</v>
      </c>
      <c r="M472" s="676">
        <v>17136</v>
      </c>
      <c r="N472" s="516">
        <v>132574</v>
      </c>
      <c r="O472" s="676">
        <v>134842</v>
      </c>
      <c r="P472" s="506">
        <f t="shared" si="203"/>
        <v>256937</v>
      </c>
      <c r="Q472" s="507">
        <f t="shared" si="204"/>
        <v>8564.5666666666675</v>
      </c>
      <c r="R472" s="508">
        <f t="shared" si="205"/>
        <v>273303</v>
      </c>
      <c r="S472" s="509">
        <f t="shared" si="206"/>
        <v>9110.1</v>
      </c>
      <c r="T472" s="516"/>
      <c r="U472" s="519"/>
      <c r="V472" s="506">
        <f t="shared" si="207"/>
        <v>0</v>
      </c>
      <c r="W472" s="510">
        <f t="shared" si="208"/>
        <v>0</v>
      </c>
      <c r="X472" s="517"/>
      <c r="Y472" s="519"/>
      <c r="Z472" s="516"/>
      <c r="AA472" s="519"/>
      <c r="AB472" s="516"/>
      <c r="AC472" s="519"/>
      <c r="AD472" s="751"/>
      <c r="AE472" s="618"/>
      <c r="AF472" s="506">
        <f t="shared" si="209"/>
        <v>0</v>
      </c>
      <c r="AG472" s="507">
        <f t="shared" si="210"/>
        <v>0</v>
      </c>
      <c r="AH472" s="508">
        <f t="shared" si="211"/>
        <v>0</v>
      </c>
      <c r="AI472" s="508">
        <f t="shared" si="212"/>
        <v>0</v>
      </c>
      <c r="AJ472" s="516"/>
      <c r="AK472" s="519"/>
      <c r="AL472" s="506">
        <f t="shared" si="213"/>
        <v>0</v>
      </c>
      <c r="AM472" s="509">
        <f t="shared" si="214"/>
        <v>0</v>
      </c>
      <c r="AN472" s="518"/>
      <c r="AO472" s="520"/>
      <c r="AP472" s="516">
        <v>10816</v>
      </c>
      <c r="AQ472" s="764">
        <v>10976</v>
      </c>
      <c r="AR472" s="516">
        <v>5736</v>
      </c>
      <c r="AS472" s="764">
        <v>5913</v>
      </c>
      <c r="AT472" s="516">
        <v>12076</v>
      </c>
      <c r="AU472" s="764">
        <v>11534</v>
      </c>
      <c r="AV472" s="506">
        <f t="shared" si="215"/>
        <v>28628</v>
      </c>
      <c r="AW472" s="511">
        <f t="shared" si="216"/>
        <v>1192.8333333333333</v>
      </c>
      <c r="AX472" s="508">
        <f t="shared" si="217"/>
        <v>28423</v>
      </c>
      <c r="AY472" s="512">
        <f t="shared" si="218"/>
        <v>1184.2916666666667</v>
      </c>
      <c r="AZ472" s="513">
        <f t="shared" si="219"/>
        <v>9757.4000000000015</v>
      </c>
      <c r="BA472" s="508">
        <f t="shared" si="220"/>
        <v>10294.391666666666</v>
      </c>
    </row>
    <row r="473" spans="1:53" ht="15">
      <c r="A473" s="674" t="s">
        <v>652</v>
      </c>
      <c r="B473" s="675" t="s">
        <v>661</v>
      </c>
      <c r="C473" s="685"/>
      <c r="D473" s="686">
        <v>221768</v>
      </c>
      <c r="E473" s="678">
        <v>5</v>
      </c>
      <c r="F473" s="514" t="s">
        <v>41</v>
      </c>
      <c r="G473" s="515"/>
      <c r="H473" s="516"/>
      <c r="I473" s="519"/>
      <c r="J473" s="558">
        <v>93979</v>
      </c>
      <c r="K473" s="676">
        <v>91482</v>
      </c>
      <c r="L473" s="516">
        <v>13865</v>
      </c>
      <c r="M473" s="676">
        <v>12872</v>
      </c>
      <c r="N473" s="516">
        <v>99680</v>
      </c>
      <c r="O473" s="676">
        <v>98320</v>
      </c>
      <c r="P473" s="506">
        <f t="shared" si="203"/>
        <v>207524</v>
      </c>
      <c r="Q473" s="507">
        <f t="shared" si="204"/>
        <v>6917.4666666666662</v>
      </c>
      <c r="R473" s="508">
        <f t="shared" si="205"/>
        <v>202674</v>
      </c>
      <c r="S473" s="509">
        <f t="shared" si="206"/>
        <v>6755.8</v>
      </c>
      <c r="T473" s="516">
        <v>5557</v>
      </c>
      <c r="U473" s="679">
        <v>4402</v>
      </c>
      <c r="V473" s="506">
        <f t="shared" si="207"/>
        <v>207524</v>
      </c>
      <c r="W473" s="510">
        <f t="shared" si="208"/>
        <v>202674</v>
      </c>
      <c r="X473" s="517"/>
      <c r="Y473" s="519"/>
      <c r="Z473" s="516"/>
      <c r="AA473" s="519"/>
      <c r="AB473" s="516"/>
      <c r="AC473" s="519"/>
      <c r="AD473" s="751"/>
      <c r="AE473" s="618"/>
      <c r="AF473" s="506">
        <f t="shared" si="209"/>
        <v>0</v>
      </c>
      <c r="AG473" s="507">
        <f t="shared" si="210"/>
        <v>0</v>
      </c>
      <c r="AH473" s="508">
        <f t="shared" si="211"/>
        <v>0</v>
      </c>
      <c r="AI473" s="508">
        <f t="shared" si="212"/>
        <v>0</v>
      </c>
      <c r="AJ473" s="516"/>
      <c r="AK473" s="519"/>
      <c r="AL473" s="506">
        <f t="shared" si="213"/>
        <v>0</v>
      </c>
      <c r="AM473" s="509">
        <f t="shared" si="214"/>
        <v>0</v>
      </c>
      <c r="AN473" s="518"/>
      <c r="AO473" s="520"/>
      <c r="AP473" s="762">
        <v>2874</v>
      </c>
      <c r="AQ473" s="764">
        <v>2579</v>
      </c>
      <c r="AR473" s="516">
        <v>2038</v>
      </c>
      <c r="AS473" s="764">
        <v>1633</v>
      </c>
      <c r="AT473" s="516">
        <v>2485</v>
      </c>
      <c r="AU473" s="764">
        <v>2581</v>
      </c>
      <c r="AV473" s="506">
        <f t="shared" si="215"/>
        <v>7397</v>
      </c>
      <c r="AW473" s="511">
        <f t="shared" si="216"/>
        <v>308.20833333333331</v>
      </c>
      <c r="AX473" s="508">
        <f t="shared" si="217"/>
        <v>6793</v>
      </c>
      <c r="AY473" s="512">
        <f t="shared" si="218"/>
        <v>283.04166666666669</v>
      </c>
      <c r="AZ473" s="513">
        <f t="shared" si="219"/>
        <v>7225.6749999999993</v>
      </c>
      <c r="BA473" s="508">
        <f t="shared" si="220"/>
        <v>7038.8416666666672</v>
      </c>
    </row>
    <row r="474" spans="1:53">
      <c r="A474" s="674" t="s">
        <v>652</v>
      </c>
      <c r="B474" s="675" t="s">
        <v>662</v>
      </c>
      <c r="C474" s="688"/>
      <c r="D474" s="689">
        <v>219824</v>
      </c>
      <c r="E474" s="690">
        <v>8</v>
      </c>
      <c r="F474" s="514" t="s">
        <v>41</v>
      </c>
      <c r="G474" s="515"/>
      <c r="H474" s="516"/>
      <c r="I474" s="519"/>
      <c r="J474" s="516">
        <v>94137</v>
      </c>
      <c r="K474" s="680">
        <v>90205</v>
      </c>
      <c r="L474" s="516">
        <v>20055</v>
      </c>
      <c r="M474" s="680">
        <v>19778</v>
      </c>
      <c r="N474" s="516">
        <v>100065</v>
      </c>
      <c r="O474" s="680">
        <v>98768</v>
      </c>
      <c r="P474" s="506">
        <f t="shared" si="203"/>
        <v>214257</v>
      </c>
      <c r="Q474" s="507">
        <f t="shared" si="204"/>
        <v>7141.9</v>
      </c>
      <c r="R474" s="508">
        <f t="shared" si="205"/>
        <v>208751</v>
      </c>
      <c r="S474" s="509">
        <f t="shared" si="206"/>
        <v>6958.3666666666668</v>
      </c>
      <c r="T474" s="516">
        <v>10640</v>
      </c>
      <c r="U474" s="681">
        <v>11548</v>
      </c>
      <c r="V474" s="506">
        <f t="shared" si="207"/>
        <v>214257</v>
      </c>
      <c r="W474" s="510">
        <f t="shared" si="208"/>
        <v>208751</v>
      </c>
      <c r="X474" s="517"/>
      <c r="Y474" s="519"/>
      <c r="Z474" s="516"/>
      <c r="AA474" s="519"/>
      <c r="AB474" s="516"/>
      <c r="AC474" s="519"/>
      <c r="AD474" s="751"/>
      <c r="AE474" s="618"/>
      <c r="AF474" s="506">
        <f t="shared" si="209"/>
        <v>0</v>
      </c>
      <c r="AG474" s="507">
        <f t="shared" si="210"/>
        <v>0</v>
      </c>
      <c r="AH474" s="508">
        <f t="shared" si="211"/>
        <v>0</v>
      </c>
      <c r="AI474" s="508">
        <f t="shared" si="212"/>
        <v>0</v>
      </c>
      <c r="AJ474" s="516"/>
      <c r="AK474" s="519"/>
      <c r="AL474" s="506">
        <f t="shared" si="213"/>
        <v>0</v>
      </c>
      <c r="AM474" s="509">
        <f t="shared" si="214"/>
        <v>0</v>
      </c>
      <c r="AN474" s="518"/>
      <c r="AO474" s="520"/>
      <c r="AP474" s="516"/>
      <c r="AQ474" s="767"/>
      <c r="AR474" s="516"/>
      <c r="AS474" s="768"/>
      <c r="AT474" s="516"/>
      <c r="AU474" s="767"/>
      <c r="AV474" s="506">
        <f t="shared" si="215"/>
        <v>0</v>
      </c>
      <c r="AW474" s="511">
        <f t="shared" si="216"/>
        <v>0</v>
      </c>
      <c r="AX474" s="508">
        <f t="shared" si="217"/>
        <v>0</v>
      </c>
      <c r="AY474" s="512">
        <f t="shared" si="218"/>
        <v>0</v>
      </c>
      <c r="AZ474" s="513">
        <f t="shared" si="219"/>
        <v>7141.9</v>
      </c>
      <c r="BA474" s="508">
        <f t="shared" si="220"/>
        <v>6958.3666666666668</v>
      </c>
    </row>
    <row r="475" spans="1:53">
      <c r="A475" s="674" t="s">
        <v>652</v>
      </c>
      <c r="B475" s="677" t="s">
        <v>663</v>
      </c>
      <c r="C475" s="682"/>
      <c r="D475" s="689">
        <v>221184</v>
      </c>
      <c r="E475" s="687">
        <v>8</v>
      </c>
      <c r="F475" s="514" t="s">
        <v>41</v>
      </c>
      <c r="G475" s="515"/>
      <c r="H475" s="516"/>
      <c r="I475" s="519"/>
      <c r="J475" s="516">
        <v>84010</v>
      </c>
      <c r="K475" s="680">
        <v>84144</v>
      </c>
      <c r="L475" s="516">
        <v>27112</v>
      </c>
      <c r="M475" s="680">
        <v>22096</v>
      </c>
      <c r="N475" s="516">
        <v>85290</v>
      </c>
      <c r="O475" s="680">
        <v>85216</v>
      </c>
      <c r="P475" s="506">
        <f t="shared" si="203"/>
        <v>196412</v>
      </c>
      <c r="Q475" s="507">
        <f t="shared" si="204"/>
        <v>6547.0666666666666</v>
      </c>
      <c r="R475" s="508">
        <f t="shared" si="205"/>
        <v>191456</v>
      </c>
      <c r="S475" s="509">
        <f t="shared" si="206"/>
        <v>6381.8666666666668</v>
      </c>
      <c r="T475" s="516">
        <v>5677</v>
      </c>
      <c r="U475" s="681">
        <v>6760</v>
      </c>
      <c r="V475" s="506">
        <f t="shared" si="207"/>
        <v>196412</v>
      </c>
      <c r="W475" s="510">
        <f t="shared" si="208"/>
        <v>191456</v>
      </c>
      <c r="X475" s="517"/>
      <c r="Y475" s="519"/>
      <c r="Z475" s="516"/>
      <c r="AA475" s="519"/>
      <c r="AB475" s="516"/>
      <c r="AC475" s="519"/>
      <c r="AD475" s="751"/>
      <c r="AE475" s="618"/>
      <c r="AF475" s="506">
        <f t="shared" si="209"/>
        <v>0</v>
      </c>
      <c r="AG475" s="507">
        <f t="shared" si="210"/>
        <v>0</v>
      </c>
      <c r="AH475" s="508">
        <f t="shared" si="211"/>
        <v>0</v>
      </c>
      <c r="AI475" s="508">
        <f t="shared" si="212"/>
        <v>0</v>
      </c>
      <c r="AJ475" s="516"/>
      <c r="AK475" s="519"/>
      <c r="AL475" s="506">
        <f t="shared" si="213"/>
        <v>0</v>
      </c>
      <c r="AM475" s="509">
        <f t="shared" si="214"/>
        <v>0</v>
      </c>
      <c r="AN475" s="518"/>
      <c r="AO475" s="520"/>
      <c r="AP475" s="516"/>
      <c r="AQ475" s="767"/>
      <c r="AR475" s="516"/>
      <c r="AS475" s="520"/>
      <c r="AT475" s="516"/>
      <c r="AU475" s="767"/>
      <c r="AV475" s="506">
        <f t="shared" si="215"/>
        <v>0</v>
      </c>
      <c r="AW475" s="511">
        <f t="shared" si="216"/>
        <v>0</v>
      </c>
      <c r="AX475" s="508">
        <f t="shared" si="217"/>
        <v>0</v>
      </c>
      <c r="AY475" s="512">
        <f t="shared" si="218"/>
        <v>0</v>
      </c>
      <c r="AZ475" s="513">
        <f t="shared" si="219"/>
        <v>6547.0666666666666</v>
      </c>
      <c r="BA475" s="508">
        <f t="shared" si="220"/>
        <v>6381.8666666666668</v>
      </c>
    </row>
    <row r="476" spans="1:53">
      <c r="A476" s="674" t="s">
        <v>652</v>
      </c>
      <c r="B476" s="675" t="s">
        <v>664</v>
      </c>
      <c r="C476" s="688"/>
      <c r="D476" s="689">
        <v>221643</v>
      </c>
      <c r="E476" s="690">
        <v>8</v>
      </c>
      <c r="F476" s="514" t="s">
        <v>41</v>
      </c>
      <c r="G476" s="515"/>
      <c r="H476" s="516"/>
      <c r="I476" s="519"/>
      <c r="J476" s="516">
        <v>100060</v>
      </c>
      <c r="K476" s="680">
        <v>98536</v>
      </c>
      <c r="L476" s="516">
        <v>25201</v>
      </c>
      <c r="M476" s="680">
        <v>20180</v>
      </c>
      <c r="N476" s="516">
        <v>111029</v>
      </c>
      <c r="O476" s="680">
        <v>105861</v>
      </c>
      <c r="P476" s="506">
        <f t="shared" si="203"/>
        <v>236290</v>
      </c>
      <c r="Q476" s="507">
        <f t="shared" si="204"/>
        <v>7876.333333333333</v>
      </c>
      <c r="R476" s="508">
        <f t="shared" si="205"/>
        <v>224577</v>
      </c>
      <c r="S476" s="509">
        <f t="shared" si="206"/>
        <v>7485.9</v>
      </c>
      <c r="T476" s="516">
        <v>6884</v>
      </c>
      <c r="U476" s="681">
        <v>6888</v>
      </c>
      <c r="V476" s="506">
        <f t="shared" si="207"/>
        <v>236290</v>
      </c>
      <c r="W476" s="510">
        <f t="shared" si="208"/>
        <v>224577</v>
      </c>
      <c r="X476" s="517"/>
      <c r="Y476" s="519"/>
      <c r="Z476" s="516"/>
      <c r="AA476" s="519"/>
      <c r="AB476" s="516"/>
      <c r="AC476" s="519"/>
      <c r="AD476" s="751"/>
      <c r="AE476" s="618"/>
      <c r="AF476" s="506">
        <f t="shared" si="209"/>
        <v>0</v>
      </c>
      <c r="AG476" s="507">
        <f t="shared" si="210"/>
        <v>0</v>
      </c>
      <c r="AH476" s="508">
        <f t="shared" si="211"/>
        <v>0</v>
      </c>
      <c r="AI476" s="508">
        <f t="shared" si="212"/>
        <v>0</v>
      </c>
      <c r="AJ476" s="516"/>
      <c r="AK476" s="519"/>
      <c r="AL476" s="506">
        <f t="shared" si="213"/>
        <v>0</v>
      </c>
      <c r="AM476" s="509">
        <f t="shared" si="214"/>
        <v>0</v>
      </c>
      <c r="AN476" s="518"/>
      <c r="AO476" s="520"/>
      <c r="AP476" s="516"/>
      <c r="AQ476" s="767"/>
      <c r="AR476" s="516"/>
      <c r="AS476" s="520"/>
      <c r="AT476" s="516"/>
      <c r="AU476" s="767"/>
      <c r="AV476" s="506">
        <f t="shared" si="215"/>
        <v>0</v>
      </c>
      <c r="AW476" s="511">
        <f t="shared" si="216"/>
        <v>0</v>
      </c>
      <c r="AX476" s="508">
        <f t="shared" si="217"/>
        <v>0</v>
      </c>
      <c r="AY476" s="512">
        <f t="shared" si="218"/>
        <v>0</v>
      </c>
      <c r="AZ476" s="513">
        <f t="shared" si="219"/>
        <v>7876.333333333333</v>
      </c>
      <c r="BA476" s="508">
        <f t="shared" si="220"/>
        <v>7485.9</v>
      </c>
    </row>
    <row r="477" spans="1:53">
      <c r="A477" s="674" t="s">
        <v>652</v>
      </c>
      <c r="B477" s="675" t="s">
        <v>665</v>
      </c>
      <c r="C477" s="688"/>
      <c r="D477" s="689">
        <v>221485</v>
      </c>
      <c r="E477" s="690">
        <v>8</v>
      </c>
      <c r="F477" s="514" t="s">
        <v>41</v>
      </c>
      <c r="G477" s="515"/>
      <c r="H477" s="516"/>
      <c r="I477" s="519"/>
      <c r="J477" s="516">
        <v>117785</v>
      </c>
      <c r="K477" s="680">
        <v>115229</v>
      </c>
      <c r="L477" s="516">
        <v>45229</v>
      </c>
      <c r="M477" s="680">
        <v>31469</v>
      </c>
      <c r="N477" s="516">
        <v>123233</v>
      </c>
      <c r="O477" s="680">
        <v>113328</v>
      </c>
      <c r="P477" s="506">
        <f t="shared" si="203"/>
        <v>286247</v>
      </c>
      <c r="Q477" s="507">
        <f t="shared" si="204"/>
        <v>9541.5666666666675</v>
      </c>
      <c r="R477" s="508">
        <f t="shared" si="205"/>
        <v>260026</v>
      </c>
      <c r="S477" s="509">
        <f t="shared" si="206"/>
        <v>8667.5333333333328</v>
      </c>
      <c r="T477" s="516">
        <v>1611</v>
      </c>
      <c r="U477" s="681">
        <v>1851</v>
      </c>
      <c r="V477" s="506">
        <f t="shared" si="207"/>
        <v>286247</v>
      </c>
      <c r="W477" s="510">
        <f t="shared" si="208"/>
        <v>260026</v>
      </c>
      <c r="X477" s="517"/>
      <c r="Y477" s="519"/>
      <c r="Z477" s="516"/>
      <c r="AA477" s="519"/>
      <c r="AB477" s="516"/>
      <c r="AC477" s="519"/>
      <c r="AD477" s="751"/>
      <c r="AE477" s="618"/>
      <c r="AF477" s="506">
        <f t="shared" si="209"/>
        <v>0</v>
      </c>
      <c r="AG477" s="507">
        <f t="shared" si="210"/>
        <v>0</v>
      </c>
      <c r="AH477" s="508">
        <f t="shared" si="211"/>
        <v>0</v>
      </c>
      <c r="AI477" s="508">
        <f t="shared" si="212"/>
        <v>0</v>
      </c>
      <c r="AJ477" s="516"/>
      <c r="AK477" s="519"/>
      <c r="AL477" s="506">
        <f t="shared" si="213"/>
        <v>0</v>
      </c>
      <c r="AM477" s="509">
        <f t="shared" si="214"/>
        <v>0</v>
      </c>
      <c r="AN477" s="518"/>
      <c r="AO477" s="520"/>
      <c r="AP477" s="516"/>
      <c r="AQ477" s="767"/>
      <c r="AR477" s="516"/>
      <c r="AS477" s="520"/>
      <c r="AT477" s="516"/>
      <c r="AU477" s="767"/>
      <c r="AV477" s="506">
        <f t="shared" si="215"/>
        <v>0</v>
      </c>
      <c r="AW477" s="511">
        <f t="shared" si="216"/>
        <v>0</v>
      </c>
      <c r="AX477" s="508">
        <f t="shared" si="217"/>
        <v>0</v>
      </c>
      <c r="AY477" s="512">
        <f t="shared" si="218"/>
        <v>0</v>
      </c>
      <c r="AZ477" s="513">
        <f t="shared" si="219"/>
        <v>9541.5666666666675</v>
      </c>
      <c r="BA477" s="508">
        <f t="shared" si="220"/>
        <v>8667.5333333333328</v>
      </c>
    </row>
    <row r="478" spans="1:53">
      <c r="A478" s="674" t="s">
        <v>652</v>
      </c>
      <c r="B478" s="677" t="s">
        <v>666</v>
      </c>
      <c r="C478" s="682"/>
      <c r="D478" s="689">
        <v>222053</v>
      </c>
      <c r="E478" s="687">
        <v>8</v>
      </c>
      <c r="F478" s="514" t="s">
        <v>41</v>
      </c>
      <c r="G478" s="515"/>
      <c r="H478" s="516"/>
      <c r="I478" s="519"/>
      <c r="J478" s="516">
        <v>76398</v>
      </c>
      <c r="K478" s="680">
        <v>72241</v>
      </c>
      <c r="L478" s="516">
        <v>19259</v>
      </c>
      <c r="M478" s="680">
        <v>16149</v>
      </c>
      <c r="N478" s="516">
        <v>81735</v>
      </c>
      <c r="O478" s="680">
        <v>76369</v>
      </c>
      <c r="P478" s="506">
        <f t="shared" si="203"/>
        <v>177392</v>
      </c>
      <c r="Q478" s="507">
        <f t="shared" si="204"/>
        <v>5913.0666666666666</v>
      </c>
      <c r="R478" s="508">
        <f t="shared" si="205"/>
        <v>164759</v>
      </c>
      <c r="S478" s="509">
        <f t="shared" si="206"/>
        <v>5491.9666666666662</v>
      </c>
      <c r="T478" s="516">
        <v>10522</v>
      </c>
      <c r="U478" s="681">
        <v>11351</v>
      </c>
      <c r="V478" s="506">
        <f t="shared" si="207"/>
        <v>177392</v>
      </c>
      <c r="W478" s="510">
        <f t="shared" si="208"/>
        <v>164759</v>
      </c>
      <c r="X478" s="517"/>
      <c r="Y478" s="519"/>
      <c r="Z478" s="516"/>
      <c r="AA478" s="519"/>
      <c r="AB478" s="516"/>
      <c r="AC478" s="519"/>
      <c r="AD478" s="751"/>
      <c r="AE478" s="618"/>
      <c r="AF478" s="506">
        <f t="shared" si="209"/>
        <v>0</v>
      </c>
      <c r="AG478" s="507">
        <f t="shared" si="210"/>
        <v>0</v>
      </c>
      <c r="AH478" s="508">
        <f t="shared" si="211"/>
        <v>0</v>
      </c>
      <c r="AI478" s="508">
        <f t="shared" si="212"/>
        <v>0</v>
      </c>
      <c r="AJ478" s="516"/>
      <c r="AK478" s="519"/>
      <c r="AL478" s="506">
        <f t="shared" si="213"/>
        <v>0</v>
      </c>
      <c r="AM478" s="509">
        <f t="shared" si="214"/>
        <v>0</v>
      </c>
      <c r="AN478" s="518"/>
      <c r="AO478" s="520"/>
      <c r="AP478" s="516"/>
      <c r="AQ478" s="767"/>
      <c r="AR478" s="516"/>
      <c r="AS478" s="520"/>
      <c r="AT478" s="516"/>
      <c r="AU478" s="767"/>
      <c r="AV478" s="506">
        <f t="shared" si="215"/>
        <v>0</v>
      </c>
      <c r="AW478" s="511">
        <f t="shared" si="216"/>
        <v>0</v>
      </c>
      <c r="AX478" s="508">
        <f t="shared" si="217"/>
        <v>0</v>
      </c>
      <c r="AY478" s="512">
        <f t="shared" si="218"/>
        <v>0</v>
      </c>
      <c r="AZ478" s="513">
        <f t="shared" si="219"/>
        <v>5913.0666666666666</v>
      </c>
      <c r="BA478" s="508">
        <f t="shared" si="220"/>
        <v>5491.9666666666662</v>
      </c>
    </row>
    <row r="479" spans="1:53">
      <c r="A479" s="674" t="s">
        <v>652</v>
      </c>
      <c r="B479" s="675" t="s">
        <v>667</v>
      </c>
      <c r="C479" s="688"/>
      <c r="D479" s="689">
        <v>219879</v>
      </c>
      <c r="E479" s="690">
        <v>9</v>
      </c>
      <c r="F479" s="514" t="s">
        <v>41</v>
      </c>
      <c r="G479" s="515"/>
      <c r="H479" s="516"/>
      <c r="I479" s="519"/>
      <c r="J479" s="516">
        <v>35853</v>
      </c>
      <c r="K479" s="680">
        <v>33841</v>
      </c>
      <c r="L479" s="516">
        <v>6569</v>
      </c>
      <c r="M479" s="680">
        <v>5742</v>
      </c>
      <c r="N479" s="516">
        <v>39251</v>
      </c>
      <c r="O479" s="680">
        <v>37234</v>
      </c>
      <c r="P479" s="506">
        <f t="shared" si="203"/>
        <v>81673</v>
      </c>
      <c r="Q479" s="507">
        <f t="shared" si="204"/>
        <v>2722.4333333333334</v>
      </c>
      <c r="R479" s="508">
        <f t="shared" si="205"/>
        <v>76817</v>
      </c>
      <c r="S479" s="509">
        <f t="shared" si="206"/>
        <v>2560.5666666666666</v>
      </c>
      <c r="T479" s="516">
        <v>3694</v>
      </c>
      <c r="U479" s="681">
        <v>3886</v>
      </c>
      <c r="V479" s="506">
        <f t="shared" si="207"/>
        <v>81673</v>
      </c>
      <c r="W479" s="510">
        <f t="shared" si="208"/>
        <v>76817</v>
      </c>
      <c r="X479" s="517"/>
      <c r="Y479" s="519"/>
      <c r="Z479" s="516"/>
      <c r="AA479" s="519"/>
      <c r="AB479" s="516"/>
      <c r="AC479" s="519"/>
      <c r="AD479" s="751"/>
      <c r="AE479" s="618"/>
      <c r="AF479" s="506">
        <f t="shared" si="209"/>
        <v>0</v>
      </c>
      <c r="AG479" s="507">
        <f t="shared" si="210"/>
        <v>0</v>
      </c>
      <c r="AH479" s="508">
        <f t="shared" si="211"/>
        <v>0</v>
      </c>
      <c r="AI479" s="508">
        <f t="shared" si="212"/>
        <v>0</v>
      </c>
      <c r="AJ479" s="516"/>
      <c r="AK479" s="519"/>
      <c r="AL479" s="506">
        <f t="shared" si="213"/>
        <v>0</v>
      </c>
      <c r="AM479" s="509">
        <f t="shared" si="214"/>
        <v>0</v>
      </c>
      <c r="AN479" s="518"/>
      <c r="AO479" s="520"/>
      <c r="AP479" s="516"/>
      <c r="AQ479" s="520"/>
      <c r="AR479" s="516"/>
      <c r="AS479" s="520"/>
      <c r="AT479" s="516"/>
      <c r="AU479" s="520"/>
      <c r="AV479" s="506">
        <f t="shared" si="215"/>
        <v>0</v>
      </c>
      <c r="AW479" s="511">
        <f t="shared" si="216"/>
        <v>0</v>
      </c>
      <c r="AX479" s="508">
        <f t="shared" si="217"/>
        <v>0</v>
      </c>
      <c r="AY479" s="512">
        <f t="shared" si="218"/>
        <v>0</v>
      </c>
      <c r="AZ479" s="513">
        <f t="shared" si="219"/>
        <v>2722.4333333333334</v>
      </c>
      <c r="BA479" s="508">
        <f t="shared" si="220"/>
        <v>2560.5666666666666</v>
      </c>
    </row>
    <row r="480" spans="1:53">
      <c r="A480" s="674" t="s">
        <v>652</v>
      </c>
      <c r="B480" s="675" t="s">
        <v>668</v>
      </c>
      <c r="C480" s="688"/>
      <c r="D480" s="689">
        <v>219888</v>
      </c>
      <c r="E480" s="690">
        <v>9</v>
      </c>
      <c r="F480" s="514" t="s">
        <v>41</v>
      </c>
      <c r="G480" s="515"/>
      <c r="H480" s="516"/>
      <c r="I480" s="519"/>
      <c r="J480" s="516">
        <v>49503</v>
      </c>
      <c r="K480" s="680">
        <v>46049</v>
      </c>
      <c r="L480" s="516">
        <v>10063</v>
      </c>
      <c r="M480" s="519">
        <v>9491</v>
      </c>
      <c r="N480" s="516">
        <v>51259</v>
      </c>
      <c r="O480" s="680">
        <v>50221</v>
      </c>
      <c r="P480" s="506">
        <f t="shared" si="203"/>
        <v>110825</v>
      </c>
      <c r="Q480" s="507">
        <f t="shared" si="204"/>
        <v>3694.1666666666665</v>
      </c>
      <c r="R480" s="508">
        <f t="shared" si="205"/>
        <v>105761</v>
      </c>
      <c r="S480" s="509">
        <f t="shared" si="206"/>
        <v>3525.3666666666668</v>
      </c>
      <c r="T480" s="516">
        <v>4299</v>
      </c>
      <c r="U480" s="681">
        <v>4890</v>
      </c>
      <c r="V480" s="506">
        <f t="shared" si="207"/>
        <v>110825</v>
      </c>
      <c r="W480" s="510">
        <f t="shared" si="208"/>
        <v>105761</v>
      </c>
      <c r="X480" s="517"/>
      <c r="Y480" s="519"/>
      <c r="Z480" s="516"/>
      <c r="AA480" s="519"/>
      <c r="AB480" s="516"/>
      <c r="AC480" s="519"/>
      <c r="AD480" s="751"/>
      <c r="AE480" s="618"/>
      <c r="AF480" s="506">
        <f t="shared" si="209"/>
        <v>0</v>
      </c>
      <c r="AG480" s="507">
        <f t="shared" si="210"/>
        <v>0</v>
      </c>
      <c r="AH480" s="508">
        <f t="shared" si="211"/>
        <v>0</v>
      </c>
      <c r="AI480" s="508">
        <f t="shared" si="212"/>
        <v>0</v>
      </c>
      <c r="AJ480" s="516"/>
      <c r="AK480" s="519"/>
      <c r="AL480" s="506">
        <f t="shared" si="213"/>
        <v>0</v>
      </c>
      <c r="AM480" s="509">
        <f t="shared" si="214"/>
        <v>0</v>
      </c>
      <c r="AN480" s="518"/>
      <c r="AO480" s="520"/>
      <c r="AP480" s="516"/>
      <c r="AQ480" s="520"/>
      <c r="AR480" s="516"/>
      <c r="AS480" s="520"/>
      <c r="AT480" s="516"/>
      <c r="AU480" s="520"/>
      <c r="AV480" s="506">
        <f t="shared" si="215"/>
        <v>0</v>
      </c>
      <c r="AW480" s="511">
        <f t="shared" si="216"/>
        <v>0</v>
      </c>
      <c r="AX480" s="508">
        <f t="shared" si="217"/>
        <v>0</v>
      </c>
      <c r="AY480" s="512">
        <f t="shared" si="218"/>
        <v>0</v>
      </c>
      <c r="AZ480" s="513">
        <f t="shared" si="219"/>
        <v>3694.1666666666665</v>
      </c>
      <c r="BA480" s="508">
        <f t="shared" si="220"/>
        <v>3525.3666666666668</v>
      </c>
    </row>
    <row r="481" spans="1:53">
      <c r="A481" s="674" t="s">
        <v>652</v>
      </c>
      <c r="B481" s="677" t="s">
        <v>669</v>
      </c>
      <c r="C481" s="682"/>
      <c r="D481" s="689">
        <v>220057</v>
      </c>
      <c r="E481" s="687">
        <v>9</v>
      </c>
      <c r="F481" s="514" t="s">
        <v>41</v>
      </c>
      <c r="G481" s="515"/>
      <c r="H481" s="516"/>
      <c r="I481" s="519"/>
      <c r="J481" s="516">
        <v>32038</v>
      </c>
      <c r="K481" s="680">
        <v>30823</v>
      </c>
      <c r="L481" s="516">
        <v>4254</v>
      </c>
      <c r="M481" s="680">
        <v>4226</v>
      </c>
      <c r="N481" s="516">
        <v>35004</v>
      </c>
      <c r="O481" s="680">
        <v>33257</v>
      </c>
      <c r="P481" s="506">
        <f t="shared" ref="P481:P544" si="221">SUM(H481,J481,L481,N481)</f>
        <v>71296</v>
      </c>
      <c r="Q481" s="507">
        <f t="shared" ref="Q481:Q544" si="222">+P481/30</f>
        <v>2376.5333333333333</v>
      </c>
      <c r="R481" s="508">
        <f t="shared" ref="R481:R544" si="223">SUM(I481,K481,M481,O481)</f>
        <v>68306</v>
      </c>
      <c r="S481" s="509">
        <f t="shared" ref="S481:S544" si="224">+R481/30</f>
        <v>2276.8666666666668</v>
      </c>
      <c r="T481" s="516">
        <v>6900</v>
      </c>
      <c r="U481" s="681">
        <v>6665</v>
      </c>
      <c r="V481" s="506">
        <f t="shared" ref="V481:V544" si="225">IF(ISBLANK(T481),0,P481)</f>
        <v>71296</v>
      </c>
      <c r="W481" s="510">
        <f t="shared" ref="W481:W544" si="226">IF(ISBLANK(U481),0,R481)</f>
        <v>68306</v>
      </c>
      <c r="X481" s="517"/>
      <c r="Y481" s="519"/>
      <c r="Z481" s="516"/>
      <c r="AA481" s="519"/>
      <c r="AB481" s="516"/>
      <c r="AC481" s="519"/>
      <c r="AD481" s="751"/>
      <c r="AE481" s="618"/>
      <c r="AF481" s="506">
        <f t="shared" ref="AF481:AF544" si="227">SUM(X481,Z481,AB481,AD481)</f>
        <v>0</v>
      </c>
      <c r="AG481" s="507">
        <f t="shared" ref="AG481:AG544" si="228">+AF481/900</f>
        <v>0</v>
      </c>
      <c r="AH481" s="508">
        <f t="shared" ref="AH481:AH544" si="229">SUM(Y481,AA481,AC481,AE481)</f>
        <v>0</v>
      </c>
      <c r="AI481" s="508">
        <f t="shared" ref="AI481:AI544" si="230">+AH481/900</f>
        <v>0</v>
      </c>
      <c r="AJ481" s="516"/>
      <c r="AK481" s="519"/>
      <c r="AL481" s="506">
        <f t="shared" ref="AL481:AL544" si="231">IF(ISBLANK(AJ481),0,AF481)</f>
        <v>0</v>
      </c>
      <c r="AM481" s="509">
        <f t="shared" ref="AM481:AM544" si="232">IF(ISBLANK(AK481),0,AH481)</f>
        <v>0</v>
      </c>
      <c r="AN481" s="518"/>
      <c r="AO481" s="520"/>
      <c r="AP481" s="516"/>
      <c r="AQ481" s="520"/>
      <c r="AR481" s="516"/>
      <c r="AS481" s="520"/>
      <c r="AT481" s="516"/>
      <c r="AU481" s="520"/>
      <c r="AV481" s="506">
        <f t="shared" ref="AV481:AV544" si="233">SUM(AN481,AP481,AR481,AT481)</f>
        <v>0</v>
      </c>
      <c r="AW481" s="511">
        <f t="shared" ref="AW481:AW544" si="234">+AV481/24</f>
        <v>0</v>
      </c>
      <c r="AX481" s="508">
        <f t="shared" ref="AX481:AX544" si="235">SUM(AO481,AQ481,AS481,AU481)</f>
        <v>0</v>
      </c>
      <c r="AY481" s="512">
        <f t="shared" ref="AY481:AY544" si="236">+AX481/24</f>
        <v>0</v>
      </c>
      <c r="AZ481" s="513">
        <f t="shared" ref="AZ481:AZ544" si="237">SUM(Q481,AG481,AW481)</f>
        <v>2376.5333333333333</v>
      </c>
      <c r="BA481" s="508">
        <f t="shared" ref="BA481:BA544" si="238">SUM(S481,AI481,AY481)</f>
        <v>2276.8666666666668</v>
      </c>
    </row>
    <row r="482" spans="1:53">
      <c r="A482" s="674" t="s">
        <v>652</v>
      </c>
      <c r="B482" s="675" t="s">
        <v>670</v>
      </c>
      <c r="C482" s="688"/>
      <c r="D482" s="689">
        <v>220400</v>
      </c>
      <c r="E482" s="690">
        <v>9</v>
      </c>
      <c r="F482" s="514" t="s">
        <v>41</v>
      </c>
      <c r="G482" s="515"/>
      <c r="H482" s="516"/>
      <c r="I482" s="519"/>
      <c r="J482" s="516">
        <v>46043</v>
      </c>
      <c r="K482" s="680">
        <v>42087</v>
      </c>
      <c r="L482" s="516">
        <v>10492</v>
      </c>
      <c r="M482" s="680">
        <v>8448</v>
      </c>
      <c r="N482" s="516">
        <v>48893</v>
      </c>
      <c r="O482" s="680">
        <v>42708</v>
      </c>
      <c r="P482" s="506">
        <f t="shared" si="221"/>
        <v>105428</v>
      </c>
      <c r="Q482" s="507">
        <f t="shared" si="222"/>
        <v>3514.2666666666669</v>
      </c>
      <c r="R482" s="508">
        <f t="shared" si="223"/>
        <v>93243</v>
      </c>
      <c r="S482" s="509">
        <f t="shared" si="224"/>
        <v>3108.1</v>
      </c>
      <c r="T482" s="516">
        <v>4920</v>
      </c>
      <c r="U482" s="681">
        <v>4424</v>
      </c>
      <c r="V482" s="506">
        <f t="shared" si="225"/>
        <v>105428</v>
      </c>
      <c r="W482" s="510">
        <f t="shared" si="226"/>
        <v>93243</v>
      </c>
      <c r="X482" s="517"/>
      <c r="Y482" s="519"/>
      <c r="Z482" s="516"/>
      <c r="AA482" s="519"/>
      <c r="AB482" s="516"/>
      <c r="AC482" s="519"/>
      <c r="AD482" s="751"/>
      <c r="AE482" s="618"/>
      <c r="AF482" s="506">
        <f t="shared" si="227"/>
        <v>0</v>
      </c>
      <c r="AG482" s="507">
        <f t="shared" si="228"/>
        <v>0</v>
      </c>
      <c r="AH482" s="508">
        <f t="shared" si="229"/>
        <v>0</v>
      </c>
      <c r="AI482" s="508">
        <f t="shared" si="230"/>
        <v>0</v>
      </c>
      <c r="AJ482" s="516"/>
      <c r="AK482" s="519"/>
      <c r="AL482" s="506">
        <f t="shared" si="231"/>
        <v>0</v>
      </c>
      <c r="AM482" s="509">
        <f t="shared" si="232"/>
        <v>0</v>
      </c>
      <c r="AN482" s="518"/>
      <c r="AO482" s="520"/>
      <c r="AP482" s="516"/>
      <c r="AQ482" s="520"/>
      <c r="AR482" s="516"/>
      <c r="AS482" s="520"/>
      <c r="AT482" s="516"/>
      <c r="AU482" s="520"/>
      <c r="AV482" s="506">
        <f t="shared" si="233"/>
        <v>0</v>
      </c>
      <c r="AW482" s="511">
        <f t="shared" si="234"/>
        <v>0</v>
      </c>
      <c r="AX482" s="508">
        <f t="shared" si="235"/>
        <v>0</v>
      </c>
      <c r="AY482" s="512">
        <f t="shared" si="236"/>
        <v>0</v>
      </c>
      <c r="AZ482" s="513">
        <f t="shared" si="237"/>
        <v>3514.2666666666669</v>
      </c>
      <c r="BA482" s="508">
        <f t="shared" si="238"/>
        <v>3108.1</v>
      </c>
    </row>
    <row r="483" spans="1:53">
      <c r="A483" s="674" t="s">
        <v>652</v>
      </c>
      <c r="B483" s="675" t="s">
        <v>671</v>
      </c>
      <c r="C483" s="688"/>
      <c r="D483" s="689">
        <v>221096</v>
      </c>
      <c r="E483" s="690">
        <v>9</v>
      </c>
      <c r="F483" s="514" t="s">
        <v>41</v>
      </c>
      <c r="G483" s="515"/>
      <c r="H483" s="516"/>
      <c r="I483" s="519"/>
      <c r="J483" s="516">
        <v>44700</v>
      </c>
      <c r="K483" s="680">
        <v>42418</v>
      </c>
      <c r="L483" s="516">
        <v>8939</v>
      </c>
      <c r="M483" s="680">
        <v>8091</v>
      </c>
      <c r="N483" s="516">
        <v>46034</v>
      </c>
      <c r="O483" s="680">
        <v>43877</v>
      </c>
      <c r="P483" s="506">
        <f t="shared" si="221"/>
        <v>99673</v>
      </c>
      <c r="Q483" s="507">
        <f t="shared" si="222"/>
        <v>3322.4333333333334</v>
      </c>
      <c r="R483" s="508">
        <f t="shared" si="223"/>
        <v>94386</v>
      </c>
      <c r="S483" s="509">
        <f t="shared" si="224"/>
        <v>3146.2</v>
      </c>
      <c r="T483" s="516">
        <v>5207</v>
      </c>
      <c r="U483" s="681">
        <v>5608</v>
      </c>
      <c r="V483" s="506">
        <f t="shared" si="225"/>
        <v>99673</v>
      </c>
      <c r="W483" s="510">
        <f t="shared" si="226"/>
        <v>94386</v>
      </c>
      <c r="X483" s="517"/>
      <c r="Y483" s="519"/>
      <c r="Z483" s="516"/>
      <c r="AA483" s="519"/>
      <c r="AB483" s="516"/>
      <c r="AC483" s="519"/>
      <c r="AD483" s="751"/>
      <c r="AE483" s="618"/>
      <c r="AF483" s="506">
        <f t="shared" si="227"/>
        <v>0</v>
      </c>
      <c r="AG483" s="507">
        <f t="shared" si="228"/>
        <v>0</v>
      </c>
      <c r="AH483" s="508">
        <f t="shared" si="229"/>
        <v>0</v>
      </c>
      <c r="AI483" s="508">
        <f t="shared" si="230"/>
        <v>0</v>
      </c>
      <c r="AJ483" s="516"/>
      <c r="AK483" s="519"/>
      <c r="AL483" s="506">
        <f t="shared" si="231"/>
        <v>0</v>
      </c>
      <c r="AM483" s="509">
        <f t="shared" si="232"/>
        <v>0</v>
      </c>
      <c r="AN483" s="518"/>
      <c r="AO483" s="520"/>
      <c r="AP483" s="516"/>
      <c r="AQ483" s="520"/>
      <c r="AR483" s="516"/>
      <c r="AS483" s="520"/>
      <c r="AT483" s="516"/>
      <c r="AU483" s="520"/>
      <c r="AV483" s="506">
        <f t="shared" si="233"/>
        <v>0</v>
      </c>
      <c r="AW483" s="511">
        <f t="shared" si="234"/>
        <v>0</v>
      </c>
      <c r="AX483" s="508">
        <f t="shared" si="235"/>
        <v>0</v>
      </c>
      <c r="AY483" s="512">
        <f t="shared" si="236"/>
        <v>0</v>
      </c>
      <c r="AZ483" s="513">
        <f t="shared" si="237"/>
        <v>3322.4333333333334</v>
      </c>
      <c r="BA483" s="508">
        <f t="shared" si="238"/>
        <v>3146.2</v>
      </c>
    </row>
    <row r="484" spans="1:53">
      <c r="A484" s="674" t="s">
        <v>652</v>
      </c>
      <c r="B484" s="675" t="s">
        <v>672</v>
      </c>
      <c r="C484" s="688"/>
      <c r="D484" s="689">
        <v>221908</v>
      </c>
      <c r="E484" s="690">
        <v>9</v>
      </c>
      <c r="F484" s="514" t="s">
        <v>41</v>
      </c>
      <c r="G484" s="515"/>
      <c r="H484" s="516"/>
      <c r="I484" s="519"/>
      <c r="J484" s="516">
        <v>64441</v>
      </c>
      <c r="K484" s="680">
        <v>60770</v>
      </c>
      <c r="L484" s="516">
        <v>13266</v>
      </c>
      <c r="M484" s="680">
        <v>11624</v>
      </c>
      <c r="N484" s="516">
        <v>66339</v>
      </c>
      <c r="O484" s="680">
        <v>64335</v>
      </c>
      <c r="P484" s="506">
        <f t="shared" si="221"/>
        <v>144046</v>
      </c>
      <c r="Q484" s="507">
        <f t="shared" si="222"/>
        <v>4801.5333333333338</v>
      </c>
      <c r="R484" s="508">
        <f t="shared" si="223"/>
        <v>136729</v>
      </c>
      <c r="S484" s="509">
        <f t="shared" si="224"/>
        <v>4557.6333333333332</v>
      </c>
      <c r="T484" s="516">
        <v>4114</v>
      </c>
      <c r="U484" s="681">
        <v>5712</v>
      </c>
      <c r="V484" s="506">
        <f t="shared" si="225"/>
        <v>144046</v>
      </c>
      <c r="W484" s="510">
        <f t="shared" si="226"/>
        <v>136729</v>
      </c>
      <c r="X484" s="517"/>
      <c r="Y484" s="519"/>
      <c r="Z484" s="516"/>
      <c r="AA484" s="519"/>
      <c r="AB484" s="516"/>
      <c r="AC484" s="519"/>
      <c r="AD484" s="751"/>
      <c r="AE484" s="618"/>
      <c r="AF484" s="506">
        <f t="shared" si="227"/>
        <v>0</v>
      </c>
      <c r="AG484" s="507">
        <f t="shared" si="228"/>
        <v>0</v>
      </c>
      <c r="AH484" s="508">
        <f t="shared" si="229"/>
        <v>0</v>
      </c>
      <c r="AI484" s="508">
        <f t="shared" si="230"/>
        <v>0</v>
      </c>
      <c r="AJ484" s="516"/>
      <c r="AK484" s="519"/>
      <c r="AL484" s="506">
        <f t="shared" si="231"/>
        <v>0</v>
      </c>
      <c r="AM484" s="509">
        <f t="shared" si="232"/>
        <v>0</v>
      </c>
      <c r="AN484" s="518"/>
      <c r="AO484" s="520"/>
      <c r="AP484" s="516"/>
      <c r="AQ484" s="520"/>
      <c r="AR484" s="516"/>
      <c r="AS484" s="520"/>
      <c r="AT484" s="516"/>
      <c r="AU484" s="520"/>
      <c r="AV484" s="506">
        <f t="shared" si="233"/>
        <v>0</v>
      </c>
      <c r="AW484" s="511">
        <f t="shared" si="234"/>
        <v>0</v>
      </c>
      <c r="AX484" s="508">
        <f t="shared" si="235"/>
        <v>0</v>
      </c>
      <c r="AY484" s="512">
        <f t="shared" si="236"/>
        <v>0</v>
      </c>
      <c r="AZ484" s="513">
        <f t="shared" si="237"/>
        <v>4801.5333333333338</v>
      </c>
      <c r="BA484" s="508">
        <f t="shared" si="238"/>
        <v>4557.6333333333332</v>
      </c>
    </row>
    <row r="485" spans="1:53">
      <c r="A485" s="708" t="s">
        <v>652</v>
      </c>
      <c r="B485" s="675" t="s">
        <v>673</v>
      </c>
      <c r="C485" s="688"/>
      <c r="D485" s="689">
        <v>221397</v>
      </c>
      <c r="E485" s="690">
        <v>9</v>
      </c>
      <c r="F485" s="514" t="s">
        <v>41</v>
      </c>
      <c r="G485" s="515"/>
      <c r="H485" s="516"/>
      <c r="I485" s="519"/>
      <c r="J485" s="516">
        <v>63123</v>
      </c>
      <c r="K485" s="680">
        <v>59056</v>
      </c>
      <c r="L485" s="516">
        <v>9542</v>
      </c>
      <c r="M485" s="680">
        <v>9156</v>
      </c>
      <c r="N485" s="516">
        <v>63077</v>
      </c>
      <c r="O485" s="680">
        <v>62292</v>
      </c>
      <c r="P485" s="506">
        <f t="shared" si="221"/>
        <v>135742</v>
      </c>
      <c r="Q485" s="507">
        <f t="shared" si="222"/>
        <v>4524.7333333333336</v>
      </c>
      <c r="R485" s="508">
        <f t="shared" si="223"/>
        <v>130504</v>
      </c>
      <c r="S485" s="509">
        <f t="shared" si="224"/>
        <v>4350.1333333333332</v>
      </c>
      <c r="T485" s="516">
        <v>8615</v>
      </c>
      <c r="U485" s="681">
        <v>8830</v>
      </c>
      <c r="V485" s="506">
        <f t="shared" si="225"/>
        <v>135742</v>
      </c>
      <c r="W485" s="510">
        <f t="shared" si="226"/>
        <v>130504</v>
      </c>
      <c r="X485" s="517"/>
      <c r="Y485" s="519"/>
      <c r="Z485" s="516"/>
      <c r="AA485" s="519"/>
      <c r="AB485" s="516"/>
      <c r="AC485" s="519"/>
      <c r="AD485" s="516"/>
      <c r="AE485" s="519"/>
      <c r="AF485" s="506">
        <f t="shared" si="227"/>
        <v>0</v>
      </c>
      <c r="AG485" s="507">
        <f t="shared" si="228"/>
        <v>0</v>
      </c>
      <c r="AH485" s="508">
        <f t="shared" si="229"/>
        <v>0</v>
      </c>
      <c r="AI485" s="508">
        <f t="shared" si="230"/>
        <v>0</v>
      </c>
      <c r="AJ485" s="516"/>
      <c r="AK485" s="519"/>
      <c r="AL485" s="506">
        <f t="shared" si="231"/>
        <v>0</v>
      </c>
      <c r="AM485" s="509">
        <f t="shared" si="232"/>
        <v>0</v>
      </c>
      <c r="AN485" s="518"/>
      <c r="AO485" s="520"/>
      <c r="AP485" s="516"/>
      <c r="AQ485" s="520"/>
      <c r="AR485" s="516"/>
      <c r="AS485" s="520"/>
      <c r="AT485" s="516"/>
      <c r="AU485" s="520"/>
      <c r="AV485" s="506">
        <f t="shared" si="233"/>
        <v>0</v>
      </c>
      <c r="AW485" s="511">
        <f t="shared" si="234"/>
        <v>0</v>
      </c>
      <c r="AX485" s="508">
        <f t="shared" si="235"/>
        <v>0</v>
      </c>
      <c r="AY485" s="512">
        <f t="shared" si="236"/>
        <v>0</v>
      </c>
      <c r="AZ485" s="513">
        <f t="shared" si="237"/>
        <v>4524.7333333333336</v>
      </c>
      <c r="BA485" s="508">
        <f t="shared" si="238"/>
        <v>4350.1333333333332</v>
      </c>
    </row>
    <row r="486" spans="1:53">
      <c r="A486" s="708" t="s">
        <v>652</v>
      </c>
      <c r="B486" s="675" t="s">
        <v>674</v>
      </c>
      <c r="C486" s="685"/>
      <c r="D486" s="689">
        <v>222062</v>
      </c>
      <c r="E486" s="690">
        <v>9</v>
      </c>
      <c r="F486" s="514" t="s">
        <v>41</v>
      </c>
      <c r="G486" s="515"/>
      <c r="H486" s="516"/>
      <c r="I486" s="519"/>
      <c r="J486" s="516">
        <v>65479</v>
      </c>
      <c r="K486" s="680">
        <v>60228</v>
      </c>
      <c r="L486" s="516">
        <v>10622</v>
      </c>
      <c r="M486" s="680">
        <v>7839</v>
      </c>
      <c r="N486" s="516">
        <v>68930</v>
      </c>
      <c r="O486" s="680">
        <v>66380</v>
      </c>
      <c r="P486" s="506">
        <f t="shared" si="221"/>
        <v>145031</v>
      </c>
      <c r="Q486" s="507">
        <f t="shared" si="222"/>
        <v>4834.3666666666668</v>
      </c>
      <c r="R486" s="508">
        <f t="shared" si="223"/>
        <v>134447</v>
      </c>
      <c r="S486" s="509">
        <f t="shared" si="224"/>
        <v>4481.5666666666666</v>
      </c>
      <c r="T486" s="516">
        <v>7563</v>
      </c>
      <c r="U486" s="681">
        <v>9115</v>
      </c>
      <c r="V486" s="506">
        <f t="shared" si="225"/>
        <v>145031</v>
      </c>
      <c r="W486" s="510">
        <f t="shared" si="226"/>
        <v>134447</v>
      </c>
      <c r="X486" s="517"/>
      <c r="Y486" s="519"/>
      <c r="Z486" s="516"/>
      <c r="AA486" s="519"/>
      <c r="AB486" s="516"/>
      <c r="AC486" s="519"/>
      <c r="AD486" s="516"/>
      <c r="AE486" s="519"/>
      <c r="AF486" s="506">
        <f t="shared" si="227"/>
        <v>0</v>
      </c>
      <c r="AG486" s="507">
        <f t="shared" si="228"/>
        <v>0</v>
      </c>
      <c r="AH486" s="508">
        <f t="shared" si="229"/>
        <v>0</v>
      </c>
      <c r="AI486" s="508">
        <f t="shared" si="230"/>
        <v>0</v>
      </c>
      <c r="AJ486" s="516"/>
      <c r="AK486" s="519"/>
      <c r="AL486" s="506">
        <f t="shared" si="231"/>
        <v>0</v>
      </c>
      <c r="AM486" s="509">
        <f t="shared" si="232"/>
        <v>0</v>
      </c>
      <c r="AN486" s="518"/>
      <c r="AO486" s="520"/>
      <c r="AP486" s="516"/>
      <c r="AQ486" s="520"/>
      <c r="AR486" s="516"/>
      <c r="AS486" s="520"/>
      <c r="AT486" s="516"/>
      <c r="AU486" s="520"/>
      <c r="AV486" s="506">
        <f t="shared" si="233"/>
        <v>0</v>
      </c>
      <c r="AW486" s="511">
        <f t="shared" si="234"/>
        <v>0</v>
      </c>
      <c r="AX486" s="508">
        <f t="shared" si="235"/>
        <v>0</v>
      </c>
      <c r="AY486" s="512">
        <f t="shared" si="236"/>
        <v>0</v>
      </c>
      <c r="AZ486" s="513">
        <f t="shared" si="237"/>
        <v>4834.3666666666668</v>
      </c>
      <c r="BA486" s="508">
        <f t="shared" si="238"/>
        <v>4481.5666666666666</v>
      </c>
    </row>
    <row r="487" spans="1:53">
      <c r="A487" s="708" t="s">
        <v>652</v>
      </c>
      <c r="B487" s="677" t="s">
        <v>676</v>
      </c>
      <c r="C487" s="682" t="s">
        <v>703</v>
      </c>
      <c r="D487" s="689" t="s">
        <v>677</v>
      </c>
      <c r="E487" s="691">
        <v>12</v>
      </c>
      <c r="F487" s="514" t="s">
        <v>41</v>
      </c>
      <c r="G487" s="515"/>
      <c r="H487" s="516"/>
      <c r="I487" s="519"/>
      <c r="J487" s="516"/>
      <c r="K487" s="519"/>
      <c r="L487" s="516"/>
      <c r="M487" s="519"/>
      <c r="N487" s="516"/>
      <c r="O487" s="519"/>
      <c r="P487" s="506">
        <f t="shared" si="221"/>
        <v>0</v>
      </c>
      <c r="Q487" s="507">
        <f t="shared" si="222"/>
        <v>0</v>
      </c>
      <c r="R487" s="508">
        <f t="shared" si="223"/>
        <v>0</v>
      </c>
      <c r="S487" s="509">
        <f t="shared" si="224"/>
        <v>0</v>
      </c>
      <c r="T487" s="516"/>
      <c r="U487" s="519"/>
      <c r="V487" s="506">
        <f t="shared" si="225"/>
        <v>0</v>
      </c>
      <c r="W487" s="510">
        <f t="shared" si="226"/>
        <v>0</v>
      </c>
      <c r="X487" s="517"/>
      <c r="Y487" s="519"/>
      <c r="Z487" s="516">
        <v>356303</v>
      </c>
      <c r="AA487" s="683">
        <v>364757</v>
      </c>
      <c r="AB487" s="516">
        <v>234404</v>
      </c>
      <c r="AC487" s="684">
        <v>219520</v>
      </c>
      <c r="AD487" s="758">
        <v>374364</v>
      </c>
      <c r="AE487" s="759">
        <v>353100</v>
      </c>
      <c r="AF487" s="506">
        <f t="shared" si="227"/>
        <v>965071</v>
      </c>
      <c r="AG487" s="507">
        <f t="shared" si="228"/>
        <v>1072.3011111111111</v>
      </c>
      <c r="AH487" s="508">
        <f t="shared" si="229"/>
        <v>937377</v>
      </c>
      <c r="AI487" s="508">
        <f t="shared" si="230"/>
        <v>1041.53</v>
      </c>
      <c r="AJ487" s="516"/>
      <c r="AK487" s="519"/>
      <c r="AL487" s="506">
        <f t="shared" si="231"/>
        <v>0</v>
      </c>
      <c r="AM487" s="509">
        <f t="shared" si="232"/>
        <v>0</v>
      </c>
      <c r="AN487" s="518"/>
      <c r="AO487" s="520"/>
      <c r="AP487" s="516"/>
      <c r="AQ487" s="520"/>
      <c r="AR487" s="516"/>
      <c r="AS487" s="520"/>
      <c r="AT487" s="516"/>
      <c r="AU487" s="520"/>
      <c r="AV487" s="506">
        <f t="shared" si="233"/>
        <v>0</v>
      </c>
      <c r="AW487" s="511">
        <f t="shared" si="234"/>
        <v>0</v>
      </c>
      <c r="AX487" s="508">
        <f t="shared" si="235"/>
        <v>0</v>
      </c>
      <c r="AY487" s="512">
        <f t="shared" si="236"/>
        <v>0</v>
      </c>
      <c r="AZ487" s="513">
        <f t="shared" si="237"/>
        <v>1072.3011111111111</v>
      </c>
      <c r="BA487" s="508">
        <f t="shared" si="238"/>
        <v>1041.53</v>
      </c>
    </row>
    <row r="488" spans="1:53">
      <c r="A488" s="708" t="s">
        <v>652</v>
      </c>
      <c r="B488" s="675" t="s">
        <v>675</v>
      </c>
      <c r="C488" s="688"/>
      <c r="D488" s="689">
        <v>219596</v>
      </c>
      <c r="E488" s="690">
        <v>13</v>
      </c>
      <c r="F488" s="514" t="s">
        <v>41</v>
      </c>
      <c r="G488" s="515"/>
      <c r="H488" s="516"/>
      <c r="I488" s="519"/>
      <c r="J488" s="516"/>
      <c r="K488" s="519"/>
      <c r="L488" s="516"/>
      <c r="M488" s="519"/>
      <c r="N488" s="516"/>
      <c r="O488" s="519"/>
      <c r="P488" s="506">
        <f t="shared" si="221"/>
        <v>0</v>
      </c>
      <c r="Q488" s="507">
        <f t="shared" si="222"/>
        <v>0</v>
      </c>
      <c r="R488" s="508">
        <f t="shared" si="223"/>
        <v>0</v>
      </c>
      <c r="S488" s="509">
        <f t="shared" si="224"/>
        <v>0</v>
      </c>
      <c r="T488" s="516"/>
      <c r="U488" s="519"/>
      <c r="V488" s="506">
        <f t="shared" si="225"/>
        <v>0</v>
      </c>
      <c r="W488" s="510">
        <f t="shared" si="226"/>
        <v>0</v>
      </c>
      <c r="X488" s="517"/>
      <c r="Y488" s="519"/>
      <c r="Z488" s="516">
        <v>77484</v>
      </c>
      <c r="AA488" s="683">
        <v>72045</v>
      </c>
      <c r="AB488" s="516">
        <v>67456</v>
      </c>
      <c r="AC488" s="684">
        <v>73033</v>
      </c>
      <c r="AD488" s="758">
        <v>74277</v>
      </c>
      <c r="AE488" s="759">
        <v>66625</v>
      </c>
      <c r="AF488" s="506">
        <f t="shared" si="227"/>
        <v>219217</v>
      </c>
      <c r="AG488" s="507">
        <f t="shared" si="228"/>
        <v>243.57444444444445</v>
      </c>
      <c r="AH488" s="508">
        <f t="shared" si="229"/>
        <v>211703</v>
      </c>
      <c r="AI488" s="508">
        <f t="shared" si="230"/>
        <v>235.22555555555556</v>
      </c>
      <c r="AJ488" s="516"/>
      <c r="AK488" s="519"/>
      <c r="AL488" s="506">
        <f t="shared" si="231"/>
        <v>0</v>
      </c>
      <c r="AM488" s="509">
        <f t="shared" si="232"/>
        <v>0</v>
      </c>
      <c r="AN488" s="518"/>
      <c r="AO488" s="520"/>
      <c r="AP488" s="516"/>
      <c r="AQ488" s="520"/>
      <c r="AR488" s="516"/>
      <c r="AS488" s="520"/>
      <c r="AT488" s="516"/>
      <c r="AU488" s="520"/>
      <c r="AV488" s="506">
        <f t="shared" si="233"/>
        <v>0</v>
      </c>
      <c r="AW488" s="511">
        <f t="shared" si="234"/>
        <v>0</v>
      </c>
      <c r="AX488" s="508">
        <f t="shared" si="235"/>
        <v>0</v>
      </c>
      <c r="AY488" s="512">
        <f t="shared" si="236"/>
        <v>0</v>
      </c>
      <c r="AZ488" s="513">
        <f t="shared" si="237"/>
        <v>243.57444444444445</v>
      </c>
      <c r="BA488" s="508">
        <f t="shared" si="238"/>
        <v>235.22555555555556</v>
      </c>
    </row>
    <row r="489" spans="1:53">
      <c r="A489" s="708" t="s">
        <v>652</v>
      </c>
      <c r="B489" s="675" t="s">
        <v>678</v>
      </c>
      <c r="C489" s="688"/>
      <c r="D489" s="689">
        <v>219921</v>
      </c>
      <c r="E489" s="690">
        <v>13</v>
      </c>
      <c r="F489" s="514" t="s">
        <v>41</v>
      </c>
      <c r="G489" s="515"/>
      <c r="H489" s="516"/>
      <c r="I489" s="519"/>
      <c r="J489" s="516"/>
      <c r="K489" s="519"/>
      <c r="L489" s="516"/>
      <c r="M489" s="519"/>
      <c r="N489" s="516"/>
      <c r="O489" s="519"/>
      <c r="P489" s="506">
        <f t="shared" si="221"/>
        <v>0</v>
      </c>
      <c r="Q489" s="507">
        <f t="shared" si="222"/>
        <v>0</v>
      </c>
      <c r="R489" s="508">
        <f t="shared" si="223"/>
        <v>0</v>
      </c>
      <c r="S489" s="509">
        <f t="shared" si="224"/>
        <v>0</v>
      </c>
      <c r="T489" s="516"/>
      <c r="U489" s="519"/>
      <c r="V489" s="506">
        <f t="shared" si="225"/>
        <v>0</v>
      </c>
      <c r="W489" s="510">
        <f t="shared" si="226"/>
        <v>0</v>
      </c>
      <c r="X489" s="517"/>
      <c r="Y489" s="519"/>
      <c r="Z489" s="516">
        <v>57639</v>
      </c>
      <c r="AA489" s="683">
        <v>59532</v>
      </c>
      <c r="AB489" s="516">
        <v>49086</v>
      </c>
      <c r="AC489" s="684">
        <v>45039</v>
      </c>
      <c r="AD489" s="758">
        <v>62556</v>
      </c>
      <c r="AE489" s="759">
        <v>60013</v>
      </c>
      <c r="AF489" s="506">
        <f t="shared" si="227"/>
        <v>169281</v>
      </c>
      <c r="AG489" s="507">
        <f t="shared" si="228"/>
        <v>188.09</v>
      </c>
      <c r="AH489" s="508">
        <f t="shared" si="229"/>
        <v>164584</v>
      </c>
      <c r="AI489" s="508">
        <f t="shared" si="230"/>
        <v>182.87111111111111</v>
      </c>
      <c r="AJ489" s="516"/>
      <c r="AK489" s="519"/>
      <c r="AL489" s="506">
        <f t="shared" si="231"/>
        <v>0</v>
      </c>
      <c r="AM489" s="509">
        <f t="shared" si="232"/>
        <v>0</v>
      </c>
      <c r="AN489" s="518"/>
      <c r="AO489" s="520"/>
      <c r="AP489" s="516"/>
      <c r="AQ489" s="520"/>
      <c r="AR489" s="516"/>
      <c r="AS489" s="520"/>
      <c r="AT489" s="516"/>
      <c r="AU489" s="520"/>
      <c r="AV489" s="506">
        <f t="shared" si="233"/>
        <v>0</v>
      </c>
      <c r="AW489" s="511">
        <f t="shared" si="234"/>
        <v>0</v>
      </c>
      <c r="AX489" s="508">
        <f t="shared" si="235"/>
        <v>0</v>
      </c>
      <c r="AY489" s="512">
        <f t="shared" si="236"/>
        <v>0</v>
      </c>
      <c r="AZ489" s="513">
        <f t="shared" si="237"/>
        <v>188.09</v>
      </c>
      <c r="BA489" s="508">
        <f t="shared" si="238"/>
        <v>182.87111111111111</v>
      </c>
    </row>
    <row r="490" spans="1:53">
      <c r="A490" s="708" t="s">
        <v>652</v>
      </c>
      <c r="B490" s="675" t="s">
        <v>679</v>
      </c>
      <c r="C490" s="688"/>
      <c r="D490" s="689">
        <v>221591</v>
      </c>
      <c r="E490" s="690">
        <v>13</v>
      </c>
      <c r="F490" s="514" t="s">
        <v>41</v>
      </c>
      <c r="G490" s="515"/>
      <c r="H490" s="516"/>
      <c r="I490" s="519"/>
      <c r="J490" s="516"/>
      <c r="K490" s="519"/>
      <c r="L490" s="516"/>
      <c r="M490" s="519"/>
      <c r="N490" s="516"/>
      <c r="O490" s="519"/>
      <c r="P490" s="506">
        <f t="shared" si="221"/>
        <v>0</v>
      </c>
      <c r="Q490" s="507">
        <f t="shared" si="222"/>
        <v>0</v>
      </c>
      <c r="R490" s="508">
        <f t="shared" si="223"/>
        <v>0</v>
      </c>
      <c r="S490" s="509">
        <f t="shared" si="224"/>
        <v>0</v>
      </c>
      <c r="T490" s="516"/>
      <c r="U490" s="519"/>
      <c r="V490" s="506">
        <f t="shared" si="225"/>
        <v>0</v>
      </c>
      <c r="W490" s="510">
        <f t="shared" si="226"/>
        <v>0</v>
      </c>
      <c r="X490" s="517"/>
      <c r="Y490" s="519"/>
      <c r="Z490" s="516">
        <v>114661</v>
      </c>
      <c r="AA490" s="683">
        <v>102602</v>
      </c>
      <c r="AB490" s="516">
        <v>87519</v>
      </c>
      <c r="AC490" s="684">
        <v>89133</v>
      </c>
      <c r="AD490" s="758">
        <v>107870</v>
      </c>
      <c r="AE490" s="759">
        <v>104786</v>
      </c>
      <c r="AF490" s="506">
        <f t="shared" si="227"/>
        <v>310050</v>
      </c>
      <c r="AG490" s="507">
        <f t="shared" si="228"/>
        <v>344.5</v>
      </c>
      <c r="AH490" s="508">
        <f t="shared" si="229"/>
        <v>296521</v>
      </c>
      <c r="AI490" s="508">
        <f t="shared" si="230"/>
        <v>329.46777777777777</v>
      </c>
      <c r="AJ490" s="516"/>
      <c r="AK490" s="519"/>
      <c r="AL490" s="506">
        <f t="shared" si="231"/>
        <v>0</v>
      </c>
      <c r="AM490" s="509">
        <f t="shared" si="232"/>
        <v>0</v>
      </c>
      <c r="AN490" s="518"/>
      <c r="AO490" s="520"/>
      <c r="AP490" s="516"/>
      <c r="AQ490" s="520"/>
      <c r="AR490" s="516"/>
      <c r="AS490" s="520"/>
      <c r="AT490" s="516"/>
      <c r="AU490" s="520"/>
      <c r="AV490" s="506">
        <f t="shared" si="233"/>
        <v>0</v>
      </c>
      <c r="AW490" s="511">
        <f t="shared" si="234"/>
        <v>0</v>
      </c>
      <c r="AX490" s="508">
        <f t="shared" si="235"/>
        <v>0</v>
      </c>
      <c r="AY490" s="512">
        <f t="shared" si="236"/>
        <v>0</v>
      </c>
      <c r="AZ490" s="513">
        <f t="shared" si="237"/>
        <v>344.5</v>
      </c>
      <c r="BA490" s="508">
        <f t="shared" si="238"/>
        <v>329.46777777777777</v>
      </c>
    </row>
    <row r="491" spans="1:53">
      <c r="A491" s="708" t="s">
        <v>652</v>
      </c>
      <c r="B491" s="675" t="s">
        <v>680</v>
      </c>
      <c r="C491" s="688"/>
      <c r="D491" s="689">
        <v>221430</v>
      </c>
      <c r="E491" s="690">
        <v>13</v>
      </c>
      <c r="F491" s="514" t="s">
        <v>41</v>
      </c>
      <c r="G491" s="515"/>
      <c r="H491" s="516"/>
      <c r="I491" s="519"/>
      <c r="J491" s="516"/>
      <c r="K491" s="519"/>
      <c r="L491" s="516"/>
      <c r="M491" s="519"/>
      <c r="N491" s="516"/>
      <c r="O491" s="519"/>
      <c r="P491" s="506">
        <f t="shared" si="221"/>
        <v>0</v>
      </c>
      <c r="Q491" s="507">
        <f t="shared" si="222"/>
        <v>0</v>
      </c>
      <c r="R491" s="508">
        <f t="shared" si="223"/>
        <v>0</v>
      </c>
      <c r="S491" s="509">
        <f t="shared" si="224"/>
        <v>0</v>
      </c>
      <c r="T491" s="516"/>
      <c r="U491" s="519"/>
      <c r="V491" s="506">
        <f t="shared" si="225"/>
        <v>0</v>
      </c>
      <c r="W491" s="510">
        <f t="shared" si="226"/>
        <v>0</v>
      </c>
      <c r="X491" s="517"/>
      <c r="Y491" s="519"/>
      <c r="Z491" s="516">
        <v>77512</v>
      </c>
      <c r="AA491" s="683">
        <v>72478</v>
      </c>
      <c r="AB491" s="516">
        <v>65429</v>
      </c>
      <c r="AC491" s="684">
        <v>66877</v>
      </c>
      <c r="AD491" s="758">
        <v>69188</v>
      </c>
      <c r="AE491" s="759">
        <v>74884</v>
      </c>
      <c r="AF491" s="506">
        <f t="shared" si="227"/>
        <v>212129</v>
      </c>
      <c r="AG491" s="507">
        <f t="shared" si="228"/>
        <v>235.69888888888889</v>
      </c>
      <c r="AH491" s="508">
        <f t="shared" si="229"/>
        <v>214239</v>
      </c>
      <c r="AI491" s="508">
        <f t="shared" si="230"/>
        <v>238.04333333333332</v>
      </c>
      <c r="AJ491" s="516"/>
      <c r="AK491" s="519"/>
      <c r="AL491" s="506">
        <f t="shared" si="231"/>
        <v>0</v>
      </c>
      <c r="AM491" s="509">
        <f t="shared" si="232"/>
        <v>0</v>
      </c>
      <c r="AN491" s="518"/>
      <c r="AO491" s="520"/>
      <c r="AP491" s="516"/>
      <c r="AQ491" s="520"/>
      <c r="AR491" s="516"/>
      <c r="AS491" s="520"/>
      <c r="AT491" s="516"/>
      <c r="AU491" s="520"/>
      <c r="AV491" s="506">
        <f t="shared" si="233"/>
        <v>0</v>
      </c>
      <c r="AW491" s="511">
        <f t="shared" si="234"/>
        <v>0</v>
      </c>
      <c r="AX491" s="508">
        <f t="shared" si="235"/>
        <v>0</v>
      </c>
      <c r="AY491" s="512">
        <f t="shared" si="236"/>
        <v>0</v>
      </c>
      <c r="AZ491" s="513">
        <f t="shared" si="237"/>
        <v>235.69888888888889</v>
      </c>
      <c r="BA491" s="508">
        <f t="shared" si="238"/>
        <v>238.04333333333332</v>
      </c>
    </row>
    <row r="492" spans="1:53">
      <c r="A492" s="708" t="s">
        <v>652</v>
      </c>
      <c r="B492" s="675" t="s">
        <v>681</v>
      </c>
      <c r="C492" s="688"/>
      <c r="D492" s="689">
        <v>219994</v>
      </c>
      <c r="E492" s="690">
        <v>13</v>
      </c>
      <c r="F492" s="514" t="s">
        <v>41</v>
      </c>
      <c r="G492" s="515"/>
      <c r="H492" s="516"/>
      <c r="I492" s="519"/>
      <c r="J492" s="516"/>
      <c r="K492" s="519"/>
      <c r="L492" s="516"/>
      <c r="M492" s="519"/>
      <c r="N492" s="516"/>
      <c r="O492" s="519"/>
      <c r="P492" s="506">
        <f t="shared" si="221"/>
        <v>0</v>
      </c>
      <c r="Q492" s="507">
        <f t="shared" si="222"/>
        <v>0</v>
      </c>
      <c r="R492" s="508">
        <f t="shared" si="223"/>
        <v>0</v>
      </c>
      <c r="S492" s="509">
        <f t="shared" si="224"/>
        <v>0</v>
      </c>
      <c r="T492" s="516"/>
      <c r="U492" s="519"/>
      <c r="V492" s="506">
        <f t="shared" si="225"/>
        <v>0</v>
      </c>
      <c r="W492" s="510">
        <f t="shared" si="226"/>
        <v>0</v>
      </c>
      <c r="X492" s="517"/>
      <c r="Y492" s="519"/>
      <c r="Z492" s="516">
        <v>177826</v>
      </c>
      <c r="AA492" s="683">
        <v>159343</v>
      </c>
      <c r="AB492" s="516">
        <v>161193</v>
      </c>
      <c r="AC492" s="684">
        <v>150435</v>
      </c>
      <c r="AD492" s="758">
        <v>168944</v>
      </c>
      <c r="AE492" s="759">
        <v>166077</v>
      </c>
      <c r="AF492" s="506">
        <f t="shared" si="227"/>
        <v>507963</v>
      </c>
      <c r="AG492" s="507">
        <f t="shared" si="228"/>
        <v>564.40333333333331</v>
      </c>
      <c r="AH492" s="508">
        <f t="shared" si="229"/>
        <v>475855</v>
      </c>
      <c r="AI492" s="508">
        <f t="shared" si="230"/>
        <v>528.72777777777776</v>
      </c>
      <c r="AJ492" s="516"/>
      <c r="AK492" s="519"/>
      <c r="AL492" s="506">
        <f t="shared" si="231"/>
        <v>0</v>
      </c>
      <c r="AM492" s="509">
        <f t="shared" si="232"/>
        <v>0</v>
      </c>
      <c r="AN492" s="518"/>
      <c r="AO492" s="520"/>
      <c r="AP492" s="516"/>
      <c r="AQ492" s="520"/>
      <c r="AR492" s="516"/>
      <c r="AS492" s="520"/>
      <c r="AT492" s="516"/>
      <c r="AU492" s="520"/>
      <c r="AV492" s="506">
        <f t="shared" si="233"/>
        <v>0</v>
      </c>
      <c r="AW492" s="511">
        <f t="shared" si="234"/>
        <v>0</v>
      </c>
      <c r="AX492" s="508">
        <f t="shared" si="235"/>
        <v>0</v>
      </c>
      <c r="AY492" s="512">
        <f t="shared" si="236"/>
        <v>0</v>
      </c>
      <c r="AZ492" s="513">
        <f t="shared" si="237"/>
        <v>564.40333333333331</v>
      </c>
      <c r="BA492" s="508">
        <f t="shared" si="238"/>
        <v>528.72777777777776</v>
      </c>
    </row>
    <row r="493" spans="1:53">
      <c r="A493" s="708" t="s">
        <v>652</v>
      </c>
      <c r="B493" s="675" t="s">
        <v>682</v>
      </c>
      <c r="C493" s="688"/>
      <c r="D493" s="689">
        <v>220127</v>
      </c>
      <c r="E493" s="690">
        <v>13</v>
      </c>
      <c r="F493" s="514" t="s">
        <v>41</v>
      </c>
      <c r="G493" s="515"/>
      <c r="H493" s="516"/>
      <c r="I493" s="519"/>
      <c r="J493" s="516"/>
      <c r="K493" s="519"/>
      <c r="L493" s="516"/>
      <c r="M493" s="519"/>
      <c r="N493" s="516"/>
      <c r="O493" s="519"/>
      <c r="P493" s="506">
        <f t="shared" si="221"/>
        <v>0</v>
      </c>
      <c r="Q493" s="507">
        <f t="shared" si="222"/>
        <v>0</v>
      </c>
      <c r="R493" s="508">
        <f t="shared" si="223"/>
        <v>0</v>
      </c>
      <c r="S493" s="509">
        <f t="shared" si="224"/>
        <v>0</v>
      </c>
      <c r="T493" s="516"/>
      <c r="U493" s="519"/>
      <c r="V493" s="506">
        <f t="shared" si="225"/>
        <v>0</v>
      </c>
      <c r="W493" s="510">
        <f t="shared" si="226"/>
        <v>0</v>
      </c>
      <c r="X493" s="517"/>
      <c r="Y493" s="519"/>
      <c r="Z493" s="516">
        <v>166940</v>
      </c>
      <c r="AA493" s="683">
        <v>164284</v>
      </c>
      <c r="AB493" s="516">
        <v>158091</v>
      </c>
      <c r="AC493" s="684">
        <v>162034</v>
      </c>
      <c r="AD493" s="758">
        <v>161088</v>
      </c>
      <c r="AE493" s="759">
        <v>175859</v>
      </c>
      <c r="AF493" s="506">
        <f t="shared" si="227"/>
        <v>486119</v>
      </c>
      <c r="AG493" s="507">
        <f t="shared" si="228"/>
        <v>540.13222222222225</v>
      </c>
      <c r="AH493" s="508">
        <f t="shared" si="229"/>
        <v>502177</v>
      </c>
      <c r="AI493" s="508">
        <f t="shared" si="230"/>
        <v>557.97444444444443</v>
      </c>
      <c r="AJ493" s="516"/>
      <c r="AK493" s="519"/>
      <c r="AL493" s="506">
        <f t="shared" si="231"/>
        <v>0</v>
      </c>
      <c r="AM493" s="509">
        <f t="shared" si="232"/>
        <v>0</v>
      </c>
      <c r="AN493" s="518"/>
      <c r="AO493" s="520"/>
      <c r="AP493" s="516"/>
      <c r="AQ493" s="520"/>
      <c r="AR493" s="516"/>
      <c r="AS493" s="520"/>
      <c r="AT493" s="516"/>
      <c r="AU493" s="520"/>
      <c r="AV493" s="506">
        <f t="shared" si="233"/>
        <v>0</v>
      </c>
      <c r="AW493" s="511">
        <f t="shared" si="234"/>
        <v>0</v>
      </c>
      <c r="AX493" s="508">
        <f t="shared" si="235"/>
        <v>0</v>
      </c>
      <c r="AY493" s="512">
        <f t="shared" si="236"/>
        <v>0</v>
      </c>
      <c r="AZ493" s="513">
        <f t="shared" si="237"/>
        <v>540.13222222222225</v>
      </c>
      <c r="BA493" s="508">
        <f t="shared" si="238"/>
        <v>557.97444444444443</v>
      </c>
    </row>
    <row r="494" spans="1:53">
      <c r="A494" s="708" t="s">
        <v>652</v>
      </c>
      <c r="B494" s="675" t="s">
        <v>683</v>
      </c>
      <c r="C494" s="688"/>
      <c r="D494" s="689">
        <v>220251</v>
      </c>
      <c r="E494" s="690">
        <v>13</v>
      </c>
      <c r="F494" s="514" t="s">
        <v>41</v>
      </c>
      <c r="G494" s="515"/>
      <c r="H494" s="516"/>
      <c r="I494" s="519"/>
      <c r="J494" s="516"/>
      <c r="K494" s="519"/>
      <c r="L494" s="516"/>
      <c r="M494" s="519"/>
      <c r="N494" s="516"/>
      <c r="O494" s="519"/>
      <c r="P494" s="506">
        <f t="shared" si="221"/>
        <v>0</v>
      </c>
      <c r="Q494" s="507">
        <f t="shared" si="222"/>
        <v>0</v>
      </c>
      <c r="R494" s="508">
        <f t="shared" si="223"/>
        <v>0</v>
      </c>
      <c r="S494" s="509">
        <f t="shared" si="224"/>
        <v>0</v>
      </c>
      <c r="T494" s="516"/>
      <c r="U494" s="519"/>
      <c r="V494" s="506">
        <f t="shared" si="225"/>
        <v>0</v>
      </c>
      <c r="W494" s="510">
        <f t="shared" si="226"/>
        <v>0</v>
      </c>
      <c r="X494" s="517"/>
      <c r="Y494" s="519"/>
      <c r="Z494" s="516">
        <v>100943</v>
      </c>
      <c r="AA494" s="683">
        <v>75914</v>
      </c>
      <c r="AB494" s="516">
        <v>69188</v>
      </c>
      <c r="AC494" s="684">
        <v>73031</v>
      </c>
      <c r="AD494" s="758">
        <v>76853</v>
      </c>
      <c r="AE494" s="759">
        <v>86975</v>
      </c>
      <c r="AF494" s="506">
        <f t="shared" si="227"/>
        <v>246984</v>
      </c>
      <c r="AG494" s="507">
        <f t="shared" si="228"/>
        <v>274.42666666666668</v>
      </c>
      <c r="AH494" s="508">
        <f t="shared" si="229"/>
        <v>235920</v>
      </c>
      <c r="AI494" s="508">
        <f t="shared" si="230"/>
        <v>262.13333333333333</v>
      </c>
      <c r="AJ494" s="516"/>
      <c r="AK494" s="519"/>
      <c r="AL494" s="506">
        <f t="shared" si="231"/>
        <v>0</v>
      </c>
      <c r="AM494" s="509">
        <f t="shared" si="232"/>
        <v>0</v>
      </c>
      <c r="AN494" s="518"/>
      <c r="AO494" s="520"/>
      <c r="AP494" s="516"/>
      <c r="AQ494" s="520"/>
      <c r="AR494" s="516"/>
      <c r="AS494" s="520"/>
      <c r="AT494" s="516"/>
      <c r="AU494" s="520"/>
      <c r="AV494" s="506">
        <f t="shared" si="233"/>
        <v>0</v>
      </c>
      <c r="AW494" s="511">
        <f t="shared" si="234"/>
        <v>0</v>
      </c>
      <c r="AX494" s="508">
        <f t="shared" si="235"/>
        <v>0</v>
      </c>
      <c r="AY494" s="512">
        <f t="shared" si="236"/>
        <v>0</v>
      </c>
      <c r="AZ494" s="513">
        <f t="shared" si="237"/>
        <v>274.42666666666668</v>
      </c>
      <c r="BA494" s="508">
        <f t="shared" si="238"/>
        <v>262.13333333333333</v>
      </c>
    </row>
    <row r="495" spans="1:53">
      <c r="A495" s="708" t="s">
        <v>652</v>
      </c>
      <c r="B495" s="675" t="s">
        <v>684</v>
      </c>
      <c r="C495" s="688"/>
      <c r="D495" s="689">
        <v>220279</v>
      </c>
      <c r="E495" s="690">
        <v>13</v>
      </c>
      <c r="F495" s="514" t="s">
        <v>41</v>
      </c>
      <c r="G495" s="515"/>
      <c r="H495" s="516"/>
      <c r="I495" s="519"/>
      <c r="J495" s="516"/>
      <c r="K495" s="519"/>
      <c r="L495" s="516"/>
      <c r="M495" s="519"/>
      <c r="N495" s="516"/>
      <c r="O495" s="519"/>
      <c r="P495" s="506">
        <f t="shared" si="221"/>
        <v>0</v>
      </c>
      <c r="Q495" s="507">
        <f t="shared" si="222"/>
        <v>0</v>
      </c>
      <c r="R495" s="508">
        <f t="shared" si="223"/>
        <v>0</v>
      </c>
      <c r="S495" s="509">
        <f t="shared" si="224"/>
        <v>0</v>
      </c>
      <c r="T495" s="516"/>
      <c r="U495" s="519"/>
      <c r="V495" s="506">
        <f t="shared" si="225"/>
        <v>0</v>
      </c>
      <c r="W495" s="510">
        <f t="shared" si="226"/>
        <v>0</v>
      </c>
      <c r="X495" s="517"/>
      <c r="Y495" s="519"/>
      <c r="Z495" s="516">
        <v>142474</v>
      </c>
      <c r="AA495" s="683">
        <v>129652</v>
      </c>
      <c r="AB495" s="516">
        <v>97558</v>
      </c>
      <c r="AC495" s="684">
        <v>96744</v>
      </c>
      <c r="AD495" s="758">
        <v>141691</v>
      </c>
      <c r="AE495" s="759">
        <v>136225</v>
      </c>
      <c r="AF495" s="506">
        <f t="shared" si="227"/>
        <v>381723</v>
      </c>
      <c r="AG495" s="507">
        <f t="shared" si="228"/>
        <v>424.13666666666666</v>
      </c>
      <c r="AH495" s="508">
        <f t="shared" si="229"/>
        <v>362621</v>
      </c>
      <c r="AI495" s="508">
        <f t="shared" si="230"/>
        <v>402.91222222222223</v>
      </c>
      <c r="AJ495" s="516"/>
      <c r="AK495" s="519"/>
      <c r="AL495" s="506">
        <f t="shared" si="231"/>
        <v>0</v>
      </c>
      <c r="AM495" s="509">
        <f t="shared" si="232"/>
        <v>0</v>
      </c>
      <c r="AN495" s="518"/>
      <c r="AO495" s="520"/>
      <c r="AP495" s="516"/>
      <c r="AQ495" s="520"/>
      <c r="AR495" s="516"/>
      <c r="AS495" s="520"/>
      <c r="AT495" s="516"/>
      <c r="AU495" s="520"/>
      <c r="AV495" s="506">
        <f t="shared" si="233"/>
        <v>0</v>
      </c>
      <c r="AW495" s="511">
        <f t="shared" si="234"/>
        <v>0</v>
      </c>
      <c r="AX495" s="508">
        <f t="shared" si="235"/>
        <v>0</v>
      </c>
      <c r="AY495" s="512">
        <f t="shared" si="236"/>
        <v>0</v>
      </c>
      <c r="AZ495" s="513">
        <f t="shared" si="237"/>
        <v>424.13666666666666</v>
      </c>
      <c r="BA495" s="508">
        <f t="shared" si="238"/>
        <v>402.91222222222223</v>
      </c>
    </row>
    <row r="496" spans="1:53">
      <c r="A496" s="708" t="s">
        <v>652</v>
      </c>
      <c r="B496" s="675" t="s">
        <v>685</v>
      </c>
      <c r="C496" s="688"/>
      <c r="D496" s="689">
        <v>220321</v>
      </c>
      <c r="E496" s="690">
        <v>13</v>
      </c>
      <c r="F496" s="514" t="s">
        <v>41</v>
      </c>
      <c r="G496" s="515"/>
      <c r="H496" s="516"/>
      <c r="I496" s="519"/>
      <c r="J496" s="516"/>
      <c r="K496" s="519"/>
      <c r="L496" s="516"/>
      <c r="M496" s="519"/>
      <c r="N496" s="516"/>
      <c r="O496" s="519"/>
      <c r="P496" s="506">
        <f t="shared" si="221"/>
        <v>0</v>
      </c>
      <c r="Q496" s="507">
        <f t="shared" si="222"/>
        <v>0</v>
      </c>
      <c r="R496" s="508">
        <f t="shared" si="223"/>
        <v>0</v>
      </c>
      <c r="S496" s="509">
        <f t="shared" si="224"/>
        <v>0</v>
      </c>
      <c r="T496" s="516"/>
      <c r="U496" s="519"/>
      <c r="V496" s="506">
        <f t="shared" si="225"/>
        <v>0</v>
      </c>
      <c r="W496" s="510">
        <f t="shared" si="226"/>
        <v>0</v>
      </c>
      <c r="X496" s="517"/>
      <c r="Y496" s="519"/>
      <c r="Z496" s="516">
        <v>145278</v>
      </c>
      <c r="AA496" s="683">
        <v>129225</v>
      </c>
      <c r="AB496" s="516">
        <v>121653</v>
      </c>
      <c r="AC496" s="684">
        <v>107374</v>
      </c>
      <c r="AD496" s="758">
        <v>144376</v>
      </c>
      <c r="AE496" s="759">
        <v>120338</v>
      </c>
      <c r="AF496" s="506">
        <f t="shared" si="227"/>
        <v>411307</v>
      </c>
      <c r="AG496" s="507">
        <f t="shared" si="228"/>
        <v>457.00777777777779</v>
      </c>
      <c r="AH496" s="508">
        <f t="shared" si="229"/>
        <v>356937</v>
      </c>
      <c r="AI496" s="508">
        <f t="shared" si="230"/>
        <v>396.59666666666669</v>
      </c>
      <c r="AJ496" s="516"/>
      <c r="AK496" s="519"/>
      <c r="AL496" s="506">
        <f t="shared" si="231"/>
        <v>0</v>
      </c>
      <c r="AM496" s="509">
        <f t="shared" si="232"/>
        <v>0</v>
      </c>
      <c r="AN496" s="518"/>
      <c r="AO496" s="520"/>
      <c r="AP496" s="516"/>
      <c r="AQ496" s="520"/>
      <c r="AR496" s="516"/>
      <c r="AS496" s="520"/>
      <c r="AT496" s="516"/>
      <c r="AU496" s="520"/>
      <c r="AV496" s="506">
        <f t="shared" si="233"/>
        <v>0</v>
      </c>
      <c r="AW496" s="511">
        <f t="shared" si="234"/>
        <v>0</v>
      </c>
      <c r="AX496" s="508">
        <f t="shared" si="235"/>
        <v>0</v>
      </c>
      <c r="AY496" s="512">
        <f t="shared" si="236"/>
        <v>0</v>
      </c>
      <c r="AZ496" s="513">
        <f t="shared" si="237"/>
        <v>457.00777777777779</v>
      </c>
      <c r="BA496" s="508">
        <f t="shared" si="238"/>
        <v>396.59666666666669</v>
      </c>
    </row>
    <row r="497" spans="1:53">
      <c r="A497" s="708" t="s">
        <v>652</v>
      </c>
      <c r="B497" s="675" t="s">
        <v>686</v>
      </c>
      <c r="C497" s="688"/>
      <c r="D497" s="689">
        <v>220394</v>
      </c>
      <c r="E497" s="690">
        <v>13</v>
      </c>
      <c r="F497" s="514" t="s">
        <v>41</v>
      </c>
      <c r="G497" s="515"/>
      <c r="H497" s="516"/>
      <c r="I497" s="519"/>
      <c r="J497" s="516"/>
      <c r="K497" s="519"/>
      <c r="L497" s="516"/>
      <c r="M497" s="519"/>
      <c r="N497" s="516"/>
      <c r="O497" s="519"/>
      <c r="P497" s="506">
        <f t="shared" si="221"/>
        <v>0</v>
      </c>
      <c r="Q497" s="507">
        <f t="shared" si="222"/>
        <v>0</v>
      </c>
      <c r="R497" s="508">
        <f t="shared" si="223"/>
        <v>0</v>
      </c>
      <c r="S497" s="509">
        <f t="shared" si="224"/>
        <v>0</v>
      </c>
      <c r="T497" s="516"/>
      <c r="U497" s="519"/>
      <c r="V497" s="506">
        <f t="shared" si="225"/>
        <v>0</v>
      </c>
      <c r="W497" s="510">
        <f t="shared" si="226"/>
        <v>0</v>
      </c>
      <c r="X497" s="517"/>
      <c r="Y497" s="519"/>
      <c r="Z497" s="516">
        <v>61317</v>
      </c>
      <c r="AA497" s="683">
        <v>62072</v>
      </c>
      <c r="AB497" s="516">
        <v>55502</v>
      </c>
      <c r="AC497" s="684">
        <v>56566</v>
      </c>
      <c r="AD497" s="758">
        <v>66281</v>
      </c>
      <c r="AE497" s="759">
        <v>66056</v>
      </c>
      <c r="AF497" s="506">
        <f t="shared" si="227"/>
        <v>183100</v>
      </c>
      <c r="AG497" s="507">
        <f t="shared" si="228"/>
        <v>203.44444444444446</v>
      </c>
      <c r="AH497" s="508">
        <f t="shared" si="229"/>
        <v>184694</v>
      </c>
      <c r="AI497" s="508">
        <f t="shared" si="230"/>
        <v>205.21555555555557</v>
      </c>
      <c r="AJ497" s="516"/>
      <c r="AK497" s="519"/>
      <c r="AL497" s="506">
        <f t="shared" si="231"/>
        <v>0</v>
      </c>
      <c r="AM497" s="509">
        <f t="shared" si="232"/>
        <v>0</v>
      </c>
      <c r="AN497" s="518"/>
      <c r="AO497" s="520"/>
      <c r="AP497" s="516"/>
      <c r="AQ497" s="520"/>
      <c r="AR497" s="516"/>
      <c r="AS497" s="520"/>
      <c r="AT497" s="516"/>
      <c r="AU497" s="520"/>
      <c r="AV497" s="506">
        <f t="shared" si="233"/>
        <v>0</v>
      </c>
      <c r="AW497" s="511">
        <f t="shared" si="234"/>
        <v>0</v>
      </c>
      <c r="AX497" s="508">
        <f t="shared" si="235"/>
        <v>0</v>
      </c>
      <c r="AY497" s="512">
        <f t="shared" si="236"/>
        <v>0</v>
      </c>
      <c r="AZ497" s="513">
        <f t="shared" si="237"/>
        <v>203.44444444444446</v>
      </c>
      <c r="BA497" s="508">
        <f t="shared" si="238"/>
        <v>205.21555555555557</v>
      </c>
    </row>
    <row r="498" spans="1:53">
      <c r="A498" s="708" t="s">
        <v>652</v>
      </c>
      <c r="B498" s="675" t="s">
        <v>687</v>
      </c>
      <c r="C498" s="688"/>
      <c r="D498" s="689">
        <v>221616</v>
      </c>
      <c r="E498" s="690">
        <v>13</v>
      </c>
      <c r="F498" s="514" t="s">
        <v>41</v>
      </c>
      <c r="G498" s="515"/>
      <c r="H498" s="516"/>
      <c r="I498" s="519"/>
      <c r="J498" s="516"/>
      <c r="K498" s="519"/>
      <c r="L498" s="516"/>
      <c r="M498" s="519"/>
      <c r="N498" s="516"/>
      <c r="O498" s="519"/>
      <c r="P498" s="506">
        <f t="shared" si="221"/>
        <v>0</v>
      </c>
      <c r="Q498" s="507">
        <f t="shared" si="222"/>
        <v>0</v>
      </c>
      <c r="R498" s="508">
        <f t="shared" si="223"/>
        <v>0</v>
      </c>
      <c r="S498" s="509">
        <f t="shared" si="224"/>
        <v>0</v>
      </c>
      <c r="T498" s="516"/>
      <c r="U498" s="519"/>
      <c r="V498" s="506">
        <f t="shared" si="225"/>
        <v>0</v>
      </c>
      <c r="W498" s="510">
        <f t="shared" si="226"/>
        <v>0</v>
      </c>
      <c r="X498" s="517"/>
      <c r="Y498" s="519"/>
      <c r="Z498" s="516">
        <v>183294</v>
      </c>
      <c r="AA498" s="683">
        <v>148611</v>
      </c>
      <c r="AB498" s="516">
        <v>164025</v>
      </c>
      <c r="AC498" s="684">
        <v>143264</v>
      </c>
      <c r="AD498" s="758">
        <v>158591</v>
      </c>
      <c r="AE498" s="759">
        <v>167214</v>
      </c>
      <c r="AF498" s="506">
        <f t="shared" si="227"/>
        <v>505910</v>
      </c>
      <c r="AG498" s="507">
        <f t="shared" si="228"/>
        <v>562.12222222222226</v>
      </c>
      <c r="AH498" s="508">
        <f t="shared" si="229"/>
        <v>459089</v>
      </c>
      <c r="AI498" s="508">
        <f t="shared" si="230"/>
        <v>510.09888888888889</v>
      </c>
      <c r="AJ498" s="516"/>
      <c r="AK498" s="519"/>
      <c r="AL498" s="506">
        <f t="shared" si="231"/>
        <v>0</v>
      </c>
      <c r="AM498" s="509">
        <f t="shared" si="232"/>
        <v>0</v>
      </c>
      <c r="AN498" s="518"/>
      <c r="AO498" s="520"/>
      <c r="AP498" s="516"/>
      <c r="AQ498" s="520"/>
      <c r="AR498" s="516"/>
      <c r="AS498" s="520"/>
      <c r="AT498" s="516"/>
      <c r="AU498" s="520"/>
      <c r="AV498" s="506">
        <f t="shared" si="233"/>
        <v>0</v>
      </c>
      <c r="AW498" s="511">
        <f t="shared" si="234"/>
        <v>0</v>
      </c>
      <c r="AX498" s="508">
        <f t="shared" si="235"/>
        <v>0</v>
      </c>
      <c r="AY498" s="512">
        <f t="shared" si="236"/>
        <v>0</v>
      </c>
      <c r="AZ498" s="513">
        <f t="shared" si="237"/>
        <v>562.12222222222226</v>
      </c>
      <c r="BA498" s="508">
        <f t="shared" si="238"/>
        <v>510.09888888888889</v>
      </c>
    </row>
    <row r="499" spans="1:53">
      <c r="A499" s="708" t="s">
        <v>652</v>
      </c>
      <c r="B499" s="675" t="s">
        <v>688</v>
      </c>
      <c r="C499" s="688"/>
      <c r="D499" s="689">
        <v>221625</v>
      </c>
      <c r="E499" s="690">
        <v>13</v>
      </c>
      <c r="F499" s="514" t="s">
        <v>41</v>
      </c>
      <c r="G499" s="515"/>
      <c r="H499" s="516"/>
      <c r="I499" s="519"/>
      <c r="J499" s="516"/>
      <c r="K499" s="519"/>
      <c r="L499" s="516"/>
      <c r="M499" s="519"/>
      <c r="N499" s="516"/>
      <c r="O499" s="519"/>
      <c r="P499" s="506">
        <f t="shared" si="221"/>
        <v>0</v>
      </c>
      <c r="Q499" s="507">
        <f t="shared" si="222"/>
        <v>0</v>
      </c>
      <c r="R499" s="508">
        <f t="shared" si="223"/>
        <v>0</v>
      </c>
      <c r="S499" s="509">
        <f t="shared" si="224"/>
        <v>0</v>
      </c>
      <c r="T499" s="516"/>
      <c r="U499" s="519"/>
      <c r="V499" s="506">
        <f t="shared" si="225"/>
        <v>0</v>
      </c>
      <c r="W499" s="510">
        <f t="shared" si="226"/>
        <v>0</v>
      </c>
      <c r="X499" s="517"/>
      <c r="Y499" s="519"/>
      <c r="Z499" s="516">
        <v>196747</v>
      </c>
      <c r="AA499" s="683">
        <v>182313</v>
      </c>
      <c r="AB499" s="516">
        <v>188863</v>
      </c>
      <c r="AC499" s="684">
        <v>185487</v>
      </c>
      <c r="AD499" s="758">
        <v>199118</v>
      </c>
      <c r="AE499" s="759">
        <v>194748</v>
      </c>
      <c r="AF499" s="506">
        <f t="shared" si="227"/>
        <v>584728</v>
      </c>
      <c r="AG499" s="507">
        <f t="shared" si="228"/>
        <v>649.69777777777779</v>
      </c>
      <c r="AH499" s="508">
        <f t="shared" si="229"/>
        <v>562548</v>
      </c>
      <c r="AI499" s="508">
        <f t="shared" si="230"/>
        <v>625.05333333333328</v>
      </c>
      <c r="AJ499" s="516"/>
      <c r="AK499" s="519"/>
      <c r="AL499" s="506">
        <f t="shared" si="231"/>
        <v>0</v>
      </c>
      <c r="AM499" s="509">
        <f t="shared" si="232"/>
        <v>0</v>
      </c>
      <c r="AN499" s="518"/>
      <c r="AO499" s="520"/>
      <c r="AP499" s="516"/>
      <c r="AQ499" s="520"/>
      <c r="AR499" s="516"/>
      <c r="AS499" s="520"/>
      <c r="AT499" s="516"/>
      <c r="AU499" s="520"/>
      <c r="AV499" s="506">
        <f t="shared" si="233"/>
        <v>0</v>
      </c>
      <c r="AW499" s="511">
        <f t="shared" si="234"/>
        <v>0</v>
      </c>
      <c r="AX499" s="508">
        <f t="shared" si="235"/>
        <v>0</v>
      </c>
      <c r="AY499" s="512">
        <f t="shared" si="236"/>
        <v>0</v>
      </c>
      <c r="AZ499" s="513">
        <f t="shared" si="237"/>
        <v>649.69777777777779</v>
      </c>
      <c r="BA499" s="508">
        <f t="shared" si="238"/>
        <v>625.05333333333328</v>
      </c>
    </row>
    <row r="500" spans="1:53">
      <c r="A500" s="708" t="s">
        <v>652</v>
      </c>
      <c r="B500" s="675" t="s">
        <v>689</v>
      </c>
      <c r="C500" s="688"/>
      <c r="D500" s="689">
        <v>220640</v>
      </c>
      <c r="E500" s="690">
        <v>13</v>
      </c>
      <c r="F500" s="514" t="s">
        <v>41</v>
      </c>
      <c r="G500" s="515"/>
      <c r="H500" s="516"/>
      <c r="I500" s="519"/>
      <c r="J500" s="516"/>
      <c r="K500" s="519"/>
      <c r="L500" s="516"/>
      <c r="M500" s="519"/>
      <c r="N500" s="516"/>
      <c r="O500" s="519"/>
      <c r="P500" s="506">
        <f t="shared" si="221"/>
        <v>0</v>
      </c>
      <c r="Q500" s="507">
        <f t="shared" si="222"/>
        <v>0</v>
      </c>
      <c r="R500" s="508">
        <f t="shared" si="223"/>
        <v>0</v>
      </c>
      <c r="S500" s="509">
        <f t="shared" si="224"/>
        <v>0</v>
      </c>
      <c r="T500" s="516"/>
      <c r="U500" s="519"/>
      <c r="V500" s="506">
        <f t="shared" si="225"/>
        <v>0</v>
      </c>
      <c r="W500" s="510">
        <f t="shared" si="226"/>
        <v>0</v>
      </c>
      <c r="X500" s="517"/>
      <c r="Y500" s="519"/>
      <c r="Z500" s="516">
        <v>135869</v>
      </c>
      <c r="AA500" s="683">
        <v>119619</v>
      </c>
      <c r="AB500" s="516">
        <v>99908</v>
      </c>
      <c r="AC500" s="684">
        <v>93735</v>
      </c>
      <c r="AD500" s="758">
        <v>129030</v>
      </c>
      <c r="AE500" s="759">
        <v>141385</v>
      </c>
      <c r="AF500" s="506">
        <f t="shared" si="227"/>
        <v>364807</v>
      </c>
      <c r="AG500" s="507">
        <f t="shared" si="228"/>
        <v>405.3411111111111</v>
      </c>
      <c r="AH500" s="508">
        <f t="shared" si="229"/>
        <v>354739</v>
      </c>
      <c r="AI500" s="508">
        <f t="shared" si="230"/>
        <v>394.15444444444444</v>
      </c>
      <c r="AJ500" s="516"/>
      <c r="AK500" s="519"/>
      <c r="AL500" s="506">
        <f t="shared" si="231"/>
        <v>0</v>
      </c>
      <c r="AM500" s="509">
        <f t="shared" si="232"/>
        <v>0</v>
      </c>
      <c r="AN500" s="518"/>
      <c r="AO500" s="520"/>
      <c r="AP500" s="516"/>
      <c r="AQ500" s="520"/>
      <c r="AR500" s="516"/>
      <c r="AS500" s="520"/>
      <c r="AT500" s="516"/>
      <c r="AU500" s="520"/>
      <c r="AV500" s="506">
        <f t="shared" si="233"/>
        <v>0</v>
      </c>
      <c r="AW500" s="511">
        <f t="shared" si="234"/>
        <v>0</v>
      </c>
      <c r="AX500" s="508">
        <f t="shared" si="235"/>
        <v>0</v>
      </c>
      <c r="AY500" s="512">
        <f t="shared" si="236"/>
        <v>0</v>
      </c>
      <c r="AZ500" s="513">
        <f t="shared" si="237"/>
        <v>405.3411111111111</v>
      </c>
      <c r="BA500" s="508">
        <f t="shared" si="238"/>
        <v>394.15444444444444</v>
      </c>
    </row>
    <row r="501" spans="1:53">
      <c r="A501" s="708" t="s">
        <v>652</v>
      </c>
      <c r="B501" s="675" t="s">
        <v>690</v>
      </c>
      <c r="C501" s="688"/>
      <c r="D501" s="689">
        <v>220756</v>
      </c>
      <c r="E501" s="690">
        <v>13</v>
      </c>
      <c r="F501" s="514" t="s">
        <v>41</v>
      </c>
      <c r="G501" s="515"/>
      <c r="H501" s="516"/>
      <c r="I501" s="519"/>
      <c r="J501" s="516"/>
      <c r="K501" s="519"/>
      <c r="L501" s="516"/>
      <c r="M501" s="519"/>
      <c r="N501" s="516"/>
      <c r="O501" s="519"/>
      <c r="P501" s="506">
        <f t="shared" si="221"/>
        <v>0</v>
      </c>
      <c r="Q501" s="507">
        <f t="shared" si="222"/>
        <v>0</v>
      </c>
      <c r="R501" s="508">
        <f t="shared" si="223"/>
        <v>0</v>
      </c>
      <c r="S501" s="509">
        <f t="shared" si="224"/>
        <v>0</v>
      </c>
      <c r="T501" s="516"/>
      <c r="U501" s="519"/>
      <c r="V501" s="506">
        <f t="shared" si="225"/>
        <v>0</v>
      </c>
      <c r="W501" s="510">
        <f t="shared" si="226"/>
        <v>0</v>
      </c>
      <c r="X501" s="517"/>
      <c r="Y501" s="519"/>
      <c r="Z501" s="516">
        <v>73229</v>
      </c>
      <c r="AA501" s="683">
        <v>84891</v>
      </c>
      <c r="AB501" s="516">
        <v>61828</v>
      </c>
      <c r="AC501" s="684">
        <v>71589</v>
      </c>
      <c r="AD501" s="758">
        <v>74666</v>
      </c>
      <c r="AE501" s="759">
        <v>85717</v>
      </c>
      <c r="AF501" s="506">
        <f t="shared" si="227"/>
        <v>209723</v>
      </c>
      <c r="AG501" s="507">
        <f t="shared" si="228"/>
        <v>233.02555555555554</v>
      </c>
      <c r="AH501" s="508">
        <f t="shared" si="229"/>
        <v>242197</v>
      </c>
      <c r="AI501" s="508">
        <f t="shared" si="230"/>
        <v>269.10777777777776</v>
      </c>
      <c r="AJ501" s="516"/>
      <c r="AK501" s="519"/>
      <c r="AL501" s="506">
        <f t="shared" si="231"/>
        <v>0</v>
      </c>
      <c r="AM501" s="509">
        <f t="shared" si="232"/>
        <v>0</v>
      </c>
      <c r="AN501" s="518"/>
      <c r="AO501" s="520"/>
      <c r="AP501" s="516"/>
      <c r="AQ501" s="520"/>
      <c r="AR501" s="516"/>
      <c r="AS501" s="520"/>
      <c r="AT501" s="516"/>
      <c r="AU501" s="520"/>
      <c r="AV501" s="506">
        <f t="shared" si="233"/>
        <v>0</v>
      </c>
      <c r="AW501" s="511">
        <f t="shared" si="234"/>
        <v>0</v>
      </c>
      <c r="AX501" s="508">
        <f t="shared" si="235"/>
        <v>0</v>
      </c>
      <c r="AY501" s="512">
        <f t="shared" si="236"/>
        <v>0</v>
      </c>
      <c r="AZ501" s="513">
        <f t="shared" si="237"/>
        <v>233.02555555555554</v>
      </c>
      <c r="BA501" s="508">
        <f t="shared" si="238"/>
        <v>269.10777777777776</v>
      </c>
    </row>
    <row r="502" spans="1:53">
      <c r="A502" s="708" t="s">
        <v>652</v>
      </c>
      <c r="B502" s="675" t="s">
        <v>691</v>
      </c>
      <c r="C502" s="688"/>
      <c r="D502" s="689">
        <v>221607</v>
      </c>
      <c r="E502" s="690">
        <v>13</v>
      </c>
      <c r="F502" s="514" t="s">
        <v>41</v>
      </c>
      <c r="G502" s="515"/>
      <c r="H502" s="516"/>
      <c r="I502" s="519"/>
      <c r="J502" s="516"/>
      <c r="K502" s="519"/>
      <c r="L502" s="516"/>
      <c r="M502" s="519"/>
      <c r="N502" s="516"/>
      <c r="O502" s="519"/>
      <c r="P502" s="506">
        <f t="shared" si="221"/>
        <v>0</v>
      </c>
      <c r="Q502" s="507">
        <f t="shared" si="222"/>
        <v>0</v>
      </c>
      <c r="R502" s="508">
        <f t="shared" si="223"/>
        <v>0</v>
      </c>
      <c r="S502" s="509">
        <f t="shared" si="224"/>
        <v>0</v>
      </c>
      <c r="T502" s="516"/>
      <c r="U502" s="519"/>
      <c r="V502" s="506">
        <f t="shared" si="225"/>
        <v>0</v>
      </c>
      <c r="W502" s="510">
        <f t="shared" si="226"/>
        <v>0</v>
      </c>
      <c r="X502" s="517"/>
      <c r="Y502" s="519"/>
      <c r="Z502" s="516">
        <v>85258</v>
      </c>
      <c r="AA502" s="683">
        <v>69968</v>
      </c>
      <c r="AB502" s="516">
        <v>82238</v>
      </c>
      <c r="AC502" s="684">
        <v>65409</v>
      </c>
      <c r="AD502" s="758">
        <v>78420</v>
      </c>
      <c r="AE502" s="759">
        <v>73565</v>
      </c>
      <c r="AF502" s="506">
        <f t="shared" si="227"/>
        <v>245916</v>
      </c>
      <c r="AG502" s="507">
        <f t="shared" si="228"/>
        <v>273.24</v>
      </c>
      <c r="AH502" s="508">
        <f t="shared" si="229"/>
        <v>208942</v>
      </c>
      <c r="AI502" s="508">
        <f t="shared" si="230"/>
        <v>232.15777777777777</v>
      </c>
      <c r="AJ502" s="516"/>
      <c r="AK502" s="519"/>
      <c r="AL502" s="506">
        <f t="shared" si="231"/>
        <v>0</v>
      </c>
      <c r="AM502" s="509">
        <f t="shared" si="232"/>
        <v>0</v>
      </c>
      <c r="AN502" s="518"/>
      <c r="AO502" s="520"/>
      <c r="AP502" s="516"/>
      <c r="AQ502" s="520"/>
      <c r="AR502" s="516"/>
      <c r="AS502" s="520"/>
      <c r="AT502" s="516"/>
      <c r="AU502" s="520"/>
      <c r="AV502" s="506">
        <f t="shared" si="233"/>
        <v>0</v>
      </c>
      <c r="AW502" s="511">
        <f t="shared" si="234"/>
        <v>0</v>
      </c>
      <c r="AX502" s="508">
        <f t="shared" si="235"/>
        <v>0</v>
      </c>
      <c r="AY502" s="512">
        <f t="shared" si="236"/>
        <v>0</v>
      </c>
      <c r="AZ502" s="513">
        <f t="shared" si="237"/>
        <v>273.24</v>
      </c>
      <c r="BA502" s="508">
        <f t="shared" si="238"/>
        <v>232.15777777777777</v>
      </c>
    </row>
    <row r="503" spans="1:53">
      <c r="A503" s="708" t="s">
        <v>652</v>
      </c>
      <c r="B503" s="675" t="s">
        <v>692</v>
      </c>
      <c r="C503" s="685"/>
      <c r="D503" s="689">
        <v>220853</v>
      </c>
      <c r="E503" s="690">
        <v>13</v>
      </c>
      <c r="F503" s="514" t="s">
        <v>41</v>
      </c>
      <c r="G503" s="515"/>
      <c r="H503" s="516"/>
      <c r="I503" s="519"/>
      <c r="J503" s="516"/>
      <c r="K503" s="519"/>
      <c r="L503" s="516"/>
      <c r="M503" s="519"/>
      <c r="N503" s="516"/>
      <c r="O503" s="519"/>
      <c r="P503" s="506">
        <f t="shared" si="221"/>
        <v>0</v>
      </c>
      <c r="Q503" s="507">
        <f t="shared" si="222"/>
        <v>0</v>
      </c>
      <c r="R503" s="508">
        <f t="shared" si="223"/>
        <v>0</v>
      </c>
      <c r="S503" s="509">
        <f t="shared" si="224"/>
        <v>0</v>
      </c>
      <c r="T503" s="516"/>
      <c r="U503" s="519"/>
      <c r="V503" s="506">
        <f t="shared" si="225"/>
        <v>0</v>
      </c>
      <c r="W503" s="510">
        <f t="shared" si="226"/>
        <v>0</v>
      </c>
      <c r="X503" s="517"/>
      <c r="Y503" s="519"/>
      <c r="Z503" s="516">
        <v>266610</v>
      </c>
      <c r="AA503" s="683">
        <v>259997</v>
      </c>
      <c r="AB503" s="516">
        <v>251758</v>
      </c>
      <c r="AC503" s="684">
        <v>243393</v>
      </c>
      <c r="AD503" s="758">
        <v>280423</v>
      </c>
      <c r="AE503" s="759">
        <v>276408</v>
      </c>
      <c r="AF503" s="506">
        <f t="shared" si="227"/>
        <v>798791</v>
      </c>
      <c r="AG503" s="507">
        <f t="shared" si="228"/>
        <v>887.54555555555555</v>
      </c>
      <c r="AH503" s="508">
        <f t="shared" si="229"/>
        <v>779798</v>
      </c>
      <c r="AI503" s="508">
        <f t="shared" si="230"/>
        <v>866.4422222222222</v>
      </c>
      <c r="AJ503" s="516"/>
      <c r="AK503" s="519"/>
      <c r="AL503" s="506">
        <f t="shared" si="231"/>
        <v>0</v>
      </c>
      <c r="AM503" s="509">
        <f t="shared" si="232"/>
        <v>0</v>
      </c>
      <c r="AN503" s="518"/>
      <c r="AO503" s="520"/>
      <c r="AP503" s="516"/>
      <c r="AQ503" s="520"/>
      <c r="AR503" s="516"/>
      <c r="AS503" s="520"/>
      <c r="AT503" s="516"/>
      <c r="AU503" s="520"/>
      <c r="AV503" s="506">
        <f t="shared" si="233"/>
        <v>0</v>
      </c>
      <c r="AW503" s="511">
        <f t="shared" si="234"/>
        <v>0</v>
      </c>
      <c r="AX503" s="508">
        <f t="shared" si="235"/>
        <v>0</v>
      </c>
      <c r="AY503" s="512">
        <f t="shared" si="236"/>
        <v>0</v>
      </c>
      <c r="AZ503" s="513">
        <f t="shared" si="237"/>
        <v>887.54555555555555</v>
      </c>
      <c r="BA503" s="508">
        <f t="shared" si="238"/>
        <v>866.4422222222222</v>
      </c>
    </row>
    <row r="504" spans="1:53">
      <c r="A504" s="708" t="s">
        <v>652</v>
      </c>
      <c r="B504" s="675" t="s">
        <v>693</v>
      </c>
      <c r="C504" s="688"/>
      <c r="D504" s="689">
        <v>221050</v>
      </c>
      <c r="E504" s="690">
        <v>13</v>
      </c>
      <c r="F504" s="514" t="s">
        <v>41</v>
      </c>
      <c r="G504" s="515"/>
      <c r="H504" s="516"/>
      <c r="I504" s="519"/>
      <c r="J504" s="516"/>
      <c r="K504" s="519"/>
      <c r="L504" s="516"/>
      <c r="M504" s="519"/>
      <c r="N504" s="516"/>
      <c r="O504" s="519"/>
      <c r="P504" s="506">
        <f t="shared" si="221"/>
        <v>0</v>
      </c>
      <c r="Q504" s="507">
        <f t="shared" si="222"/>
        <v>0</v>
      </c>
      <c r="R504" s="508">
        <f t="shared" si="223"/>
        <v>0</v>
      </c>
      <c r="S504" s="509">
        <f t="shared" si="224"/>
        <v>0</v>
      </c>
      <c r="T504" s="516"/>
      <c r="U504" s="519"/>
      <c r="V504" s="506">
        <f t="shared" si="225"/>
        <v>0</v>
      </c>
      <c r="W504" s="510">
        <f t="shared" si="226"/>
        <v>0</v>
      </c>
      <c r="X504" s="517"/>
      <c r="Y504" s="519"/>
      <c r="Z504" s="516">
        <v>185104</v>
      </c>
      <c r="AA504" s="683">
        <v>179417</v>
      </c>
      <c r="AB504" s="516">
        <v>159218</v>
      </c>
      <c r="AC504" s="684">
        <v>164143</v>
      </c>
      <c r="AD504" s="758">
        <v>181089</v>
      </c>
      <c r="AE504" s="759">
        <v>171154</v>
      </c>
      <c r="AF504" s="506">
        <f t="shared" si="227"/>
        <v>525411</v>
      </c>
      <c r="AG504" s="507">
        <f t="shared" si="228"/>
        <v>583.79</v>
      </c>
      <c r="AH504" s="508">
        <f t="shared" si="229"/>
        <v>514714</v>
      </c>
      <c r="AI504" s="508">
        <f t="shared" si="230"/>
        <v>571.90444444444449</v>
      </c>
      <c r="AJ504" s="516"/>
      <c r="AK504" s="519"/>
      <c r="AL504" s="506">
        <f t="shared" si="231"/>
        <v>0</v>
      </c>
      <c r="AM504" s="509">
        <f t="shared" si="232"/>
        <v>0</v>
      </c>
      <c r="AN504" s="518"/>
      <c r="AO504" s="520"/>
      <c r="AP504" s="516"/>
      <c r="AQ504" s="520"/>
      <c r="AR504" s="516"/>
      <c r="AS504" s="520"/>
      <c r="AT504" s="516"/>
      <c r="AU504" s="520"/>
      <c r="AV504" s="506">
        <f t="shared" si="233"/>
        <v>0</v>
      </c>
      <c r="AW504" s="511">
        <f t="shared" si="234"/>
        <v>0</v>
      </c>
      <c r="AX504" s="508">
        <f t="shared" si="235"/>
        <v>0</v>
      </c>
      <c r="AY504" s="512">
        <f t="shared" si="236"/>
        <v>0</v>
      </c>
      <c r="AZ504" s="513">
        <f t="shared" si="237"/>
        <v>583.79</v>
      </c>
      <c r="BA504" s="508">
        <f t="shared" si="238"/>
        <v>571.90444444444449</v>
      </c>
    </row>
    <row r="505" spans="1:53">
      <c r="A505" s="708" t="s">
        <v>652</v>
      </c>
      <c r="B505" s="675" t="s">
        <v>694</v>
      </c>
      <c r="C505" s="688"/>
      <c r="D505" s="689">
        <v>221102</v>
      </c>
      <c r="E505" s="690">
        <v>13</v>
      </c>
      <c r="F505" s="514" t="s">
        <v>41</v>
      </c>
      <c r="G505" s="515"/>
      <c r="H505" s="516"/>
      <c r="I505" s="519"/>
      <c r="J505" s="516"/>
      <c r="K505" s="519"/>
      <c r="L505" s="516"/>
      <c r="M505" s="519"/>
      <c r="N505" s="516"/>
      <c r="O505" s="519"/>
      <c r="P505" s="506">
        <f t="shared" si="221"/>
        <v>0</v>
      </c>
      <c r="Q505" s="507">
        <f t="shared" si="222"/>
        <v>0</v>
      </c>
      <c r="R505" s="508">
        <f t="shared" si="223"/>
        <v>0</v>
      </c>
      <c r="S505" s="509">
        <f t="shared" si="224"/>
        <v>0</v>
      </c>
      <c r="T505" s="516"/>
      <c r="U505" s="519"/>
      <c r="V505" s="506">
        <f t="shared" si="225"/>
        <v>0</v>
      </c>
      <c r="W505" s="510">
        <f t="shared" si="226"/>
        <v>0</v>
      </c>
      <c r="X505" s="517"/>
      <c r="Y505" s="519"/>
      <c r="Z505" s="516">
        <v>174185</v>
      </c>
      <c r="AA505" s="683">
        <v>141188</v>
      </c>
      <c r="AB505" s="516">
        <v>134883</v>
      </c>
      <c r="AC505" s="684">
        <v>148748</v>
      </c>
      <c r="AD505" s="758">
        <v>148391</v>
      </c>
      <c r="AE505" s="759">
        <v>139536</v>
      </c>
      <c r="AF505" s="506">
        <f t="shared" si="227"/>
        <v>457459</v>
      </c>
      <c r="AG505" s="507">
        <f t="shared" si="228"/>
        <v>508.28777777777776</v>
      </c>
      <c r="AH505" s="508">
        <f t="shared" si="229"/>
        <v>429472</v>
      </c>
      <c r="AI505" s="508">
        <f t="shared" si="230"/>
        <v>477.19111111111113</v>
      </c>
      <c r="AJ505" s="516"/>
      <c r="AK505" s="519"/>
      <c r="AL505" s="506">
        <f t="shared" si="231"/>
        <v>0</v>
      </c>
      <c r="AM505" s="509">
        <f t="shared" si="232"/>
        <v>0</v>
      </c>
      <c r="AN505" s="518"/>
      <c r="AO505" s="520"/>
      <c r="AP505" s="516"/>
      <c r="AQ505" s="520"/>
      <c r="AR505" s="516"/>
      <c r="AS505" s="520"/>
      <c r="AT505" s="516"/>
      <c r="AU505" s="520"/>
      <c r="AV505" s="506">
        <f t="shared" si="233"/>
        <v>0</v>
      </c>
      <c r="AW505" s="511">
        <f t="shared" si="234"/>
        <v>0</v>
      </c>
      <c r="AX505" s="508">
        <f t="shared" si="235"/>
        <v>0</v>
      </c>
      <c r="AY505" s="512">
        <f t="shared" si="236"/>
        <v>0</v>
      </c>
      <c r="AZ505" s="513">
        <f t="shared" si="237"/>
        <v>508.28777777777776</v>
      </c>
      <c r="BA505" s="508">
        <f t="shared" si="238"/>
        <v>477.19111111111113</v>
      </c>
    </row>
    <row r="506" spans="1:53">
      <c r="A506" s="708" t="s">
        <v>652</v>
      </c>
      <c r="B506" s="675" t="s">
        <v>695</v>
      </c>
      <c r="C506" s="685"/>
      <c r="D506" s="689">
        <v>248925</v>
      </c>
      <c r="E506" s="690">
        <v>13</v>
      </c>
      <c r="F506" s="514" t="s">
        <v>41</v>
      </c>
      <c r="G506" s="515"/>
      <c r="H506" s="516"/>
      <c r="I506" s="519"/>
      <c r="J506" s="516"/>
      <c r="K506" s="519"/>
      <c r="L506" s="516"/>
      <c r="M506" s="519"/>
      <c r="N506" s="516"/>
      <c r="O506" s="519"/>
      <c r="P506" s="506">
        <f t="shared" si="221"/>
        <v>0</v>
      </c>
      <c r="Q506" s="507">
        <f t="shared" si="222"/>
        <v>0</v>
      </c>
      <c r="R506" s="508">
        <f t="shared" si="223"/>
        <v>0</v>
      </c>
      <c r="S506" s="509">
        <f t="shared" si="224"/>
        <v>0</v>
      </c>
      <c r="T506" s="516"/>
      <c r="U506" s="519"/>
      <c r="V506" s="506">
        <f t="shared" si="225"/>
        <v>0</v>
      </c>
      <c r="W506" s="510">
        <f t="shared" si="226"/>
        <v>0</v>
      </c>
      <c r="X506" s="517"/>
      <c r="Y506" s="519"/>
      <c r="Z506" s="516">
        <v>257568</v>
      </c>
      <c r="AA506" s="683">
        <v>278262</v>
      </c>
      <c r="AB506" s="516">
        <v>229722</v>
      </c>
      <c r="AC506" s="684">
        <v>219552</v>
      </c>
      <c r="AD506" s="758">
        <v>264258</v>
      </c>
      <c r="AE506" s="759">
        <v>242102</v>
      </c>
      <c r="AF506" s="506">
        <f t="shared" si="227"/>
        <v>751548</v>
      </c>
      <c r="AG506" s="507">
        <f t="shared" si="228"/>
        <v>835.05333333333328</v>
      </c>
      <c r="AH506" s="508">
        <f t="shared" si="229"/>
        <v>739916</v>
      </c>
      <c r="AI506" s="508">
        <f t="shared" si="230"/>
        <v>822.12888888888892</v>
      </c>
      <c r="AJ506" s="516"/>
      <c r="AK506" s="519"/>
      <c r="AL506" s="506">
        <f t="shared" si="231"/>
        <v>0</v>
      </c>
      <c r="AM506" s="509">
        <f t="shared" si="232"/>
        <v>0</v>
      </c>
      <c r="AN506" s="518"/>
      <c r="AO506" s="520"/>
      <c r="AP506" s="516"/>
      <c r="AQ506" s="520"/>
      <c r="AR506" s="516"/>
      <c r="AS506" s="520"/>
      <c r="AT506" s="516"/>
      <c r="AU506" s="520"/>
      <c r="AV506" s="506">
        <f t="shared" si="233"/>
        <v>0</v>
      </c>
      <c r="AW506" s="511">
        <f t="shared" si="234"/>
        <v>0</v>
      </c>
      <c r="AX506" s="508">
        <f t="shared" si="235"/>
        <v>0</v>
      </c>
      <c r="AY506" s="512">
        <f t="shared" si="236"/>
        <v>0</v>
      </c>
      <c r="AZ506" s="513">
        <f t="shared" si="237"/>
        <v>835.05333333333328</v>
      </c>
      <c r="BA506" s="508">
        <f t="shared" si="238"/>
        <v>822.12888888888892</v>
      </c>
    </row>
    <row r="507" spans="1:53">
      <c r="A507" s="708" t="s">
        <v>652</v>
      </c>
      <c r="B507" s="675" t="s">
        <v>696</v>
      </c>
      <c r="C507" s="688"/>
      <c r="D507" s="689">
        <v>221236</v>
      </c>
      <c r="E507" s="690">
        <v>13</v>
      </c>
      <c r="F507" s="514" t="s">
        <v>41</v>
      </c>
      <c r="G507" s="515"/>
      <c r="H507" s="516"/>
      <c r="I507" s="519"/>
      <c r="J507" s="516"/>
      <c r="K507" s="519"/>
      <c r="L507" s="516"/>
      <c r="M507" s="519"/>
      <c r="N507" s="516"/>
      <c r="O507" s="519"/>
      <c r="P507" s="506">
        <f t="shared" si="221"/>
        <v>0</v>
      </c>
      <c r="Q507" s="507">
        <f t="shared" si="222"/>
        <v>0</v>
      </c>
      <c r="R507" s="508">
        <f t="shared" si="223"/>
        <v>0</v>
      </c>
      <c r="S507" s="509">
        <f t="shared" si="224"/>
        <v>0</v>
      </c>
      <c r="T507" s="516"/>
      <c r="U507" s="519"/>
      <c r="V507" s="506">
        <f t="shared" si="225"/>
        <v>0</v>
      </c>
      <c r="W507" s="510">
        <f t="shared" si="226"/>
        <v>0</v>
      </c>
      <c r="X507" s="517"/>
      <c r="Y507" s="519"/>
      <c r="Z507" s="516">
        <v>77916</v>
      </c>
      <c r="AA507" s="683">
        <v>128808</v>
      </c>
      <c r="AB507" s="516">
        <v>64752</v>
      </c>
      <c r="AC507" s="684">
        <v>110683</v>
      </c>
      <c r="AD507" s="758">
        <v>103196</v>
      </c>
      <c r="AE507" s="759">
        <v>117982</v>
      </c>
      <c r="AF507" s="506">
        <f t="shared" si="227"/>
        <v>245864</v>
      </c>
      <c r="AG507" s="507">
        <f t="shared" si="228"/>
        <v>273.18222222222221</v>
      </c>
      <c r="AH507" s="508">
        <f t="shared" si="229"/>
        <v>357473</v>
      </c>
      <c r="AI507" s="508">
        <f t="shared" si="230"/>
        <v>397.1922222222222</v>
      </c>
      <c r="AJ507" s="516"/>
      <c r="AK507" s="519"/>
      <c r="AL507" s="506">
        <f t="shared" si="231"/>
        <v>0</v>
      </c>
      <c r="AM507" s="509">
        <f t="shared" si="232"/>
        <v>0</v>
      </c>
      <c r="AN507" s="518"/>
      <c r="AO507" s="520"/>
      <c r="AP507" s="516"/>
      <c r="AQ507" s="520"/>
      <c r="AR507" s="516"/>
      <c r="AS507" s="520"/>
      <c r="AT507" s="516"/>
      <c r="AU507" s="520"/>
      <c r="AV507" s="506">
        <f t="shared" si="233"/>
        <v>0</v>
      </c>
      <c r="AW507" s="511">
        <f t="shared" si="234"/>
        <v>0</v>
      </c>
      <c r="AX507" s="508">
        <f t="shared" si="235"/>
        <v>0</v>
      </c>
      <c r="AY507" s="512">
        <f t="shared" si="236"/>
        <v>0</v>
      </c>
      <c r="AZ507" s="513">
        <f t="shared" si="237"/>
        <v>273.18222222222221</v>
      </c>
      <c r="BA507" s="508">
        <f t="shared" si="238"/>
        <v>397.1922222222222</v>
      </c>
    </row>
    <row r="508" spans="1:53">
      <c r="A508" s="708" t="s">
        <v>652</v>
      </c>
      <c r="B508" s="675" t="s">
        <v>697</v>
      </c>
      <c r="C508" s="688"/>
      <c r="D508" s="689">
        <v>221582</v>
      </c>
      <c r="E508" s="690">
        <v>13</v>
      </c>
      <c r="F508" s="514" t="s">
        <v>41</v>
      </c>
      <c r="G508" s="515"/>
      <c r="H508" s="516"/>
      <c r="I508" s="519"/>
      <c r="J508" s="516"/>
      <c r="K508" s="519"/>
      <c r="L508" s="516"/>
      <c r="M508" s="519"/>
      <c r="N508" s="516"/>
      <c r="O508" s="519"/>
      <c r="P508" s="506">
        <f t="shared" si="221"/>
        <v>0</v>
      </c>
      <c r="Q508" s="507">
        <f t="shared" si="222"/>
        <v>0</v>
      </c>
      <c r="R508" s="508">
        <f t="shared" si="223"/>
        <v>0</v>
      </c>
      <c r="S508" s="509">
        <f t="shared" si="224"/>
        <v>0</v>
      </c>
      <c r="T508" s="516"/>
      <c r="U508" s="519"/>
      <c r="V508" s="506">
        <f t="shared" si="225"/>
        <v>0</v>
      </c>
      <c r="W508" s="510">
        <f t="shared" si="226"/>
        <v>0</v>
      </c>
      <c r="X508" s="517"/>
      <c r="Y508" s="519"/>
      <c r="Z508" s="516">
        <v>116904</v>
      </c>
      <c r="AA508" s="683">
        <v>74206</v>
      </c>
      <c r="AB508" s="516">
        <v>75489</v>
      </c>
      <c r="AC508" s="684">
        <v>54433</v>
      </c>
      <c r="AD508" s="758">
        <v>86633</v>
      </c>
      <c r="AE508" s="759">
        <v>73250</v>
      </c>
      <c r="AF508" s="506">
        <f t="shared" si="227"/>
        <v>279026</v>
      </c>
      <c r="AG508" s="507">
        <f t="shared" si="228"/>
        <v>310.0288888888889</v>
      </c>
      <c r="AH508" s="508">
        <f t="shared" si="229"/>
        <v>201889</v>
      </c>
      <c r="AI508" s="508">
        <f t="shared" si="230"/>
        <v>224.32111111111112</v>
      </c>
      <c r="AJ508" s="516"/>
      <c r="AK508" s="519"/>
      <c r="AL508" s="506">
        <f t="shared" si="231"/>
        <v>0</v>
      </c>
      <c r="AM508" s="509">
        <f t="shared" si="232"/>
        <v>0</v>
      </c>
      <c r="AN508" s="518"/>
      <c r="AO508" s="520"/>
      <c r="AP508" s="516"/>
      <c r="AQ508" s="520"/>
      <c r="AR508" s="516"/>
      <c r="AS508" s="520"/>
      <c r="AT508" s="516"/>
      <c r="AU508" s="520"/>
      <c r="AV508" s="506">
        <f t="shared" si="233"/>
        <v>0</v>
      </c>
      <c r="AW508" s="511">
        <f t="shared" si="234"/>
        <v>0</v>
      </c>
      <c r="AX508" s="508">
        <f t="shared" si="235"/>
        <v>0</v>
      </c>
      <c r="AY508" s="512">
        <f t="shared" si="236"/>
        <v>0</v>
      </c>
      <c r="AZ508" s="513">
        <f t="shared" si="237"/>
        <v>310.0288888888889</v>
      </c>
      <c r="BA508" s="508">
        <f t="shared" si="238"/>
        <v>224.32111111111112</v>
      </c>
    </row>
    <row r="509" spans="1:53">
      <c r="A509" s="708" t="s">
        <v>652</v>
      </c>
      <c r="B509" s="675" t="s">
        <v>698</v>
      </c>
      <c r="C509" s="688"/>
      <c r="D509" s="689">
        <v>221281</v>
      </c>
      <c r="E509" s="690">
        <v>13</v>
      </c>
      <c r="F509" s="514" t="s">
        <v>41</v>
      </c>
      <c r="G509" s="515"/>
      <c r="H509" s="516"/>
      <c r="I509" s="519"/>
      <c r="J509" s="516"/>
      <c r="K509" s="519"/>
      <c r="L509" s="516"/>
      <c r="M509" s="519"/>
      <c r="N509" s="516"/>
      <c r="O509" s="519"/>
      <c r="P509" s="506">
        <f t="shared" si="221"/>
        <v>0</v>
      </c>
      <c r="Q509" s="507">
        <f t="shared" si="222"/>
        <v>0</v>
      </c>
      <c r="R509" s="508">
        <f t="shared" si="223"/>
        <v>0</v>
      </c>
      <c r="S509" s="509">
        <f t="shared" si="224"/>
        <v>0</v>
      </c>
      <c r="T509" s="516"/>
      <c r="U509" s="519"/>
      <c r="V509" s="506">
        <f t="shared" si="225"/>
        <v>0</v>
      </c>
      <c r="W509" s="510">
        <f t="shared" si="226"/>
        <v>0</v>
      </c>
      <c r="X509" s="517"/>
      <c r="Y509" s="519"/>
      <c r="Z509" s="516">
        <v>103602</v>
      </c>
      <c r="AA509" s="683">
        <v>111690</v>
      </c>
      <c r="AB509" s="516">
        <v>91638</v>
      </c>
      <c r="AC509" s="684">
        <v>105413</v>
      </c>
      <c r="AD509" s="758">
        <v>100354</v>
      </c>
      <c r="AE509" s="759">
        <v>106651</v>
      </c>
      <c r="AF509" s="506">
        <f t="shared" si="227"/>
        <v>295594</v>
      </c>
      <c r="AG509" s="507">
        <f t="shared" si="228"/>
        <v>328.4377777777778</v>
      </c>
      <c r="AH509" s="508">
        <f t="shared" si="229"/>
        <v>323754</v>
      </c>
      <c r="AI509" s="508">
        <f t="shared" si="230"/>
        <v>359.72666666666669</v>
      </c>
      <c r="AJ509" s="516"/>
      <c r="AK509" s="519"/>
      <c r="AL509" s="506">
        <f t="shared" si="231"/>
        <v>0</v>
      </c>
      <c r="AM509" s="509">
        <f t="shared" si="232"/>
        <v>0</v>
      </c>
      <c r="AN509" s="518"/>
      <c r="AO509" s="520"/>
      <c r="AP509" s="516"/>
      <c r="AQ509" s="520"/>
      <c r="AR509" s="516"/>
      <c r="AS509" s="520"/>
      <c r="AT509" s="516"/>
      <c r="AU509" s="520"/>
      <c r="AV509" s="506">
        <f t="shared" si="233"/>
        <v>0</v>
      </c>
      <c r="AW509" s="511">
        <f t="shared" si="234"/>
        <v>0</v>
      </c>
      <c r="AX509" s="508">
        <f t="shared" si="235"/>
        <v>0</v>
      </c>
      <c r="AY509" s="512">
        <f t="shared" si="236"/>
        <v>0</v>
      </c>
      <c r="AZ509" s="513">
        <f t="shared" si="237"/>
        <v>328.4377777777778</v>
      </c>
      <c r="BA509" s="508">
        <f t="shared" si="238"/>
        <v>359.72666666666669</v>
      </c>
    </row>
    <row r="510" spans="1:53">
      <c r="A510" s="708" t="s">
        <v>652</v>
      </c>
      <c r="B510" s="675" t="s">
        <v>699</v>
      </c>
      <c r="C510" s="688"/>
      <c r="D510" s="689">
        <v>221333</v>
      </c>
      <c r="E510" s="690">
        <v>13</v>
      </c>
      <c r="F510" s="514" t="s">
        <v>41</v>
      </c>
      <c r="G510" s="515"/>
      <c r="H510" s="516"/>
      <c r="I510" s="519"/>
      <c r="J510" s="516"/>
      <c r="K510" s="519"/>
      <c r="L510" s="516"/>
      <c r="M510" s="519"/>
      <c r="N510" s="516"/>
      <c r="O510" s="519"/>
      <c r="P510" s="506">
        <f t="shared" si="221"/>
        <v>0</v>
      </c>
      <c r="Q510" s="507">
        <f t="shared" si="222"/>
        <v>0</v>
      </c>
      <c r="R510" s="508">
        <f t="shared" si="223"/>
        <v>0</v>
      </c>
      <c r="S510" s="509">
        <f t="shared" si="224"/>
        <v>0</v>
      </c>
      <c r="T510" s="516"/>
      <c r="U510" s="519"/>
      <c r="V510" s="506">
        <f t="shared" si="225"/>
        <v>0</v>
      </c>
      <c r="W510" s="510">
        <f t="shared" si="226"/>
        <v>0</v>
      </c>
      <c r="X510" s="517"/>
      <c r="Y510" s="519"/>
      <c r="Z510" s="516">
        <v>167365</v>
      </c>
      <c r="AA510" s="683">
        <v>127721</v>
      </c>
      <c r="AB510" s="516">
        <v>74065</v>
      </c>
      <c r="AC510" s="684">
        <v>63907</v>
      </c>
      <c r="AD510" s="758">
        <v>126508</v>
      </c>
      <c r="AE510" s="759">
        <v>117700</v>
      </c>
      <c r="AF510" s="506">
        <f t="shared" si="227"/>
        <v>367938</v>
      </c>
      <c r="AG510" s="507">
        <f t="shared" si="228"/>
        <v>408.82</v>
      </c>
      <c r="AH510" s="508">
        <f t="shared" si="229"/>
        <v>309328</v>
      </c>
      <c r="AI510" s="508">
        <f t="shared" si="230"/>
        <v>343.69777777777779</v>
      </c>
      <c r="AJ510" s="516"/>
      <c r="AK510" s="519"/>
      <c r="AL510" s="506">
        <f t="shared" si="231"/>
        <v>0</v>
      </c>
      <c r="AM510" s="509">
        <f t="shared" si="232"/>
        <v>0</v>
      </c>
      <c r="AN510" s="518"/>
      <c r="AO510" s="520"/>
      <c r="AP510" s="516"/>
      <c r="AQ510" s="520"/>
      <c r="AR510" s="516"/>
      <c r="AS510" s="520"/>
      <c r="AT510" s="516"/>
      <c r="AU510" s="520"/>
      <c r="AV510" s="506">
        <f t="shared" si="233"/>
        <v>0</v>
      </c>
      <c r="AW510" s="511">
        <f t="shared" si="234"/>
        <v>0</v>
      </c>
      <c r="AX510" s="508">
        <f t="shared" si="235"/>
        <v>0</v>
      </c>
      <c r="AY510" s="512">
        <f t="shared" si="236"/>
        <v>0</v>
      </c>
      <c r="AZ510" s="513">
        <f t="shared" si="237"/>
        <v>408.82</v>
      </c>
      <c r="BA510" s="508">
        <f t="shared" si="238"/>
        <v>343.69777777777779</v>
      </c>
    </row>
    <row r="511" spans="1:53">
      <c r="A511" s="708" t="s">
        <v>652</v>
      </c>
      <c r="B511" s="675" t="s">
        <v>700</v>
      </c>
      <c r="C511" s="688"/>
      <c r="D511" s="689">
        <v>221388</v>
      </c>
      <c r="E511" s="690">
        <v>13</v>
      </c>
      <c r="F511" s="514" t="s">
        <v>41</v>
      </c>
      <c r="G511" s="515"/>
      <c r="H511" s="516"/>
      <c r="I511" s="519"/>
      <c r="J511" s="516"/>
      <c r="K511" s="519"/>
      <c r="L511" s="516"/>
      <c r="M511" s="519"/>
      <c r="N511" s="516"/>
      <c r="O511" s="519"/>
      <c r="P511" s="506">
        <f t="shared" si="221"/>
        <v>0</v>
      </c>
      <c r="Q511" s="507">
        <f t="shared" si="222"/>
        <v>0</v>
      </c>
      <c r="R511" s="508">
        <f t="shared" si="223"/>
        <v>0</v>
      </c>
      <c r="S511" s="509">
        <f t="shared" si="224"/>
        <v>0</v>
      </c>
      <c r="T511" s="516"/>
      <c r="U511" s="519"/>
      <c r="V511" s="506">
        <f t="shared" si="225"/>
        <v>0</v>
      </c>
      <c r="W511" s="510">
        <f t="shared" si="226"/>
        <v>0</v>
      </c>
      <c r="X511" s="517"/>
      <c r="Y511" s="519"/>
      <c r="Z511" s="516">
        <v>58840</v>
      </c>
      <c r="AA511" s="683">
        <v>56880</v>
      </c>
      <c r="AB511" s="516">
        <v>50002</v>
      </c>
      <c r="AC511" s="684">
        <v>49724</v>
      </c>
      <c r="AD511" s="758">
        <v>58646</v>
      </c>
      <c r="AE511" s="759">
        <v>51382</v>
      </c>
      <c r="AF511" s="506">
        <f t="shared" si="227"/>
        <v>167488</v>
      </c>
      <c r="AG511" s="507">
        <f t="shared" si="228"/>
        <v>186.09777777777776</v>
      </c>
      <c r="AH511" s="508">
        <f t="shared" si="229"/>
        <v>157986</v>
      </c>
      <c r="AI511" s="508">
        <f t="shared" si="230"/>
        <v>175.54</v>
      </c>
      <c r="AJ511" s="516"/>
      <c r="AK511" s="519"/>
      <c r="AL511" s="506">
        <f t="shared" si="231"/>
        <v>0</v>
      </c>
      <c r="AM511" s="509">
        <f t="shared" si="232"/>
        <v>0</v>
      </c>
      <c r="AN511" s="518"/>
      <c r="AO511" s="520"/>
      <c r="AP511" s="516"/>
      <c r="AQ511" s="520"/>
      <c r="AR511" s="516"/>
      <c r="AS511" s="520"/>
      <c r="AT511" s="516"/>
      <c r="AU511" s="520"/>
      <c r="AV511" s="506">
        <f t="shared" si="233"/>
        <v>0</v>
      </c>
      <c r="AW511" s="511">
        <f t="shared" si="234"/>
        <v>0</v>
      </c>
      <c r="AX511" s="508">
        <f t="shared" si="235"/>
        <v>0</v>
      </c>
      <c r="AY511" s="512">
        <f t="shared" si="236"/>
        <v>0</v>
      </c>
      <c r="AZ511" s="513">
        <f t="shared" si="237"/>
        <v>186.09777777777776</v>
      </c>
      <c r="BA511" s="508">
        <f t="shared" si="238"/>
        <v>175.54</v>
      </c>
    </row>
    <row r="512" spans="1:53">
      <c r="A512" s="708" t="s">
        <v>652</v>
      </c>
      <c r="B512" s="675" t="s">
        <v>701</v>
      </c>
      <c r="C512" s="688"/>
      <c r="D512" s="689">
        <v>221494</v>
      </c>
      <c r="E512" s="690">
        <v>13</v>
      </c>
      <c r="F512" s="514" t="s">
        <v>41</v>
      </c>
      <c r="G512" s="515"/>
      <c r="H512" s="516"/>
      <c r="I512" s="519"/>
      <c r="J512" s="516"/>
      <c r="K512" s="519"/>
      <c r="L512" s="516"/>
      <c r="M512" s="519"/>
      <c r="N512" s="516"/>
      <c r="O512" s="519"/>
      <c r="P512" s="506">
        <f t="shared" si="221"/>
        <v>0</v>
      </c>
      <c r="Q512" s="507">
        <f t="shared" si="222"/>
        <v>0</v>
      </c>
      <c r="R512" s="508">
        <f t="shared" si="223"/>
        <v>0</v>
      </c>
      <c r="S512" s="509">
        <f t="shared" si="224"/>
        <v>0</v>
      </c>
      <c r="T512" s="516"/>
      <c r="U512" s="519"/>
      <c r="V512" s="506">
        <f t="shared" si="225"/>
        <v>0</v>
      </c>
      <c r="W512" s="510">
        <f t="shared" si="226"/>
        <v>0</v>
      </c>
      <c r="X512" s="517"/>
      <c r="Y512" s="519"/>
      <c r="Z512" s="516">
        <v>155729</v>
      </c>
      <c r="AA512" s="683">
        <v>157881</v>
      </c>
      <c r="AB512" s="516">
        <v>144143</v>
      </c>
      <c r="AC512" s="684">
        <v>151235</v>
      </c>
      <c r="AD512" s="758">
        <v>162810</v>
      </c>
      <c r="AE512" s="759">
        <v>161268</v>
      </c>
      <c r="AF512" s="506">
        <f t="shared" si="227"/>
        <v>462682</v>
      </c>
      <c r="AG512" s="507">
        <f t="shared" si="228"/>
        <v>514.0911111111111</v>
      </c>
      <c r="AH512" s="508">
        <f t="shared" si="229"/>
        <v>470384</v>
      </c>
      <c r="AI512" s="508">
        <f t="shared" si="230"/>
        <v>522.64888888888891</v>
      </c>
      <c r="AJ512" s="516"/>
      <c r="AK512" s="519"/>
      <c r="AL512" s="506">
        <f t="shared" si="231"/>
        <v>0</v>
      </c>
      <c r="AM512" s="509">
        <f t="shared" si="232"/>
        <v>0</v>
      </c>
      <c r="AN512" s="518"/>
      <c r="AO512" s="520"/>
      <c r="AP512" s="516"/>
      <c r="AQ512" s="520"/>
      <c r="AR512" s="516"/>
      <c r="AS512" s="520"/>
      <c r="AT512" s="516"/>
      <c r="AU512" s="520"/>
      <c r="AV512" s="506">
        <f t="shared" si="233"/>
        <v>0</v>
      </c>
      <c r="AW512" s="511">
        <f t="shared" si="234"/>
        <v>0</v>
      </c>
      <c r="AX512" s="508">
        <f t="shared" si="235"/>
        <v>0</v>
      </c>
      <c r="AY512" s="512">
        <f t="shared" si="236"/>
        <v>0</v>
      </c>
      <c r="AZ512" s="513">
        <f t="shared" si="237"/>
        <v>514.0911111111111</v>
      </c>
      <c r="BA512" s="508">
        <f t="shared" si="238"/>
        <v>522.64888888888891</v>
      </c>
    </row>
    <row r="513" spans="1:53">
      <c r="A513" s="708" t="s">
        <v>652</v>
      </c>
      <c r="B513" s="675" t="s">
        <v>702</v>
      </c>
      <c r="C513" s="688"/>
      <c r="D513" s="689">
        <v>221634</v>
      </c>
      <c r="E513" s="690">
        <v>13</v>
      </c>
      <c r="F513" s="514" t="s">
        <v>41</v>
      </c>
      <c r="G513" s="515"/>
      <c r="H513" s="516"/>
      <c r="I513" s="519"/>
      <c r="J513" s="516"/>
      <c r="K513" s="519"/>
      <c r="L513" s="516"/>
      <c r="M513" s="519"/>
      <c r="N513" s="516"/>
      <c r="O513" s="519"/>
      <c r="P513" s="506">
        <f t="shared" si="221"/>
        <v>0</v>
      </c>
      <c r="Q513" s="507">
        <f t="shared" si="222"/>
        <v>0</v>
      </c>
      <c r="R513" s="508">
        <f t="shared" si="223"/>
        <v>0</v>
      </c>
      <c r="S513" s="509">
        <f t="shared" si="224"/>
        <v>0</v>
      </c>
      <c r="T513" s="516"/>
      <c r="U513" s="519"/>
      <c r="V513" s="506">
        <f t="shared" si="225"/>
        <v>0</v>
      </c>
      <c r="W513" s="510">
        <f t="shared" si="226"/>
        <v>0</v>
      </c>
      <c r="X513" s="517"/>
      <c r="Y513" s="519"/>
      <c r="Z513" s="516">
        <v>62782</v>
      </c>
      <c r="AA513" s="683">
        <v>52309</v>
      </c>
      <c r="AB513" s="516">
        <v>54946</v>
      </c>
      <c r="AC513" s="684">
        <v>42222</v>
      </c>
      <c r="AD513" s="758">
        <v>55338</v>
      </c>
      <c r="AE513" s="759">
        <v>51522</v>
      </c>
      <c r="AF513" s="506">
        <f t="shared" si="227"/>
        <v>173066</v>
      </c>
      <c r="AG513" s="507">
        <f t="shared" si="228"/>
        <v>192.29555555555555</v>
      </c>
      <c r="AH513" s="508">
        <f t="shared" si="229"/>
        <v>146053</v>
      </c>
      <c r="AI513" s="508">
        <f t="shared" si="230"/>
        <v>162.2811111111111</v>
      </c>
      <c r="AJ513" s="516"/>
      <c r="AK513" s="519"/>
      <c r="AL513" s="506">
        <f t="shared" si="231"/>
        <v>0</v>
      </c>
      <c r="AM513" s="509">
        <f t="shared" si="232"/>
        <v>0</v>
      </c>
      <c r="AN513" s="518"/>
      <c r="AO513" s="520"/>
      <c r="AP513" s="516"/>
      <c r="AQ513" s="520"/>
      <c r="AR513" s="516"/>
      <c r="AS513" s="520"/>
      <c r="AT513" s="516"/>
      <c r="AU513" s="520"/>
      <c r="AV513" s="506">
        <f t="shared" si="233"/>
        <v>0</v>
      </c>
      <c r="AW513" s="511">
        <f t="shared" si="234"/>
        <v>0</v>
      </c>
      <c r="AX513" s="508">
        <f t="shared" si="235"/>
        <v>0</v>
      </c>
      <c r="AY513" s="512">
        <f t="shared" si="236"/>
        <v>0</v>
      </c>
      <c r="AZ513" s="513">
        <f t="shared" si="237"/>
        <v>192.29555555555555</v>
      </c>
      <c r="BA513" s="508">
        <f t="shared" si="238"/>
        <v>162.2811111111111</v>
      </c>
    </row>
    <row r="514" spans="1:53">
      <c r="A514" s="597" t="s">
        <v>533</v>
      </c>
      <c r="B514" s="595" t="s">
        <v>534</v>
      </c>
      <c r="C514" s="598"/>
      <c r="D514" s="597">
        <v>228723</v>
      </c>
      <c r="E514" s="597">
        <v>1</v>
      </c>
      <c r="F514" s="514" t="s">
        <v>41</v>
      </c>
      <c r="G514" s="515" t="s">
        <v>41</v>
      </c>
      <c r="H514" s="516"/>
      <c r="I514" s="519"/>
      <c r="J514" s="516">
        <v>482895</v>
      </c>
      <c r="K514" s="519">
        <v>487578</v>
      </c>
      <c r="L514" s="516">
        <v>69004</v>
      </c>
      <c r="M514" s="519">
        <v>67755</v>
      </c>
      <c r="N514" s="516">
        <v>526750</v>
      </c>
      <c r="O514" s="519">
        <v>527575</v>
      </c>
      <c r="P514" s="506">
        <f t="shared" si="221"/>
        <v>1078649</v>
      </c>
      <c r="Q514" s="507">
        <f t="shared" si="222"/>
        <v>35954.966666666667</v>
      </c>
      <c r="R514" s="508">
        <f t="shared" si="223"/>
        <v>1082908</v>
      </c>
      <c r="S514" s="509">
        <f t="shared" si="224"/>
        <v>36096.933333333334</v>
      </c>
      <c r="T514" s="516">
        <v>0</v>
      </c>
      <c r="U514" s="519">
        <v>0</v>
      </c>
      <c r="V514" s="506">
        <f t="shared" si="225"/>
        <v>1078649</v>
      </c>
      <c r="W514" s="510">
        <f t="shared" si="226"/>
        <v>1082908</v>
      </c>
      <c r="X514" s="517"/>
      <c r="Y514" s="519"/>
      <c r="Z514" s="516"/>
      <c r="AA514" s="519"/>
      <c r="AB514" s="516"/>
      <c r="AC514" s="519"/>
      <c r="AD514" s="516"/>
      <c r="AE514" s="519"/>
      <c r="AF514" s="506">
        <f t="shared" si="227"/>
        <v>0</v>
      </c>
      <c r="AG514" s="507">
        <f t="shared" si="228"/>
        <v>0</v>
      </c>
      <c r="AH514" s="508">
        <f t="shared" si="229"/>
        <v>0</v>
      </c>
      <c r="AI514" s="508">
        <f t="shared" si="230"/>
        <v>0</v>
      </c>
      <c r="AJ514" s="516"/>
      <c r="AK514" s="519"/>
      <c r="AL514" s="506">
        <f t="shared" si="231"/>
        <v>0</v>
      </c>
      <c r="AM514" s="509">
        <f t="shared" si="232"/>
        <v>0</v>
      </c>
      <c r="AN514" s="518"/>
      <c r="AO514" s="520"/>
      <c r="AP514" s="516">
        <v>71856</v>
      </c>
      <c r="AQ514" s="520">
        <v>71993</v>
      </c>
      <c r="AR514" s="516">
        <v>26290</v>
      </c>
      <c r="AS514" s="520">
        <v>26996</v>
      </c>
      <c r="AT514" s="516">
        <v>78350</v>
      </c>
      <c r="AU514" s="520">
        <v>80035</v>
      </c>
      <c r="AV514" s="506">
        <f t="shared" si="233"/>
        <v>176496</v>
      </c>
      <c r="AW514" s="511">
        <f t="shared" si="234"/>
        <v>7354</v>
      </c>
      <c r="AX514" s="508">
        <f t="shared" si="235"/>
        <v>179024</v>
      </c>
      <c r="AY514" s="512">
        <f t="shared" si="236"/>
        <v>7459.333333333333</v>
      </c>
      <c r="AZ514" s="513">
        <f t="shared" si="237"/>
        <v>43308.966666666667</v>
      </c>
      <c r="BA514" s="508">
        <f t="shared" si="238"/>
        <v>43556.26666666667</v>
      </c>
    </row>
    <row r="515" spans="1:53">
      <c r="A515" s="597" t="s">
        <v>533</v>
      </c>
      <c r="B515" s="595" t="s">
        <v>535</v>
      </c>
      <c r="C515" s="598"/>
      <c r="D515" s="597">
        <v>229115</v>
      </c>
      <c r="E515" s="597">
        <v>1</v>
      </c>
      <c r="F515" s="514" t="s">
        <v>41</v>
      </c>
      <c r="G515" s="515" t="s">
        <v>41</v>
      </c>
      <c r="H515" s="516"/>
      <c r="I515" s="519"/>
      <c r="J515" s="516">
        <v>307954</v>
      </c>
      <c r="K515" s="519">
        <v>312080</v>
      </c>
      <c r="L515" s="516">
        <v>56185</v>
      </c>
      <c r="M515" s="519">
        <v>60841</v>
      </c>
      <c r="N515" s="516">
        <v>339414</v>
      </c>
      <c r="O515" s="519">
        <v>342993</v>
      </c>
      <c r="P515" s="506">
        <f t="shared" si="221"/>
        <v>703553</v>
      </c>
      <c r="Q515" s="507">
        <f t="shared" si="222"/>
        <v>23451.766666666666</v>
      </c>
      <c r="R515" s="508">
        <f t="shared" si="223"/>
        <v>715914</v>
      </c>
      <c r="S515" s="509">
        <f t="shared" si="224"/>
        <v>23863.8</v>
      </c>
      <c r="T515" s="516">
        <v>0</v>
      </c>
      <c r="U515" s="519">
        <v>0</v>
      </c>
      <c r="V515" s="506">
        <f t="shared" si="225"/>
        <v>703553</v>
      </c>
      <c r="W515" s="510">
        <f t="shared" si="226"/>
        <v>715914</v>
      </c>
      <c r="X515" s="517"/>
      <c r="Y515" s="519"/>
      <c r="Z515" s="516"/>
      <c r="AA515" s="519"/>
      <c r="AB515" s="516"/>
      <c r="AC515" s="519"/>
      <c r="AD515" s="516"/>
      <c r="AE515" s="519"/>
      <c r="AF515" s="506">
        <f t="shared" si="227"/>
        <v>0</v>
      </c>
      <c r="AG515" s="507">
        <f t="shared" si="228"/>
        <v>0</v>
      </c>
      <c r="AH515" s="508">
        <f t="shared" si="229"/>
        <v>0</v>
      </c>
      <c r="AI515" s="508">
        <f t="shared" si="230"/>
        <v>0</v>
      </c>
      <c r="AJ515" s="516"/>
      <c r="AK515" s="519"/>
      <c r="AL515" s="506">
        <f t="shared" si="231"/>
        <v>0</v>
      </c>
      <c r="AM515" s="509">
        <f t="shared" si="232"/>
        <v>0</v>
      </c>
      <c r="AN515" s="518"/>
      <c r="AO515" s="520"/>
      <c r="AP515" s="516">
        <v>48305</v>
      </c>
      <c r="AQ515" s="520">
        <v>47982</v>
      </c>
      <c r="AR515" s="516">
        <v>20755</v>
      </c>
      <c r="AS515" s="520">
        <v>21815</v>
      </c>
      <c r="AT515" s="516">
        <v>51353</v>
      </c>
      <c r="AU515" s="520">
        <v>49549</v>
      </c>
      <c r="AV515" s="506">
        <f t="shared" si="233"/>
        <v>120413</v>
      </c>
      <c r="AW515" s="511">
        <f t="shared" si="234"/>
        <v>5017.208333333333</v>
      </c>
      <c r="AX515" s="508">
        <f t="shared" si="235"/>
        <v>119346</v>
      </c>
      <c r="AY515" s="512">
        <f t="shared" si="236"/>
        <v>4972.75</v>
      </c>
      <c r="AZ515" s="513">
        <f t="shared" si="237"/>
        <v>28468.974999999999</v>
      </c>
      <c r="BA515" s="508">
        <f t="shared" si="238"/>
        <v>28836.55</v>
      </c>
    </row>
    <row r="516" spans="1:53">
      <c r="A516" s="597" t="s">
        <v>533</v>
      </c>
      <c r="B516" s="595" t="s">
        <v>536</v>
      </c>
      <c r="C516" s="598"/>
      <c r="D516" s="597">
        <v>225511</v>
      </c>
      <c r="E516" s="597">
        <v>1</v>
      </c>
      <c r="F516" s="514" t="s">
        <v>41</v>
      </c>
      <c r="G516" s="515" t="s">
        <v>41</v>
      </c>
      <c r="H516" s="516"/>
      <c r="I516" s="519"/>
      <c r="J516" s="516">
        <v>342055</v>
      </c>
      <c r="K516" s="519">
        <v>351355</v>
      </c>
      <c r="L516" s="516">
        <v>59414</v>
      </c>
      <c r="M516" s="519">
        <v>59472</v>
      </c>
      <c r="N516" s="516">
        <v>371406</v>
      </c>
      <c r="O516" s="519">
        <v>381811</v>
      </c>
      <c r="P516" s="506">
        <f t="shared" si="221"/>
        <v>772875</v>
      </c>
      <c r="Q516" s="507">
        <f t="shared" si="222"/>
        <v>25762.5</v>
      </c>
      <c r="R516" s="508">
        <f t="shared" si="223"/>
        <v>792638</v>
      </c>
      <c r="S516" s="509">
        <f t="shared" si="224"/>
        <v>26421.266666666666</v>
      </c>
      <c r="T516" s="516">
        <v>42</v>
      </c>
      <c r="U516" s="519">
        <v>9</v>
      </c>
      <c r="V516" s="506">
        <f t="shared" si="225"/>
        <v>772875</v>
      </c>
      <c r="W516" s="510">
        <f t="shared" si="226"/>
        <v>792638</v>
      </c>
      <c r="X516" s="517"/>
      <c r="Y516" s="519"/>
      <c r="Z516" s="516"/>
      <c r="AA516" s="519"/>
      <c r="AB516" s="516"/>
      <c r="AC516" s="519"/>
      <c r="AD516" s="516"/>
      <c r="AE516" s="519"/>
      <c r="AF516" s="506">
        <f t="shared" si="227"/>
        <v>0</v>
      </c>
      <c r="AG516" s="507">
        <f t="shared" si="228"/>
        <v>0</v>
      </c>
      <c r="AH516" s="508">
        <f t="shared" si="229"/>
        <v>0</v>
      </c>
      <c r="AI516" s="508">
        <f t="shared" si="230"/>
        <v>0</v>
      </c>
      <c r="AJ516" s="516"/>
      <c r="AK516" s="519"/>
      <c r="AL516" s="506">
        <f t="shared" si="231"/>
        <v>0</v>
      </c>
      <c r="AM516" s="509">
        <f t="shared" si="232"/>
        <v>0</v>
      </c>
      <c r="AN516" s="518"/>
      <c r="AO516" s="520"/>
      <c r="AP516" s="516">
        <v>76288</v>
      </c>
      <c r="AQ516" s="520">
        <v>75964</v>
      </c>
      <c r="AR516" s="516">
        <v>24898</v>
      </c>
      <c r="AS516" s="520">
        <v>23480</v>
      </c>
      <c r="AT516" s="516">
        <v>78640</v>
      </c>
      <c r="AU516" s="520">
        <v>77398</v>
      </c>
      <c r="AV516" s="506">
        <f t="shared" si="233"/>
        <v>179826</v>
      </c>
      <c r="AW516" s="511">
        <f t="shared" si="234"/>
        <v>7492.75</v>
      </c>
      <c r="AX516" s="508">
        <f t="shared" si="235"/>
        <v>176842</v>
      </c>
      <c r="AY516" s="512">
        <f t="shared" si="236"/>
        <v>7368.416666666667</v>
      </c>
      <c r="AZ516" s="513">
        <f t="shared" si="237"/>
        <v>33255.25</v>
      </c>
      <c r="BA516" s="508">
        <f t="shared" si="238"/>
        <v>33789.683333333334</v>
      </c>
    </row>
    <row r="517" spans="1:53">
      <c r="A517" s="594" t="s">
        <v>533</v>
      </c>
      <c r="B517" s="595" t="s">
        <v>537</v>
      </c>
      <c r="C517" s="598"/>
      <c r="D517" s="597">
        <v>227216</v>
      </c>
      <c r="E517" s="597">
        <v>1</v>
      </c>
      <c r="F517" s="514" t="s">
        <v>41</v>
      </c>
      <c r="G517" s="515" t="s">
        <v>41</v>
      </c>
      <c r="H517" s="516"/>
      <c r="I517" s="519"/>
      <c r="J517" s="516">
        <v>322161</v>
      </c>
      <c r="K517" s="519">
        <v>320167</v>
      </c>
      <c r="L517" s="516">
        <v>78715</v>
      </c>
      <c r="M517" s="519">
        <v>71578</v>
      </c>
      <c r="N517" s="516">
        <v>348202</v>
      </c>
      <c r="O517" s="519">
        <v>359234</v>
      </c>
      <c r="P517" s="506">
        <f t="shared" si="221"/>
        <v>749078</v>
      </c>
      <c r="Q517" s="507">
        <f t="shared" si="222"/>
        <v>24969.266666666666</v>
      </c>
      <c r="R517" s="508">
        <f t="shared" si="223"/>
        <v>750979</v>
      </c>
      <c r="S517" s="509">
        <f t="shared" si="224"/>
        <v>25032.633333333335</v>
      </c>
      <c r="T517" s="516">
        <v>9</v>
      </c>
      <c r="U517" s="519">
        <v>0</v>
      </c>
      <c r="V517" s="506">
        <f t="shared" si="225"/>
        <v>749078</v>
      </c>
      <c r="W517" s="510">
        <f t="shared" si="226"/>
        <v>750979</v>
      </c>
      <c r="X517" s="517"/>
      <c r="Y517" s="519"/>
      <c r="Z517" s="516"/>
      <c r="AA517" s="519"/>
      <c r="AB517" s="516"/>
      <c r="AC517" s="519"/>
      <c r="AD517" s="516"/>
      <c r="AE517" s="618"/>
      <c r="AF517" s="506">
        <f t="shared" si="227"/>
        <v>0</v>
      </c>
      <c r="AG517" s="507">
        <f t="shared" si="228"/>
        <v>0</v>
      </c>
      <c r="AH517" s="508">
        <f t="shared" si="229"/>
        <v>0</v>
      </c>
      <c r="AI517" s="508">
        <f t="shared" si="230"/>
        <v>0</v>
      </c>
      <c r="AJ517" s="516"/>
      <c r="AK517" s="519"/>
      <c r="AL517" s="506">
        <f t="shared" si="231"/>
        <v>0</v>
      </c>
      <c r="AM517" s="509">
        <f t="shared" si="232"/>
        <v>0</v>
      </c>
      <c r="AN517" s="518"/>
      <c r="AO517" s="520"/>
      <c r="AP517" s="516">
        <v>45471</v>
      </c>
      <c r="AQ517" s="520">
        <v>43300</v>
      </c>
      <c r="AR517" s="516">
        <v>19006</v>
      </c>
      <c r="AS517" s="520">
        <v>17512</v>
      </c>
      <c r="AT517" s="516">
        <v>45604</v>
      </c>
      <c r="AU517" s="520">
        <v>42588</v>
      </c>
      <c r="AV517" s="506">
        <f t="shared" si="233"/>
        <v>110081</v>
      </c>
      <c r="AW517" s="511">
        <f t="shared" si="234"/>
        <v>4586.708333333333</v>
      </c>
      <c r="AX517" s="508">
        <f t="shared" si="235"/>
        <v>103400</v>
      </c>
      <c r="AY517" s="512">
        <f t="shared" si="236"/>
        <v>4308.333333333333</v>
      </c>
      <c r="AZ517" s="513">
        <f t="shared" si="237"/>
        <v>29555.974999999999</v>
      </c>
      <c r="BA517" s="508">
        <f t="shared" si="238"/>
        <v>29340.966666666667</v>
      </c>
    </row>
    <row r="518" spans="1:53">
      <c r="A518" s="594" t="s">
        <v>533</v>
      </c>
      <c r="B518" s="595" t="s">
        <v>538</v>
      </c>
      <c r="C518" s="598"/>
      <c r="D518" s="597">
        <v>228769</v>
      </c>
      <c r="E518" s="597">
        <v>1</v>
      </c>
      <c r="F518" s="514" t="s">
        <v>41</v>
      </c>
      <c r="G518" s="515" t="s">
        <v>41</v>
      </c>
      <c r="H518" s="516"/>
      <c r="I518" s="519"/>
      <c r="J518" s="516">
        <v>276224</v>
      </c>
      <c r="K518" s="519">
        <v>275569</v>
      </c>
      <c r="L518" s="516">
        <v>92280</v>
      </c>
      <c r="M518" s="519">
        <v>86203</v>
      </c>
      <c r="N518" s="516">
        <v>266722</v>
      </c>
      <c r="O518" s="519">
        <v>269106</v>
      </c>
      <c r="P518" s="506">
        <f t="shared" si="221"/>
        <v>635226</v>
      </c>
      <c r="Q518" s="507">
        <f t="shared" si="222"/>
        <v>21174.2</v>
      </c>
      <c r="R518" s="508">
        <f t="shared" si="223"/>
        <v>630878</v>
      </c>
      <c r="S518" s="509">
        <f t="shared" si="224"/>
        <v>21029.266666666666</v>
      </c>
      <c r="T518" s="516">
        <v>5900</v>
      </c>
      <c r="U518" s="519">
        <v>1789</v>
      </c>
      <c r="V518" s="506">
        <f t="shared" si="225"/>
        <v>635226</v>
      </c>
      <c r="W518" s="510">
        <f t="shared" si="226"/>
        <v>630878</v>
      </c>
      <c r="X518" s="517"/>
      <c r="Y518" s="519"/>
      <c r="Z518" s="516"/>
      <c r="AA518" s="519"/>
      <c r="AB518" s="516"/>
      <c r="AC518" s="519"/>
      <c r="AD518" s="516"/>
      <c r="AE518" s="618"/>
      <c r="AF518" s="506">
        <f t="shared" si="227"/>
        <v>0</v>
      </c>
      <c r="AG518" s="507">
        <f t="shared" si="228"/>
        <v>0</v>
      </c>
      <c r="AH518" s="508">
        <f t="shared" si="229"/>
        <v>0</v>
      </c>
      <c r="AI518" s="508">
        <f t="shared" si="230"/>
        <v>0</v>
      </c>
      <c r="AJ518" s="516"/>
      <c r="AK518" s="519"/>
      <c r="AL518" s="506">
        <f t="shared" si="231"/>
        <v>0</v>
      </c>
      <c r="AM518" s="509">
        <f t="shared" si="232"/>
        <v>0</v>
      </c>
      <c r="AN518" s="518"/>
      <c r="AO518" s="520"/>
      <c r="AP518" s="516">
        <v>56387</v>
      </c>
      <c r="AQ518" s="520">
        <v>55709</v>
      </c>
      <c r="AR518" s="516">
        <v>34695</v>
      </c>
      <c r="AS518" s="520">
        <v>30908</v>
      </c>
      <c r="AT518" s="516">
        <v>50079</v>
      </c>
      <c r="AU518" s="520">
        <v>49000</v>
      </c>
      <c r="AV518" s="506">
        <f t="shared" si="233"/>
        <v>141161</v>
      </c>
      <c r="AW518" s="511">
        <f t="shared" si="234"/>
        <v>5881.708333333333</v>
      </c>
      <c r="AX518" s="508">
        <f t="shared" si="235"/>
        <v>135617</v>
      </c>
      <c r="AY518" s="512">
        <f t="shared" si="236"/>
        <v>5650.708333333333</v>
      </c>
      <c r="AZ518" s="513">
        <f t="shared" si="237"/>
        <v>27055.908333333333</v>
      </c>
      <c r="BA518" s="508">
        <f t="shared" si="238"/>
        <v>26679.974999999999</v>
      </c>
    </row>
    <row r="519" spans="1:53">
      <c r="A519" s="594" t="s">
        <v>533</v>
      </c>
      <c r="B519" s="595" t="s">
        <v>539</v>
      </c>
      <c r="C519" s="598"/>
      <c r="D519" s="597">
        <v>228778</v>
      </c>
      <c r="E519" s="597">
        <v>1</v>
      </c>
      <c r="F519" s="514" t="s">
        <v>41</v>
      </c>
      <c r="G519" s="515" t="s">
        <v>41</v>
      </c>
      <c r="H519" s="516"/>
      <c r="I519" s="519"/>
      <c r="J519" s="516">
        <v>473427</v>
      </c>
      <c r="K519" s="519">
        <v>479745</v>
      </c>
      <c r="L519" s="516">
        <v>63032</v>
      </c>
      <c r="M519" s="519">
        <v>62147</v>
      </c>
      <c r="N519" s="516">
        <v>507622</v>
      </c>
      <c r="O519" s="519">
        <v>531841</v>
      </c>
      <c r="P519" s="506">
        <f t="shared" si="221"/>
        <v>1044081</v>
      </c>
      <c r="Q519" s="507">
        <f t="shared" si="222"/>
        <v>34802.699999999997</v>
      </c>
      <c r="R519" s="508">
        <f t="shared" si="223"/>
        <v>1073733</v>
      </c>
      <c r="S519" s="509">
        <f t="shared" si="224"/>
        <v>35791.1</v>
      </c>
      <c r="T519" s="516">
        <v>0</v>
      </c>
      <c r="U519" s="519">
        <v>0</v>
      </c>
      <c r="V519" s="506">
        <f t="shared" si="225"/>
        <v>1044081</v>
      </c>
      <c r="W519" s="510">
        <f t="shared" si="226"/>
        <v>1073733</v>
      </c>
      <c r="X519" s="517"/>
      <c r="Y519" s="519"/>
      <c r="Z519" s="516"/>
      <c r="AA519" s="519"/>
      <c r="AB519" s="516"/>
      <c r="AC519" s="519"/>
      <c r="AD519" s="516"/>
      <c r="AE519" s="618"/>
      <c r="AF519" s="506">
        <f t="shared" si="227"/>
        <v>0</v>
      </c>
      <c r="AG519" s="507">
        <f t="shared" si="228"/>
        <v>0</v>
      </c>
      <c r="AH519" s="508">
        <f t="shared" si="229"/>
        <v>0</v>
      </c>
      <c r="AI519" s="508">
        <f t="shared" si="230"/>
        <v>0</v>
      </c>
      <c r="AJ519" s="516"/>
      <c r="AK519" s="519"/>
      <c r="AL519" s="506">
        <f t="shared" si="231"/>
        <v>0</v>
      </c>
      <c r="AM519" s="509">
        <f t="shared" si="232"/>
        <v>0</v>
      </c>
      <c r="AN519" s="518"/>
      <c r="AO519" s="520"/>
      <c r="AP519" s="516">
        <v>119353</v>
      </c>
      <c r="AQ519" s="520">
        <v>118576</v>
      </c>
      <c r="AR519" s="516">
        <v>25330</v>
      </c>
      <c r="AS519" s="520">
        <v>23200</v>
      </c>
      <c r="AT519" s="516">
        <v>124092</v>
      </c>
      <c r="AU519" s="520">
        <v>120566</v>
      </c>
      <c r="AV519" s="506">
        <f t="shared" si="233"/>
        <v>268775</v>
      </c>
      <c r="AW519" s="511">
        <f t="shared" si="234"/>
        <v>11198.958333333334</v>
      </c>
      <c r="AX519" s="508">
        <f t="shared" si="235"/>
        <v>262342</v>
      </c>
      <c r="AY519" s="512">
        <f t="shared" si="236"/>
        <v>10930.916666666666</v>
      </c>
      <c r="AZ519" s="513">
        <f t="shared" si="237"/>
        <v>46001.658333333333</v>
      </c>
      <c r="BA519" s="508">
        <f t="shared" si="238"/>
        <v>46722.016666666663</v>
      </c>
    </row>
    <row r="520" spans="1:53">
      <c r="A520" s="594" t="s">
        <v>533</v>
      </c>
      <c r="B520" s="595" t="s">
        <v>540</v>
      </c>
      <c r="C520" s="598"/>
      <c r="D520" s="597">
        <v>228787</v>
      </c>
      <c r="E520" s="597">
        <v>1</v>
      </c>
      <c r="F520" s="514" t="s">
        <v>41</v>
      </c>
      <c r="G520" s="515" t="s">
        <v>41</v>
      </c>
      <c r="H520" s="516"/>
      <c r="I520" s="519"/>
      <c r="J520" s="516">
        <v>124322</v>
      </c>
      <c r="K520" s="519">
        <v>139810</v>
      </c>
      <c r="L520" s="516">
        <v>21405</v>
      </c>
      <c r="M520" s="519">
        <v>22247</v>
      </c>
      <c r="N520" s="516">
        <v>147398</v>
      </c>
      <c r="O520" s="519">
        <v>153081</v>
      </c>
      <c r="P520" s="506">
        <f t="shared" si="221"/>
        <v>293125</v>
      </c>
      <c r="Q520" s="507">
        <f t="shared" si="222"/>
        <v>9770.8333333333339</v>
      </c>
      <c r="R520" s="508">
        <f t="shared" si="223"/>
        <v>315138</v>
      </c>
      <c r="S520" s="509">
        <f t="shared" si="224"/>
        <v>10504.6</v>
      </c>
      <c r="T520" s="516">
        <v>0</v>
      </c>
      <c r="U520" s="519">
        <v>0</v>
      </c>
      <c r="V520" s="506">
        <f t="shared" si="225"/>
        <v>293125</v>
      </c>
      <c r="W520" s="510">
        <f t="shared" si="226"/>
        <v>315138</v>
      </c>
      <c r="X520" s="517"/>
      <c r="Y520" s="519"/>
      <c r="Z520" s="516"/>
      <c r="AA520" s="519"/>
      <c r="AB520" s="516"/>
      <c r="AC520" s="519"/>
      <c r="AD520" s="516"/>
      <c r="AE520" s="618"/>
      <c r="AF520" s="506">
        <f t="shared" si="227"/>
        <v>0</v>
      </c>
      <c r="AG520" s="507">
        <f t="shared" si="228"/>
        <v>0</v>
      </c>
      <c r="AH520" s="508">
        <f t="shared" si="229"/>
        <v>0</v>
      </c>
      <c r="AI520" s="508">
        <f t="shared" si="230"/>
        <v>0</v>
      </c>
      <c r="AJ520" s="516"/>
      <c r="AK520" s="519"/>
      <c r="AL520" s="506">
        <f t="shared" si="231"/>
        <v>0</v>
      </c>
      <c r="AM520" s="509">
        <f t="shared" si="232"/>
        <v>0</v>
      </c>
      <c r="AN520" s="518"/>
      <c r="AO520" s="520"/>
      <c r="AP520" s="516">
        <v>46614</v>
      </c>
      <c r="AQ520" s="520">
        <v>52527</v>
      </c>
      <c r="AR520" s="516">
        <v>19490</v>
      </c>
      <c r="AS520" s="520">
        <v>19285</v>
      </c>
      <c r="AT520" s="516">
        <v>53976</v>
      </c>
      <c r="AU520" s="520">
        <v>58762</v>
      </c>
      <c r="AV520" s="506">
        <f t="shared" si="233"/>
        <v>120080</v>
      </c>
      <c r="AW520" s="511">
        <f t="shared" si="234"/>
        <v>5003.333333333333</v>
      </c>
      <c r="AX520" s="508">
        <f t="shared" si="235"/>
        <v>130574</v>
      </c>
      <c r="AY520" s="512">
        <f t="shared" si="236"/>
        <v>5440.583333333333</v>
      </c>
      <c r="AZ520" s="513">
        <f t="shared" si="237"/>
        <v>14774.166666666668</v>
      </c>
      <c r="BA520" s="508">
        <f t="shared" si="238"/>
        <v>15945.183333333334</v>
      </c>
    </row>
    <row r="521" spans="1:53">
      <c r="A521" s="594" t="s">
        <v>533</v>
      </c>
      <c r="B521" s="637" t="s">
        <v>541</v>
      </c>
      <c r="C521" s="598"/>
      <c r="D521" s="597">
        <v>229179</v>
      </c>
      <c r="E521" s="597">
        <v>2</v>
      </c>
      <c r="F521" s="514" t="s">
        <v>41</v>
      </c>
      <c r="G521" s="515" t="s">
        <v>41</v>
      </c>
      <c r="H521" s="516"/>
      <c r="I521" s="519"/>
      <c r="J521" s="516">
        <v>93769</v>
      </c>
      <c r="K521" s="519">
        <v>97792</v>
      </c>
      <c r="L521" s="516">
        <v>22813</v>
      </c>
      <c r="M521" s="519">
        <v>22120</v>
      </c>
      <c r="N521" s="516">
        <v>104993</v>
      </c>
      <c r="O521" s="519">
        <v>109096</v>
      </c>
      <c r="P521" s="506">
        <f t="shared" si="221"/>
        <v>221575</v>
      </c>
      <c r="Q521" s="507">
        <f t="shared" si="222"/>
        <v>7385.833333333333</v>
      </c>
      <c r="R521" s="508">
        <f t="shared" si="223"/>
        <v>229008</v>
      </c>
      <c r="S521" s="509">
        <f t="shared" si="224"/>
        <v>7633.6</v>
      </c>
      <c r="T521" s="516">
        <v>0</v>
      </c>
      <c r="U521" s="519">
        <v>1872</v>
      </c>
      <c r="V521" s="506">
        <f t="shared" si="225"/>
        <v>221575</v>
      </c>
      <c r="W521" s="510">
        <f t="shared" si="226"/>
        <v>229008</v>
      </c>
      <c r="X521" s="517"/>
      <c r="Y521" s="519"/>
      <c r="Z521" s="516"/>
      <c r="AA521" s="519"/>
      <c r="AB521" s="516"/>
      <c r="AC521" s="519"/>
      <c r="AD521" s="516"/>
      <c r="AE521" s="618"/>
      <c r="AF521" s="506">
        <f t="shared" si="227"/>
        <v>0</v>
      </c>
      <c r="AG521" s="507">
        <f t="shared" si="228"/>
        <v>0</v>
      </c>
      <c r="AH521" s="508">
        <f t="shared" si="229"/>
        <v>0</v>
      </c>
      <c r="AI521" s="508">
        <f t="shared" si="230"/>
        <v>0</v>
      </c>
      <c r="AJ521" s="516"/>
      <c r="AK521" s="519"/>
      <c r="AL521" s="506">
        <f t="shared" si="231"/>
        <v>0</v>
      </c>
      <c r="AM521" s="509">
        <f t="shared" si="232"/>
        <v>0</v>
      </c>
      <c r="AN521" s="518"/>
      <c r="AO521" s="520"/>
      <c r="AP521" s="516">
        <v>33912</v>
      </c>
      <c r="AQ521" s="520">
        <v>34002</v>
      </c>
      <c r="AR521" s="516">
        <v>28120</v>
      </c>
      <c r="AS521" s="520">
        <v>28288</v>
      </c>
      <c r="AT521" s="516">
        <v>38991</v>
      </c>
      <c r="AU521" s="520">
        <v>35470</v>
      </c>
      <c r="AV521" s="506">
        <f t="shared" si="233"/>
        <v>101023</v>
      </c>
      <c r="AW521" s="511">
        <f t="shared" si="234"/>
        <v>4209.291666666667</v>
      </c>
      <c r="AX521" s="508">
        <f t="shared" si="235"/>
        <v>97760</v>
      </c>
      <c r="AY521" s="512">
        <f t="shared" si="236"/>
        <v>4073.3333333333335</v>
      </c>
      <c r="AZ521" s="513">
        <f t="shared" si="237"/>
        <v>11595.125</v>
      </c>
      <c r="BA521" s="508">
        <f t="shared" si="238"/>
        <v>11706.933333333334</v>
      </c>
    </row>
    <row r="522" spans="1:53">
      <c r="A522" s="594" t="s">
        <v>533</v>
      </c>
      <c r="B522" s="595" t="s">
        <v>542</v>
      </c>
      <c r="C522" s="598"/>
      <c r="D522" s="597">
        <v>228796</v>
      </c>
      <c r="E522" s="597">
        <v>2</v>
      </c>
      <c r="F522" s="514" t="s">
        <v>41</v>
      </c>
      <c r="G522" s="515" t="s">
        <v>41</v>
      </c>
      <c r="H522" s="516"/>
      <c r="I522" s="519"/>
      <c r="J522" s="516">
        <v>192515</v>
      </c>
      <c r="K522" s="519">
        <v>197653</v>
      </c>
      <c r="L522" s="516">
        <v>56925</v>
      </c>
      <c r="M522" s="519">
        <v>50496</v>
      </c>
      <c r="N522" s="516">
        <v>208966</v>
      </c>
      <c r="O522" s="519">
        <v>210047</v>
      </c>
      <c r="P522" s="506">
        <f t="shared" si="221"/>
        <v>458406</v>
      </c>
      <c r="Q522" s="507">
        <f t="shared" si="222"/>
        <v>15280.2</v>
      </c>
      <c r="R522" s="508">
        <f t="shared" si="223"/>
        <v>458196</v>
      </c>
      <c r="S522" s="509">
        <f t="shared" si="224"/>
        <v>15273.2</v>
      </c>
      <c r="T522" s="516">
        <v>495</v>
      </c>
      <c r="U522" s="519">
        <v>0</v>
      </c>
      <c r="V522" s="506">
        <f t="shared" si="225"/>
        <v>458406</v>
      </c>
      <c r="W522" s="510">
        <f t="shared" si="226"/>
        <v>458196</v>
      </c>
      <c r="X522" s="517"/>
      <c r="Y522" s="519"/>
      <c r="Z522" s="516"/>
      <c r="AA522" s="519"/>
      <c r="AB522" s="516"/>
      <c r="AC522" s="519"/>
      <c r="AD522" s="516"/>
      <c r="AE522" s="618"/>
      <c r="AF522" s="506">
        <f t="shared" si="227"/>
        <v>0</v>
      </c>
      <c r="AG522" s="507">
        <f t="shared" si="228"/>
        <v>0</v>
      </c>
      <c r="AH522" s="508">
        <f t="shared" si="229"/>
        <v>0</v>
      </c>
      <c r="AI522" s="508">
        <f t="shared" si="230"/>
        <v>0</v>
      </c>
      <c r="AJ522" s="516"/>
      <c r="AK522" s="519"/>
      <c r="AL522" s="506">
        <f t="shared" si="231"/>
        <v>0</v>
      </c>
      <c r="AM522" s="509">
        <f t="shared" si="232"/>
        <v>0</v>
      </c>
      <c r="AN522" s="518"/>
      <c r="AO522" s="520"/>
      <c r="AP522" s="516">
        <v>25128</v>
      </c>
      <c r="AQ522" s="520">
        <v>24745</v>
      </c>
      <c r="AR522" s="516">
        <v>11253</v>
      </c>
      <c r="AS522" s="520">
        <v>11164</v>
      </c>
      <c r="AT522" s="516">
        <v>24541</v>
      </c>
      <c r="AU522" s="520">
        <v>23460</v>
      </c>
      <c r="AV522" s="506">
        <f t="shared" si="233"/>
        <v>60922</v>
      </c>
      <c r="AW522" s="511">
        <f t="shared" si="234"/>
        <v>2538.4166666666665</v>
      </c>
      <c r="AX522" s="508">
        <f t="shared" si="235"/>
        <v>59369</v>
      </c>
      <c r="AY522" s="512">
        <f t="shared" si="236"/>
        <v>2473.7083333333335</v>
      </c>
      <c r="AZ522" s="513">
        <f t="shared" si="237"/>
        <v>17818.616666666669</v>
      </c>
      <c r="BA522" s="508">
        <f t="shared" si="238"/>
        <v>17746.908333333333</v>
      </c>
    </row>
    <row r="523" spans="1:53">
      <c r="A523" s="594" t="s">
        <v>533</v>
      </c>
      <c r="B523" s="595" t="s">
        <v>543</v>
      </c>
      <c r="C523" s="598"/>
      <c r="D523" s="597">
        <v>229027</v>
      </c>
      <c r="E523" s="597">
        <v>2</v>
      </c>
      <c r="F523" s="514" t="s">
        <v>41</v>
      </c>
      <c r="G523" s="515" t="s">
        <v>41</v>
      </c>
      <c r="H523" s="516"/>
      <c r="I523" s="519"/>
      <c r="J523" s="516">
        <v>278553</v>
      </c>
      <c r="K523" s="519">
        <v>285614</v>
      </c>
      <c r="L523" s="516">
        <v>58082</v>
      </c>
      <c r="M523" s="519">
        <v>52071</v>
      </c>
      <c r="N523" s="516">
        <v>316003</v>
      </c>
      <c r="O523" s="519">
        <v>305203</v>
      </c>
      <c r="P523" s="506">
        <f t="shared" si="221"/>
        <v>652638</v>
      </c>
      <c r="Q523" s="507">
        <f t="shared" si="222"/>
        <v>21754.6</v>
      </c>
      <c r="R523" s="508">
        <f t="shared" si="223"/>
        <v>642888</v>
      </c>
      <c r="S523" s="509">
        <f t="shared" si="224"/>
        <v>21429.599999999999</v>
      </c>
      <c r="T523" s="516">
        <v>726</v>
      </c>
      <c r="U523" s="519">
        <v>333</v>
      </c>
      <c r="V523" s="506">
        <f t="shared" si="225"/>
        <v>652638</v>
      </c>
      <c r="W523" s="510">
        <f t="shared" si="226"/>
        <v>642888</v>
      </c>
      <c r="X523" s="517"/>
      <c r="Y523" s="519"/>
      <c r="Z523" s="516"/>
      <c r="AA523" s="519"/>
      <c r="AB523" s="516"/>
      <c r="AC523" s="519"/>
      <c r="AD523" s="516"/>
      <c r="AE523" s="618"/>
      <c r="AF523" s="506">
        <f t="shared" si="227"/>
        <v>0</v>
      </c>
      <c r="AG523" s="507">
        <f t="shared" si="228"/>
        <v>0</v>
      </c>
      <c r="AH523" s="508">
        <f t="shared" si="229"/>
        <v>0</v>
      </c>
      <c r="AI523" s="508">
        <f t="shared" si="230"/>
        <v>0</v>
      </c>
      <c r="AJ523" s="516"/>
      <c r="AK523" s="519"/>
      <c r="AL523" s="506">
        <f t="shared" si="231"/>
        <v>0</v>
      </c>
      <c r="AM523" s="509">
        <f t="shared" si="232"/>
        <v>0</v>
      </c>
      <c r="AN523" s="518"/>
      <c r="AO523" s="520"/>
      <c r="AP523" s="516">
        <v>28383</v>
      </c>
      <c r="AQ523" s="520">
        <v>29754</v>
      </c>
      <c r="AR523" s="516">
        <v>10436</v>
      </c>
      <c r="AS523" s="520">
        <v>11612</v>
      </c>
      <c r="AT523" s="516">
        <v>31077</v>
      </c>
      <c r="AU523" s="520">
        <v>29605</v>
      </c>
      <c r="AV523" s="506">
        <f t="shared" si="233"/>
        <v>69896</v>
      </c>
      <c r="AW523" s="511">
        <f t="shared" si="234"/>
        <v>2912.3333333333335</v>
      </c>
      <c r="AX523" s="508">
        <f t="shared" si="235"/>
        <v>70971</v>
      </c>
      <c r="AY523" s="512">
        <f t="shared" si="236"/>
        <v>2957.125</v>
      </c>
      <c r="AZ523" s="513">
        <f t="shared" si="237"/>
        <v>24666.933333333331</v>
      </c>
      <c r="BA523" s="508">
        <f t="shared" si="238"/>
        <v>24386.724999999999</v>
      </c>
    </row>
    <row r="524" spans="1:53">
      <c r="A524" s="594" t="s">
        <v>533</v>
      </c>
      <c r="B524" s="595" t="s">
        <v>544</v>
      </c>
      <c r="C524" s="598"/>
      <c r="D524" s="597">
        <v>222831</v>
      </c>
      <c r="E524" s="597">
        <v>3</v>
      </c>
      <c r="F524" s="514" t="s">
        <v>41</v>
      </c>
      <c r="G524" s="515" t="s">
        <v>41</v>
      </c>
      <c r="H524" s="516"/>
      <c r="I524" s="519"/>
      <c r="J524" s="516">
        <v>65927</v>
      </c>
      <c r="K524" s="519">
        <v>63537</v>
      </c>
      <c r="L524" s="516">
        <v>12312</v>
      </c>
      <c r="M524" s="519">
        <v>12199</v>
      </c>
      <c r="N524" s="516">
        <v>73820</v>
      </c>
      <c r="O524" s="519">
        <v>74515</v>
      </c>
      <c r="P524" s="506">
        <f t="shared" si="221"/>
        <v>152059</v>
      </c>
      <c r="Q524" s="507">
        <f t="shared" si="222"/>
        <v>5068.6333333333332</v>
      </c>
      <c r="R524" s="508">
        <f t="shared" si="223"/>
        <v>150251</v>
      </c>
      <c r="S524" s="509">
        <f t="shared" si="224"/>
        <v>5008.3666666666668</v>
      </c>
      <c r="T524" s="516">
        <v>411</v>
      </c>
      <c r="U524" s="519">
        <v>436</v>
      </c>
      <c r="V524" s="506">
        <f t="shared" si="225"/>
        <v>152059</v>
      </c>
      <c r="W524" s="510">
        <f t="shared" si="226"/>
        <v>150251</v>
      </c>
      <c r="X524" s="517"/>
      <c r="Y524" s="519"/>
      <c r="Z524" s="516"/>
      <c r="AA524" s="519"/>
      <c r="AB524" s="516"/>
      <c r="AC524" s="519"/>
      <c r="AD524" s="516"/>
      <c r="AE524" s="618"/>
      <c r="AF524" s="506">
        <f t="shared" si="227"/>
        <v>0</v>
      </c>
      <c r="AG524" s="507">
        <f t="shared" si="228"/>
        <v>0</v>
      </c>
      <c r="AH524" s="508">
        <f t="shared" si="229"/>
        <v>0</v>
      </c>
      <c r="AI524" s="508">
        <f t="shared" si="230"/>
        <v>0</v>
      </c>
      <c r="AJ524" s="516"/>
      <c r="AK524" s="519"/>
      <c r="AL524" s="506">
        <f t="shared" si="231"/>
        <v>0</v>
      </c>
      <c r="AM524" s="509">
        <f t="shared" si="232"/>
        <v>0</v>
      </c>
      <c r="AN524" s="518"/>
      <c r="AO524" s="520"/>
      <c r="AP524" s="516">
        <v>5059</v>
      </c>
      <c r="AQ524" s="520">
        <v>5915</v>
      </c>
      <c r="AR524" s="516">
        <v>4082</v>
      </c>
      <c r="AS524" s="520">
        <v>4217</v>
      </c>
      <c r="AT524" s="516">
        <v>5547</v>
      </c>
      <c r="AU524" s="520">
        <v>4942</v>
      </c>
      <c r="AV524" s="506">
        <f t="shared" si="233"/>
        <v>14688</v>
      </c>
      <c r="AW524" s="511">
        <f t="shared" si="234"/>
        <v>612</v>
      </c>
      <c r="AX524" s="508">
        <f t="shared" si="235"/>
        <v>15074</v>
      </c>
      <c r="AY524" s="512">
        <f t="shared" si="236"/>
        <v>628.08333333333337</v>
      </c>
      <c r="AZ524" s="513">
        <f t="shared" si="237"/>
        <v>5680.6333333333332</v>
      </c>
      <c r="BA524" s="508">
        <f t="shared" si="238"/>
        <v>5636.45</v>
      </c>
    </row>
    <row r="525" spans="1:53">
      <c r="A525" s="594" t="s">
        <v>533</v>
      </c>
      <c r="B525" s="595" t="s">
        <v>545</v>
      </c>
      <c r="C525" s="598"/>
      <c r="D525" s="597">
        <v>226091</v>
      </c>
      <c r="E525" s="597">
        <v>3</v>
      </c>
      <c r="F525" s="514" t="s">
        <v>41</v>
      </c>
      <c r="G525" s="515" t="s">
        <v>41</v>
      </c>
      <c r="H525" s="516"/>
      <c r="I525" s="519"/>
      <c r="J525" s="516">
        <v>100855</v>
      </c>
      <c r="K525" s="519">
        <v>100939</v>
      </c>
      <c r="L525" s="516">
        <v>27853</v>
      </c>
      <c r="M525" s="519">
        <v>25948</v>
      </c>
      <c r="N525" s="516">
        <v>111067</v>
      </c>
      <c r="O525" s="519">
        <v>108011</v>
      </c>
      <c r="P525" s="506">
        <f t="shared" si="221"/>
        <v>239775</v>
      </c>
      <c r="Q525" s="507">
        <f t="shared" si="222"/>
        <v>7992.5</v>
      </c>
      <c r="R525" s="508">
        <f t="shared" si="223"/>
        <v>234898</v>
      </c>
      <c r="S525" s="509">
        <f t="shared" si="224"/>
        <v>7829.9333333333334</v>
      </c>
      <c r="T525" s="516">
        <v>3546</v>
      </c>
      <c r="U525" s="519">
        <v>4551</v>
      </c>
      <c r="V525" s="506">
        <f t="shared" si="225"/>
        <v>239775</v>
      </c>
      <c r="W525" s="510">
        <f t="shared" si="226"/>
        <v>234898</v>
      </c>
      <c r="X525" s="517"/>
      <c r="Y525" s="519"/>
      <c r="Z525" s="516"/>
      <c r="AA525" s="519"/>
      <c r="AB525" s="516"/>
      <c r="AC525" s="519"/>
      <c r="AD525" s="516"/>
      <c r="AE525" s="618"/>
      <c r="AF525" s="506">
        <f t="shared" si="227"/>
        <v>0</v>
      </c>
      <c r="AG525" s="507">
        <f t="shared" si="228"/>
        <v>0</v>
      </c>
      <c r="AH525" s="508">
        <f t="shared" si="229"/>
        <v>0</v>
      </c>
      <c r="AI525" s="508">
        <f t="shared" si="230"/>
        <v>0</v>
      </c>
      <c r="AJ525" s="516"/>
      <c r="AK525" s="519"/>
      <c r="AL525" s="506">
        <f t="shared" si="231"/>
        <v>0</v>
      </c>
      <c r="AM525" s="509">
        <f t="shared" si="232"/>
        <v>0</v>
      </c>
      <c r="AN525" s="518"/>
      <c r="AO525" s="520"/>
      <c r="AP525" s="516">
        <v>34182</v>
      </c>
      <c r="AQ525" s="520">
        <v>33798</v>
      </c>
      <c r="AR525" s="516">
        <v>27577</v>
      </c>
      <c r="AS525" s="520">
        <v>30578</v>
      </c>
      <c r="AT525" s="516">
        <v>17028</v>
      </c>
      <c r="AU525" s="520">
        <v>27457</v>
      </c>
      <c r="AV525" s="506">
        <f t="shared" si="233"/>
        <v>78787</v>
      </c>
      <c r="AW525" s="511">
        <f t="shared" si="234"/>
        <v>3282.7916666666665</v>
      </c>
      <c r="AX525" s="508">
        <f t="shared" si="235"/>
        <v>91833</v>
      </c>
      <c r="AY525" s="512">
        <f t="shared" si="236"/>
        <v>3826.375</v>
      </c>
      <c r="AZ525" s="513">
        <f t="shared" si="237"/>
        <v>11275.291666666666</v>
      </c>
      <c r="BA525" s="508">
        <f t="shared" si="238"/>
        <v>11656.308333333334</v>
      </c>
    </row>
    <row r="526" spans="1:53">
      <c r="A526" s="594" t="s">
        <v>533</v>
      </c>
      <c r="B526" s="595" t="s">
        <v>546</v>
      </c>
      <c r="C526" s="598"/>
      <c r="D526" s="597">
        <v>226833</v>
      </c>
      <c r="E526" s="597">
        <v>3</v>
      </c>
      <c r="F526" s="514" t="s">
        <v>41</v>
      </c>
      <c r="G526" s="515" t="s">
        <v>41</v>
      </c>
      <c r="H526" s="516"/>
      <c r="I526" s="519"/>
      <c r="J526" s="516">
        <v>61553</v>
      </c>
      <c r="K526" s="519">
        <v>57294</v>
      </c>
      <c r="L526" s="516">
        <v>15083</v>
      </c>
      <c r="M526" s="519">
        <v>13394</v>
      </c>
      <c r="N526" s="516">
        <v>62216</v>
      </c>
      <c r="O526" s="519">
        <v>59232</v>
      </c>
      <c r="P526" s="506">
        <f t="shared" si="221"/>
        <v>138852</v>
      </c>
      <c r="Q526" s="507">
        <f t="shared" si="222"/>
        <v>4628.3999999999996</v>
      </c>
      <c r="R526" s="508">
        <f t="shared" si="223"/>
        <v>129920</v>
      </c>
      <c r="S526" s="509">
        <f t="shared" si="224"/>
        <v>4330.666666666667</v>
      </c>
      <c r="T526" s="516">
        <v>144</v>
      </c>
      <c r="U526" s="519">
        <v>229</v>
      </c>
      <c r="V526" s="506">
        <f t="shared" si="225"/>
        <v>138852</v>
      </c>
      <c r="W526" s="510">
        <f t="shared" si="226"/>
        <v>129920</v>
      </c>
      <c r="X526" s="517"/>
      <c r="Y526" s="519"/>
      <c r="Z526" s="516"/>
      <c r="AA526" s="519"/>
      <c r="AB526" s="516"/>
      <c r="AC526" s="519"/>
      <c r="AD526" s="516"/>
      <c r="AE526" s="618"/>
      <c r="AF526" s="506">
        <f t="shared" si="227"/>
        <v>0</v>
      </c>
      <c r="AG526" s="507">
        <f t="shared" si="228"/>
        <v>0</v>
      </c>
      <c r="AH526" s="508">
        <f t="shared" si="229"/>
        <v>0</v>
      </c>
      <c r="AI526" s="508">
        <f t="shared" si="230"/>
        <v>0</v>
      </c>
      <c r="AJ526" s="516"/>
      <c r="AK526" s="519"/>
      <c r="AL526" s="506">
        <f t="shared" si="231"/>
        <v>0</v>
      </c>
      <c r="AM526" s="509">
        <f t="shared" si="232"/>
        <v>0</v>
      </c>
      <c r="AN526" s="518"/>
      <c r="AO526" s="520"/>
      <c r="AP526" s="516">
        <v>3256</v>
      </c>
      <c r="AQ526" s="520">
        <v>2958</v>
      </c>
      <c r="AR526" s="516">
        <v>1991</v>
      </c>
      <c r="AS526" s="520">
        <v>1912</v>
      </c>
      <c r="AT526" s="516">
        <v>3202</v>
      </c>
      <c r="AU526" s="520">
        <v>3156</v>
      </c>
      <c r="AV526" s="506">
        <f t="shared" si="233"/>
        <v>8449</v>
      </c>
      <c r="AW526" s="511">
        <f t="shared" si="234"/>
        <v>352.04166666666669</v>
      </c>
      <c r="AX526" s="508">
        <f t="shared" si="235"/>
        <v>8026</v>
      </c>
      <c r="AY526" s="512">
        <f t="shared" si="236"/>
        <v>334.41666666666669</v>
      </c>
      <c r="AZ526" s="513">
        <f t="shared" si="237"/>
        <v>4980.4416666666666</v>
      </c>
      <c r="BA526" s="508">
        <f t="shared" si="238"/>
        <v>4665.0833333333339</v>
      </c>
    </row>
    <row r="527" spans="1:53">
      <c r="A527" s="594" t="s">
        <v>533</v>
      </c>
      <c r="B527" s="595" t="s">
        <v>547</v>
      </c>
      <c r="C527" s="598"/>
      <c r="D527" s="597">
        <v>227526</v>
      </c>
      <c r="E527" s="597">
        <v>3</v>
      </c>
      <c r="F527" s="514" t="s">
        <v>41</v>
      </c>
      <c r="G527" s="515" t="s">
        <v>41</v>
      </c>
      <c r="H527" s="516"/>
      <c r="I527" s="519"/>
      <c r="J527" s="516">
        <v>81756</v>
      </c>
      <c r="K527" s="519">
        <v>80259</v>
      </c>
      <c r="L527" s="516">
        <v>11817</v>
      </c>
      <c r="M527" s="519">
        <v>14211</v>
      </c>
      <c r="N527" s="516">
        <v>87342</v>
      </c>
      <c r="O527" s="519">
        <v>89083</v>
      </c>
      <c r="P527" s="506">
        <f t="shared" si="221"/>
        <v>180915</v>
      </c>
      <c r="Q527" s="507">
        <f t="shared" si="222"/>
        <v>6030.5</v>
      </c>
      <c r="R527" s="508">
        <f t="shared" si="223"/>
        <v>183553</v>
      </c>
      <c r="S527" s="509">
        <f t="shared" si="224"/>
        <v>6118.4333333333334</v>
      </c>
      <c r="T527" s="516">
        <v>0</v>
      </c>
      <c r="U527" s="519">
        <v>0</v>
      </c>
      <c r="V527" s="506">
        <f t="shared" si="225"/>
        <v>180915</v>
      </c>
      <c r="W527" s="510">
        <f t="shared" si="226"/>
        <v>183553</v>
      </c>
      <c r="X527" s="517"/>
      <c r="Y527" s="519"/>
      <c r="Z527" s="516"/>
      <c r="AA527" s="519"/>
      <c r="AB527" s="516"/>
      <c r="AC527" s="519"/>
      <c r="AD527" s="516"/>
      <c r="AE527" s="618"/>
      <c r="AF527" s="506">
        <f t="shared" si="227"/>
        <v>0</v>
      </c>
      <c r="AG527" s="507">
        <f t="shared" si="228"/>
        <v>0</v>
      </c>
      <c r="AH527" s="508">
        <f t="shared" si="229"/>
        <v>0</v>
      </c>
      <c r="AI527" s="508">
        <f t="shared" si="230"/>
        <v>0</v>
      </c>
      <c r="AJ527" s="516"/>
      <c r="AK527" s="519"/>
      <c r="AL527" s="506">
        <f t="shared" si="231"/>
        <v>0</v>
      </c>
      <c r="AM527" s="509">
        <f t="shared" si="232"/>
        <v>0</v>
      </c>
      <c r="AN527" s="518"/>
      <c r="AO527" s="520"/>
      <c r="AP527" s="516">
        <v>11686</v>
      </c>
      <c r="AQ527" s="520">
        <v>10809</v>
      </c>
      <c r="AR527" s="516">
        <v>5543</v>
      </c>
      <c r="AS527" s="520">
        <v>5250</v>
      </c>
      <c r="AT527" s="516">
        <v>10825</v>
      </c>
      <c r="AU527" s="520">
        <v>10718</v>
      </c>
      <c r="AV527" s="506">
        <f t="shared" si="233"/>
        <v>28054</v>
      </c>
      <c r="AW527" s="511">
        <f t="shared" si="234"/>
        <v>1168.9166666666667</v>
      </c>
      <c r="AX527" s="508">
        <f t="shared" si="235"/>
        <v>26777</v>
      </c>
      <c r="AY527" s="512">
        <f t="shared" si="236"/>
        <v>1115.7083333333333</v>
      </c>
      <c r="AZ527" s="513">
        <f t="shared" si="237"/>
        <v>7199.416666666667</v>
      </c>
      <c r="BA527" s="508">
        <f t="shared" si="238"/>
        <v>7234.1416666666664</v>
      </c>
    </row>
    <row r="528" spans="1:53">
      <c r="A528" s="594" t="s">
        <v>533</v>
      </c>
      <c r="B528" s="595" t="s">
        <v>548</v>
      </c>
      <c r="C528" s="598"/>
      <c r="D528" s="597">
        <v>227881</v>
      </c>
      <c r="E528" s="597">
        <v>3</v>
      </c>
      <c r="F528" s="514" t="s">
        <v>41</v>
      </c>
      <c r="G528" s="515" t="s">
        <v>41</v>
      </c>
      <c r="H528" s="516"/>
      <c r="I528" s="519"/>
      <c r="J528" s="516">
        <v>177518</v>
      </c>
      <c r="K528" s="519">
        <v>176959</v>
      </c>
      <c r="L528" s="516">
        <v>37775</v>
      </c>
      <c r="M528" s="519">
        <v>34348</v>
      </c>
      <c r="N528" s="516">
        <v>188617</v>
      </c>
      <c r="O528" s="519">
        <v>197545</v>
      </c>
      <c r="P528" s="506">
        <f t="shared" si="221"/>
        <v>403910</v>
      </c>
      <c r="Q528" s="507">
        <f t="shared" si="222"/>
        <v>13463.666666666666</v>
      </c>
      <c r="R528" s="508">
        <f t="shared" si="223"/>
        <v>408852</v>
      </c>
      <c r="S528" s="509">
        <f t="shared" si="224"/>
        <v>13628.4</v>
      </c>
      <c r="T528" s="516">
        <v>0</v>
      </c>
      <c r="U528" s="519">
        <v>0</v>
      </c>
      <c r="V528" s="506">
        <f t="shared" si="225"/>
        <v>403910</v>
      </c>
      <c r="W528" s="510">
        <f t="shared" si="226"/>
        <v>408852</v>
      </c>
      <c r="X528" s="517"/>
      <c r="Y528" s="519"/>
      <c r="Z528" s="516"/>
      <c r="AA528" s="519"/>
      <c r="AB528" s="516"/>
      <c r="AC528" s="519"/>
      <c r="AD528" s="516"/>
      <c r="AE528" s="618"/>
      <c r="AF528" s="506">
        <f t="shared" si="227"/>
        <v>0</v>
      </c>
      <c r="AG528" s="507">
        <f t="shared" si="228"/>
        <v>0</v>
      </c>
      <c r="AH528" s="508">
        <f t="shared" si="229"/>
        <v>0</v>
      </c>
      <c r="AI528" s="508">
        <f t="shared" si="230"/>
        <v>0</v>
      </c>
      <c r="AJ528" s="516"/>
      <c r="AK528" s="519"/>
      <c r="AL528" s="506">
        <f t="shared" si="231"/>
        <v>0</v>
      </c>
      <c r="AM528" s="509">
        <f t="shared" si="232"/>
        <v>0</v>
      </c>
      <c r="AN528" s="518"/>
      <c r="AO528" s="520"/>
      <c r="AP528" s="516">
        <v>15603</v>
      </c>
      <c r="AQ528" s="520">
        <v>15307</v>
      </c>
      <c r="AR528" s="516">
        <v>12900</v>
      </c>
      <c r="AS528" s="520">
        <v>13335</v>
      </c>
      <c r="AT528" s="516">
        <v>14970</v>
      </c>
      <c r="AU528" s="520">
        <v>16186</v>
      </c>
      <c r="AV528" s="506">
        <f t="shared" si="233"/>
        <v>43473</v>
      </c>
      <c r="AW528" s="511">
        <f t="shared" si="234"/>
        <v>1811.375</v>
      </c>
      <c r="AX528" s="508">
        <f t="shared" si="235"/>
        <v>44828</v>
      </c>
      <c r="AY528" s="512">
        <f t="shared" si="236"/>
        <v>1867.8333333333333</v>
      </c>
      <c r="AZ528" s="513">
        <f t="shared" si="237"/>
        <v>15275.041666666666</v>
      </c>
      <c r="BA528" s="508">
        <f t="shared" si="238"/>
        <v>15496.233333333334</v>
      </c>
    </row>
    <row r="529" spans="1:53">
      <c r="A529" s="594" t="s">
        <v>533</v>
      </c>
      <c r="B529" s="595" t="s">
        <v>549</v>
      </c>
      <c r="C529" s="598"/>
      <c r="D529" s="597">
        <v>228431</v>
      </c>
      <c r="E529" s="597">
        <v>3</v>
      </c>
      <c r="F529" s="514" t="s">
        <v>41</v>
      </c>
      <c r="G529" s="515" t="s">
        <v>41</v>
      </c>
      <c r="H529" s="516"/>
      <c r="I529" s="519"/>
      <c r="J529" s="516">
        <v>130422</v>
      </c>
      <c r="K529" s="519">
        <v>131478</v>
      </c>
      <c r="L529" s="516">
        <v>29504</v>
      </c>
      <c r="M529" s="519">
        <v>29548</v>
      </c>
      <c r="N529" s="516">
        <v>142610</v>
      </c>
      <c r="O529" s="519">
        <v>141922</v>
      </c>
      <c r="P529" s="506">
        <f t="shared" si="221"/>
        <v>302536</v>
      </c>
      <c r="Q529" s="507">
        <f t="shared" si="222"/>
        <v>10084.533333333333</v>
      </c>
      <c r="R529" s="508">
        <f t="shared" si="223"/>
        <v>302948</v>
      </c>
      <c r="S529" s="509">
        <f t="shared" si="224"/>
        <v>10098.266666666666</v>
      </c>
      <c r="T529" s="516">
        <v>1909</v>
      </c>
      <c r="U529" s="519">
        <v>1892</v>
      </c>
      <c r="V529" s="506">
        <f t="shared" si="225"/>
        <v>302536</v>
      </c>
      <c r="W529" s="510">
        <f t="shared" si="226"/>
        <v>302948</v>
      </c>
      <c r="X529" s="517"/>
      <c r="Y529" s="519"/>
      <c r="Z529" s="516"/>
      <c r="AA529" s="519"/>
      <c r="AB529" s="516"/>
      <c r="AC529" s="519"/>
      <c r="AD529" s="516"/>
      <c r="AE529" s="618"/>
      <c r="AF529" s="506">
        <f t="shared" si="227"/>
        <v>0</v>
      </c>
      <c r="AG529" s="507">
        <f t="shared" si="228"/>
        <v>0</v>
      </c>
      <c r="AH529" s="508">
        <f t="shared" si="229"/>
        <v>0</v>
      </c>
      <c r="AI529" s="508">
        <f t="shared" si="230"/>
        <v>0</v>
      </c>
      <c r="AJ529" s="516"/>
      <c r="AK529" s="519"/>
      <c r="AL529" s="506">
        <f t="shared" si="231"/>
        <v>0</v>
      </c>
      <c r="AM529" s="509">
        <f t="shared" si="232"/>
        <v>0</v>
      </c>
      <c r="AN529" s="518"/>
      <c r="AO529" s="520"/>
      <c r="AP529" s="516">
        <v>9342</v>
      </c>
      <c r="AQ529" s="520">
        <v>9666</v>
      </c>
      <c r="AR529" s="516">
        <v>5498</v>
      </c>
      <c r="AS529" s="520">
        <v>7147</v>
      </c>
      <c r="AT529" s="516">
        <v>9410</v>
      </c>
      <c r="AU529" s="520">
        <v>10261</v>
      </c>
      <c r="AV529" s="506">
        <f t="shared" si="233"/>
        <v>24250</v>
      </c>
      <c r="AW529" s="511">
        <f t="shared" si="234"/>
        <v>1010.4166666666666</v>
      </c>
      <c r="AX529" s="508">
        <f t="shared" si="235"/>
        <v>27074</v>
      </c>
      <c r="AY529" s="512">
        <f t="shared" si="236"/>
        <v>1128.0833333333333</v>
      </c>
      <c r="AZ529" s="513">
        <f t="shared" si="237"/>
        <v>11094.949999999999</v>
      </c>
      <c r="BA529" s="508">
        <f t="shared" si="238"/>
        <v>11226.35</v>
      </c>
    </row>
    <row r="530" spans="1:53">
      <c r="A530" s="594" t="s">
        <v>533</v>
      </c>
      <c r="B530" s="595" t="s">
        <v>550</v>
      </c>
      <c r="C530" s="598"/>
      <c r="D530" s="597">
        <v>228501</v>
      </c>
      <c r="E530" s="597">
        <v>3</v>
      </c>
      <c r="F530" s="514" t="s">
        <v>41</v>
      </c>
      <c r="G530" s="515" t="s">
        <v>41</v>
      </c>
      <c r="H530" s="516"/>
      <c r="I530" s="519"/>
      <c r="J530" s="516">
        <v>16529</v>
      </c>
      <c r="K530" s="519">
        <v>15958</v>
      </c>
      <c r="L530" s="516">
        <v>2873</v>
      </c>
      <c r="M530" s="519">
        <v>2831</v>
      </c>
      <c r="N530" s="516">
        <v>18435</v>
      </c>
      <c r="O530" s="519">
        <v>15518</v>
      </c>
      <c r="P530" s="506">
        <f t="shared" si="221"/>
        <v>37837</v>
      </c>
      <c r="Q530" s="507">
        <f t="shared" si="222"/>
        <v>1261.2333333333333</v>
      </c>
      <c r="R530" s="508">
        <f t="shared" si="223"/>
        <v>34307</v>
      </c>
      <c r="S530" s="509">
        <f t="shared" si="224"/>
        <v>1143.5666666666666</v>
      </c>
      <c r="T530" s="516">
        <v>784</v>
      </c>
      <c r="U530" s="519">
        <v>604</v>
      </c>
      <c r="V530" s="506">
        <f t="shared" si="225"/>
        <v>37837</v>
      </c>
      <c r="W530" s="510">
        <f t="shared" si="226"/>
        <v>34307</v>
      </c>
      <c r="X530" s="517"/>
      <c r="Y530" s="519"/>
      <c r="Z530" s="516"/>
      <c r="AA530" s="519"/>
      <c r="AB530" s="516"/>
      <c r="AC530" s="519"/>
      <c r="AD530" s="516"/>
      <c r="AE530" s="618"/>
      <c r="AF530" s="506">
        <f t="shared" si="227"/>
        <v>0</v>
      </c>
      <c r="AG530" s="507">
        <f t="shared" si="228"/>
        <v>0</v>
      </c>
      <c r="AH530" s="508">
        <f t="shared" si="229"/>
        <v>0</v>
      </c>
      <c r="AI530" s="508">
        <f t="shared" si="230"/>
        <v>0</v>
      </c>
      <c r="AJ530" s="516"/>
      <c r="AK530" s="519"/>
      <c r="AL530" s="506">
        <f t="shared" si="231"/>
        <v>0</v>
      </c>
      <c r="AM530" s="509">
        <f t="shared" si="232"/>
        <v>0</v>
      </c>
      <c r="AN530" s="518"/>
      <c r="AO530" s="520"/>
      <c r="AP530" s="516">
        <v>3306</v>
      </c>
      <c r="AQ530" s="520">
        <v>3121</v>
      </c>
      <c r="AR530" s="516">
        <v>2559</v>
      </c>
      <c r="AS530" s="520">
        <v>2553</v>
      </c>
      <c r="AT530" s="516">
        <v>3122</v>
      </c>
      <c r="AU530" s="520">
        <v>3071</v>
      </c>
      <c r="AV530" s="506">
        <f t="shared" si="233"/>
        <v>8987</v>
      </c>
      <c r="AW530" s="511">
        <f t="shared" si="234"/>
        <v>374.45833333333331</v>
      </c>
      <c r="AX530" s="508">
        <f t="shared" si="235"/>
        <v>8745</v>
      </c>
      <c r="AY530" s="512">
        <f t="shared" si="236"/>
        <v>364.375</v>
      </c>
      <c r="AZ530" s="513">
        <f t="shared" si="237"/>
        <v>1635.6916666666666</v>
      </c>
      <c r="BA530" s="508">
        <f t="shared" si="238"/>
        <v>1507.9416666666666</v>
      </c>
    </row>
    <row r="531" spans="1:53">
      <c r="A531" s="594" t="s">
        <v>533</v>
      </c>
      <c r="B531" s="595" t="s">
        <v>551</v>
      </c>
      <c r="C531" s="598"/>
      <c r="D531" s="597">
        <v>228529</v>
      </c>
      <c r="E531" s="597">
        <v>3</v>
      </c>
      <c r="F531" s="514" t="s">
        <v>41</v>
      </c>
      <c r="G531" s="515" t="s">
        <v>41</v>
      </c>
      <c r="H531" s="516"/>
      <c r="I531" s="519"/>
      <c r="J531" s="516">
        <v>86497</v>
      </c>
      <c r="K531" s="519">
        <v>95400</v>
      </c>
      <c r="L531" s="516">
        <v>23214</v>
      </c>
      <c r="M531" s="519">
        <v>24025</v>
      </c>
      <c r="N531" s="516">
        <v>101496</v>
      </c>
      <c r="O531" s="519">
        <v>108102</v>
      </c>
      <c r="P531" s="506">
        <f t="shared" si="221"/>
        <v>211207</v>
      </c>
      <c r="Q531" s="507">
        <f t="shared" si="222"/>
        <v>7040.2333333333336</v>
      </c>
      <c r="R531" s="508">
        <f t="shared" si="223"/>
        <v>227527</v>
      </c>
      <c r="S531" s="509">
        <f t="shared" si="224"/>
        <v>7584.2333333333336</v>
      </c>
      <c r="T531" s="516">
        <v>0</v>
      </c>
      <c r="U531" s="519">
        <v>0</v>
      </c>
      <c r="V531" s="506">
        <f t="shared" si="225"/>
        <v>211207</v>
      </c>
      <c r="W531" s="510">
        <f t="shared" si="226"/>
        <v>227527</v>
      </c>
      <c r="X531" s="517"/>
      <c r="Y531" s="519"/>
      <c r="Z531" s="516"/>
      <c r="AA531" s="519"/>
      <c r="AB531" s="516"/>
      <c r="AC531" s="519"/>
      <c r="AD531" s="516"/>
      <c r="AE531" s="618"/>
      <c r="AF531" s="506">
        <f t="shared" si="227"/>
        <v>0</v>
      </c>
      <c r="AG531" s="507">
        <f t="shared" si="228"/>
        <v>0</v>
      </c>
      <c r="AH531" s="508">
        <f t="shared" si="229"/>
        <v>0</v>
      </c>
      <c r="AI531" s="508">
        <f t="shared" si="230"/>
        <v>0</v>
      </c>
      <c r="AJ531" s="516"/>
      <c r="AK531" s="519"/>
      <c r="AL531" s="506">
        <f t="shared" si="231"/>
        <v>0</v>
      </c>
      <c r="AM531" s="509">
        <f t="shared" si="232"/>
        <v>0</v>
      </c>
      <c r="AN531" s="518"/>
      <c r="AO531" s="520"/>
      <c r="AP531" s="516">
        <v>7866</v>
      </c>
      <c r="AQ531" s="520">
        <v>8078</v>
      </c>
      <c r="AR531" s="516">
        <v>6390</v>
      </c>
      <c r="AS531" s="520">
        <v>6113</v>
      </c>
      <c r="AT531" s="516">
        <v>8184</v>
      </c>
      <c r="AU531" s="520">
        <v>7981</v>
      </c>
      <c r="AV531" s="506">
        <f t="shared" si="233"/>
        <v>22440</v>
      </c>
      <c r="AW531" s="511">
        <f t="shared" si="234"/>
        <v>935</v>
      </c>
      <c r="AX531" s="508">
        <f t="shared" si="235"/>
        <v>22172</v>
      </c>
      <c r="AY531" s="512">
        <f t="shared" si="236"/>
        <v>923.83333333333337</v>
      </c>
      <c r="AZ531" s="513">
        <f t="shared" si="237"/>
        <v>7975.2333333333336</v>
      </c>
      <c r="BA531" s="508">
        <f t="shared" si="238"/>
        <v>8508.0666666666675</v>
      </c>
    </row>
    <row r="532" spans="1:53">
      <c r="A532" s="594" t="s">
        <v>533</v>
      </c>
      <c r="B532" s="595" t="s">
        <v>552</v>
      </c>
      <c r="C532" s="598"/>
      <c r="D532" s="597">
        <v>226152</v>
      </c>
      <c r="E532" s="597">
        <v>3</v>
      </c>
      <c r="F532" s="514" t="s">
        <v>41</v>
      </c>
      <c r="G532" s="515" t="s">
        <v>41</v>
      </c>
      <c r="H532" s="516"/>
      <c r="I532" s="519"/>
      <c r="J532" s="516">
        <v>59699</v>
      </c>
      <c r="K532" s="519">
        <v>60213</v>
      </c>
      <c r="L532" s="516">
        <v>16480</v>
      </c>
      <c r="M532" s="519">
        <v>13241</v>
      </c>
      <c r="N532" s="516">
        <v>64682</v>
      </c>
      <c r="O532" s="519">
        <v>65955</v>
      </c>
      <c r="P532" s="506">
        <f t="shared" si="221"/>
        <v>140861</v>
      </c>
      <c r="Q532" s="507">
        <f t="shared" si="222"/>
        <v>4695.3666666666668</v>
      </c>
      <c r="R532" s="508">
        <f t="shared" si="223"/>
        <v>139409</v>
      </c>
      <c r="S532" s="509">
        <f t="shared" si="224"/>
        <v>4646.9666666666662</v>
      </c>
      <c r="T532" s="516">
        <v>8904</v>
      </c>
      <c r="U532" s="519">
        <v>9092</v>
      </c>
      <c r="V532" s="506">
        <f t="shared" si="225"/>
        <v>140861</v>
      </c>
      <c r="W532" s="510">
        <f t="shared" si="226"/>
        <v>139409</v>
      </c>
      <c r="X532" s="517"/>
      <c r="Y532" s="519"/>
      <c r="Z532" s="516"/>
      <c r="AA532" s="519"/>
      <c r="AB532" s="516"/>
      <c r="AC532" s="519"/>
      <c r="AD532" s="516"/>
      <c r="AE532" s="618"/>
      <c r="AF532" s="506">
        <f t="shared" si="227"/>
        <v>0</v>
      </c>
      <c r="AG532" s="507">
        <f t="shared" si="228"/>
        <v>0</v>
      </c>
      <c r="AH532" s="508">
        <f t="shared" si="229"/>
        <v>0</v>
      </c>
      <c r="AI532" s="508">
        <f t="shared" si="230"/>
        <v>0</v>
      </c>
      <c r="AJ532" s="516"/>
      <c r="AK532" s="519"/>
      <c r="AL532" s="506">
        <f t="shared" si="231"/>
        <v>0</v>
      </c>
      <c r="AM532" s="509">
        <f t="shared" si="232"/>
        <v>0</v>
      </c>
      <c r="AN532" s="518"/>
      <c r="AO532" s="520"/>
      <c r="AP532" s="516">
        <v>5379</v>
      </c>
      <c r="AQ532" s="520">
        <v>4602</v>
      </c>
      <c r="AR532" s="516">
        <v>2381</v>
      </c>
      <c r="AS532" s="520">
        <v>1914</v>
      </c>
      <c r="AT532" s="516">
        <v>4901</v>
      </c>
      <c r="AU532" s="520">
        <v>4258</v>
      </c>
      <c r="AV532" s="506">
        <f t="shared" si="233"/>
        <v>12661</v>
      </c>
      <c r="AW532" s="511">
        <f t="shared" si="234"/>
        <v>527.54166666666663</v>
      </c>
      <c r="AX532" s="508">
        <f t="shared" si="235"/>
        <v>10774</v>
      </c>
      <c r="AY532" s="512">
        <f t="shared" si="236"/>
        <v>448.91666666666669</v>
      </c>
      <c r="AZ532" s="513">
        <f t="shared" si="237"/>
        <v>5222.9083333333338</v>
      </c>
      <c r="BA532" s="508">
        <f t="shared" si="238"/>
        <v>5095.8833333333332</v>
      </c>
    </row>
    <row r="533" spans="1:53">
      <c r="A533" s="594" t="s">
        <v>533</v>
      </c>
      <c r="B533" s="595" t="s">
        <v>553</v>
      </c>
      <c r="C533" s="598"/>
      <c r="D533" s="597">
        <v>224554</v>
      </c>
      <c r="E533" s="597">
        <v>3</v>
      </c>
      <c r="F533" s="514" t="s">
        <v>41</v>
      </c>
      <c r="G533" s="515" t="s">
        <v>41</v>
      </c>
      <c r="H533" s="516"/>
      <c r="I533" s="519"/>
      <c r="J533" s="516">
        <v>70278</v>
      </c>
      <c r="K533" s="519">
        <v>69494</v>
      </c>
      <c r="L533" s="516">
        <v>16936</v>
      </c>
      <c r="M533" s="519">
        <v>16728</v>
      </c>
      <c r="N533" s="516">
        <v>77029</v>
      </c>
      <c r="O533" s="519">
        <v>78226</v>
      </c>
      <c r="P533" s="506">
        <f t="shared" si="221"/>
        <v>164243</v>
      </c>
      <c r="Q533" s="507">
        <f t="shared" si="222"/>
        <v>5474.7666666666664</v>
      </c>
      <c r="R533" s="508">
        <f t="shared" si="223"/>
        <v>164448</v>
      </c>
      <c r="S533" s="509">
        <f t="shared" si="224"/>
        <v>5481.6</v>
      </c>
      <c r="T533" s="516">
        <v>1131</v>
      </c>
      <c r="U533" s="519">
        <v>1509</v>
      </c>
      <c r="V533" s="506">
        <f t="shared" si="225"/>
        <v>164243</v>
      </c>
      <c r="W533" s="510">
        <f t="shared" si="226"/>
        <v>164448</v>
      </c>
      <c r="X533" s="517"/>
      <c r="Y533" s="519"/>
      <c r="Z533" s="516"/>
      <c r="AA533" s="519"/>
      <c r="AB533" s="516"/>
      <c r="AC533" s="519"/>
      <c r="AD533" s="516"/>
      <c r="AE533" s="519"/>
      <c r="AF533" s="506">
        <f t="shared" si="227"/>
        <v>0</v>
      </c>
      <c r="AG533" s="507">
        <f t="shared" si="228"/>
        <v>0</v>
      </c>
      <c r="AH533" s="508">
        <f t="shared" si="229"/>
        <v>0</v>
      </c>
      <c r="AI533" s="508">
        <f t="shared" si="230"/>
        <v>0</v>
      </c>
      <c r="AJ533" s="516"/>
      <c r="AK533" s="519"/>
      <c r="AL533" s="506">
        <f t="shared" si="231"/>
        <v>0</v>
      </c>
      <c r="AM533" s="509">
        <f t="shared" si="232"/>
        <v>0</v>
      </c>
      <c r="AN533" s="518"/>
      <c r="AO533" s="520"/>
      <c r="AP533" s="516">
        <v>27975</v>
      </c>
      <c r="AQ533" s="520">
        <v>22939</v>
      </c>
      <c r="AR533" s="516">
        <v>16018</v>
      </c>
      <c r="AS533" s="520">
        <v>25705</v>
      </c>
      <c r="AT533" s="516">
        <v>26259</v>
      </c>
      <c r="AU533" s="520">
        <v>26391</v>
      </c>
      <c r="AV533" s="506">
        <f t="shared" si="233"/>
        <v>70252</v>
      </c>
      <c r="AW533" s="511">
        <f t="shared" si="234"/>
        <v>2927.1666666666665</v>
      </c>
      <c r="AX533" s="508">
        <f t="shared" si="235"/>
        <v>75035</v>
      </c>
      <c r="AY533" s="512">
        <f t="shared" si="236"/>
        <v>3126.4583333333335</v>
      </c>
      <c r="AZ533" s="513">
        <f t="shared" si="237"/>
        <v>8401.9333333333325</v>
      </c>
      <c r="BA533" s="508">
        <f t="shared" si="238"/>
        <v>8608.0583333333343</v>
      </c>
    </row>
    <row r="534" spans="1:53">
      <c r="A534" s="594" t="s">
        <v>533</v>
      </c>
      <c r="B534" s="595" t="s">
        <v>554</v>
      </c>
      <c r="C534" s="598"/>
      <c r="D534" s="597">
        <v>224147</v>
      </c>
      <c r="E534" s="597">
        <v>3</v>
      </c>
      <c r="F534" s="514" t="s">
        <v>41</v>
      </c>
      <c r="G534" s="515" t="s">
        <v>41</v>
      </c>
      <c r="H534" s="516"/>
      <c r="I534" s="519"/>
      <c r="J534" s="516">
        <v>91746</v>
      </c>
      <c r="K534" s="519">
        <v>94638</v>
      </c>
      <c r="L534" s="516">
        <v>26511</v>
      </c>
      <c r="M534" s="519">
        <v>26068</v>
      </c>
      <c r="N534" s="516">
        <v>101133</v>
      </c>
      <c r="O534" s="519">
        <v>106847</v>
      </c>
      <c r="P534" s="506">
        <f t="shared" si="221"/>
        <v>219390</v>
      </c>
      <c r="Q534" s="507">
        <f t="shared" si="222"/>
        <v>7313</v>
      </c>
      <c r="R534" s="508">
        <f t="shared" si="223"/>
        <v>227553</v>
      </c>
      <c r="S534" s="509">
        <f t="shared" si="224"/>
        <v>7585.1</v>
      </c>
      <c r="T534" s="516">
        <v>1388</v>
      </c>
      <c r="U534" s="519">
        <v>951</v>
      </c>
      <c r="V534" s="506">
        <f t="shared" si="225"/>
        <v>219390</v>
      </c>
      <c r="W534" s="510">
        <f t="shared" si="226"/>
        <v>227553</v>
      </c>
      <c r="X534" s="517"/>
      <c r="Y534" s="519"/>
      <c r="Z534" s="516"/>
      <c r="AA534" s="519"/>
      <c r="AB534" s="516"/>
      <c r="AC534" s="519"/>
      <c r="AD534" s="516"/>
      <c r="AE534" s="519"/>
      <c r="AF534" s="506">
        <f t="shared" si="227"/>
        <v>0</v>
      </c>
      <c r="AG534" s="507">
        <f t="shared" si="228"/>
        <v>0</v>
      </c>
      <c r="AH534" s="508">
        <f t="shared" si="229"/>
        <v>0</v>
      </c>
      <c r="AI534" s="508">
        <f t="shared" si="230"/>
        <v>0</v>
      </c>
      <c r="AJ534" s="516"/>
      <c r="AK534" s="519"/>
      <c r="AL534" s="506">
        <f t="shared" si="231"/>
        <v>0</v>
      </c>
      <c r="AM534" s="509">
        <f t="shared" si="232"/>
        <v>0</v>
      </c>
      <c r="AN534" s="518"/>
      <c r="AO534" s="520"/>
      <c r="AP534" s="516">
        <v>11468</v>
      </c>
      <c r="AQ534" s="520">
        <v>10807</v>
      </c>
      <c r="AR534" s="516">
        <v>7706</v>
      </c>
      <c r="AS534" s="520">
        <v>6629</v>
      </c>
      <c r="AT534" s="516">
        <v>11520</v>
      </c>
      <c r="AU534" s="520">
        <v>11077</v>
      </c>
      <c r="AV534" s="506">
        <f t="shared" si="233"/>
        <v>30694</v>
      </c>
      <c r="AW534" s="511">
        <f t="shared" si="234"/>
        <v>1278.9166666666667</v>
      </c>
      <c r="AX534" s="508">
        <f t="shared" si="235"/>
        <v>28513</v>
      </c>
      <c r="AY534" s="512">
        <f t="shared" si="236"/>
        <v>1188.0416666666667</v>
      </c>
      <c r="AZ534" s="513">
        <f t="shared" si="237"/>
        <v>8591.9166666666661</v>
      </c>
      <c r="BA534" s="508">
        <f t="shared" si="238"/>
        <v>8773.1416666666664</v>
      </c>
    </row>
    <row r="535" spans="1:53">
      <c r="A535" s="594" t="s">
        <v>533</v>
      </c>
      <c r="B535" s="595" t="s">
        <v>555</v>
      </c>
      <c r="C535" s="598"/>
      <c r="D535" s="597">
        <v>228705</v>
      </c>
      <c r="E535" s="597">
        <v>3</v>
      </c>
      <c r="F535" s="514" t="s">
        <v>41</v>
      </c>
      <c r="G535" s="515" t="s">
        <v>41</v>
      </c>
      <c r="H535" s="516"/>
      <c r="I535" s="519"/>
      <c r="J535" s="516">
        <v>59321</v>
      </c>
      <c r="K535" s="519">
        <v>63861</v>
      </c>
      <c r="L535" s="516">
        <v>12071</v>
      </c>
      <c r="M535" s="519">
        <v>11924</v>
      </c>
      <c r="N535" s="516">
        <v>68663</v>
      </c>
      <c r="O535" s="519">
        <v>74102</v>
      </c>
      <c r="P535" s="506">
        <f t="shared" si="221"/>
        <v>140055</v>
      </c>
      <c r="Q535" s="507">
        <f t="shared" si="222"/>
        <v>4668.5</v>
      </c>
      <c r="R535" s="508">
        <f t="shared" si="223"/>
        <v>149887</v>
      </c>
      <c r="S535" s="509">
        <f t="shared" si="224"/>
        <v>4996.2333333333336</v>
      </c>
      <c r="T535" s="516">
        <v>2469</v>
      </c>
      <c r="U535" s="519">
        <v>3179</v>
      </c>
      <c r="V535" s="506">
        <f t="shared" si="225"/>
        <v>140055</v>
      </c>
      <c r="W535" s="510">
        <f t="shared" si="226"/>
        <v>149887</v>
      </c>
      <c r="X535" s="517"/>
      <c r="Y535" s="519"/>
      <c r="Z535" s="516"/>
      <c r="AA535" s="519"/>
      <c r="AB535" s="516"/>
      <c r="AC535" s="519"/>
      <c r="AD535" s="516"/>
      <c r="AE535" s="519"/>
      <c r="AF535" s="506">
        <f t="shared" si="227"/>
        <v>0</v>
      </c>
      <c r="AG535" s="507">
        <f t="shared" si="228"/>
        <v>0</v>
      </c>
      <c r="AH535" s="508">
        <f t="shared" si="229"/>
        <v>0</v>
      </c>
      <c r="AI535" s="508">
        <f t="shared" si="230"/>
        <v>0</v>
      </c>
      <c r="AJ535" s="516"/>
      <c r="AK535" s="519"/>
      <c r="AL535" s="506">
        <f t="shared" si="231"/>
        <v>0</v>
      </c>
      <c r="AM535" s="509">
        <f t="shared" si="232"/>
        <v>0</v>
      </c>
      <c r="AN535" s="518"/>
      <c r="AO535" s="520"/>
      <c r="AP535" s="516">
        <v>8680</v>
      </c>
      <c r="AQ535" s="520">
        <v>8365</v>
      </c>
      <c r="AR535" s="516">
        <v>4529</v>
      </c>
      <c r="AS535" s="520">
        <v>5100</v>
      </c>
      <c r="AT535" s="516">
        <v>8286</v>
      </c>
      <c r="AU535" s="520">
        <v>9280</v>
      </c>
      <c r="AV535" s="506">
        <f t="shared" si="233"/>
        <v>21495</v>
      </c>
      <c r="AW535" s="511">
        <f t="shared" si="234"/>
        <v>895.625</v>
      </c>
      <c r="AX535" s="508">
        <f t="shared" si="235"/>
        <v>22745</v>
      </c>
      <c r="AY535" s="512">
        <f t="shared" si="236"/>
        <v>947.70833333333337</v>
      </c>
      <c r="AZ535" s="513">
        <f t="shared" si="237"/>
        <v>5564.125</v>
      </c>
      <c r="BA535" s="508">
        <f t="shared" si="238"/>
        <v>5943.9416666666666</v>
      </c>
    </row>
    <row r="536" spans="1:53">
      <c r="A536" s="594" t="s">
        <v>533</v>
      </c>
      <c r="B536" s="595" t="s">
        <v>556</v>
      </c>
      <c r="C536" s="598"/>
      <c r="D536" s="597">
        <v>229063</v>
      </c>
      <c r="E536" s="597">
        <v>3</v>
      </c>
      <c r="F536" s="514" t="s">
        <v>41</v>
      </c>
      <c r="G536" s="515" t="s">
        <v>41</v>
      </c>
      <c r="H536" s="516"/>
      <c r="I536" s="519"/>
      <c r="J536" s="516">
        <v>79547</v>
      </c>
      <c r="K536" s="519">
        <v>79510</v>
      </c>
      <c r="L536" s="516">
        <v>15051</v>
      </c>
      <c r="M536" s="519">
        <v>10554</v>
      </c>
      <c r="N536" s="516">
        <v>86507</v>
      </c>
      <c r="O536" s="519">
        <v>90474</v>
      </c>
      <c r="P536" s="506">
        <f t="shared" si="221"/>
        <v>181105</v>
      </c>
      <c r="Q536" s="507">
        <f t="shared" si="222"/>
        <v>6036.833333333333</v>
      </c>
      <c r="R536" s="508">
        <f t="shared" si="223"/>
        <v>180538</v>
      </c>
      <c r="S536" s="509">
        <f t="shared" si="224"/>
        <v>6017.9333333333334</v>
      </c>
      <c r="T536" s="516">
        <v>0</v>
      </c>
      <c r="U536" s="519">
        <v>0</v>
      </c>
      <c r="V536" s="506">
        <f t="shared" si="225"/>
        <v>181105</v>
      </c>
      <c r="W536" s="510">
        <f t="shared" si="226"/>
        <v>180538</v>
      </c>
      <c r="X536" s="517"/>
      <c r="Y536" s="519"/>
      <c r="Z536" s="516"/>
      <c r="AA536" s="519"/>
      <c r="AB536" s="516"/>
      <c r="AC536" s="519"/>
      <c r="AD536" s="516"/>
      <c r="AE536" s="519"/>
      <c r="AF536" s="506">
        <f t="shared" si="227"/>
        <v>0</v>
      </c>
      <c r="AG536" s="507">
        <f t="shared" si="228"/>
        <v>0</v>
      </c>
      <c r="AH536" s="508">
        <f t="shared" si="229"/>
        <v>0</v>
      </c>
      <c r="AI536" s="508">
        <f t="shared" si="230"/>
        <v>0</v>
      </c>
      <c r="AJ536" s="516"/>
      <c r="AK536" s="519"/>
      <c r="AL536" s="506">
        <f t="shared" si="231"/>
        <v>0</v>
      </c>
      <c r="AM536" s="509">
        <f t="shared" si="232"/>
        <v>0</v>
      </c>
      <c r="AN536" s="518"/>
      <c r="AO536" s="520"/>
      <c r="AP536" s="516">
        <v>25298</v>
      </c>
      <c r="AQ536" s="520">
        <v>26383</v>
      </c>
      <c r="AR536" s="516">
        <v>6827</v>
      </c>
      <c r="AS536" s="520">
        <v>6443</v>
      </c>
      <c r="AT536" s="516">
        <v>27072</v>
      </c>
      <c r="AU536" s="520">
        <v>25778</v>
      </c>
      <c r="AV536" s="506">
        <f t="shared" si="233"/>
        <v>59197</v>
      </c>
      <c r="AW536" s="511">
        <f t="shared" si="234"/>
        <v>2466.5416666666665</v>
      </c>
      <c r="AX536" s="508">
        <f t="shared" si="235"/>
        <v>58604</v>
      </c>
      <c r="AY536" s="512">
        <f t="shared" si="236"/>
        <v>2441.8333333333335</v>
      </c>
      <c r="AZ536" s="513">
        <f t="shared" si="237"/>
        <v>8503.375</v>
      </c>
      <c r="BA536" s="508">
        <f t="shared" si="238"/>
        <v>8459.7666666666664</v>
      </c>
    </row>
    <row r="537" spans="1:53">
      <c r="A537" s="594" t="s">
        <v>533</v>
      </c>
      <c r="B537" s="595" t="s">
        <v>557</v>
      </c>
      <c r="C537" s="598"/>
      <c r="D537" s="597">
        <v>228459</v>
      </c>
      <c r="E537" s="597">
        <v>3</v>
      </c>
      <c r="F537" s="514" t="s">
        <v>41</v>
      </c>
      <c r="G537" s="515" t="s">
        <v>41</v>
      </c>
      <c r="H537" s="516"/>
      <c r="I537" s="519"/>
      <c r="J537" s="516">
        <v>321170</v>
      </c>
      <c r="K537" s="519">
        <v>337603</v>
      </c>
      <c r="L537" s="516">
        <v>66826</v>
      </c>
      <c r="M537" s="519">
        <v>61868</v>
      </c>
      <c r="N537" s="516">
        <v>360420</v>
      </c>
      <c r="O537" s="519">
        <v>370796</v>
      </c>
      <c r="P537" s="506">
        <f t="shared" si="221"/>
        <v>748416</v>
      </c>
      <c r="Q537" s="507">
        <f t="shared" si="222"/>
        <v>24947.200000000001</v>
      </c>
      <c r="R537" s="508">
        <f t="shared" si="223"/>
        <v>770267</v>
      </c>
      <c r="S537" s="509">
        <f t="shared" si="224"/>
        <v>25675.566666666666</v>
      </c>
      <c r="T537" s="516">
        <v>0</v>
      </c>
      <c r="U537" s="519">
        <v>0</v>
      </c>
      <c r="V537" s="506">
        <f t="shared" si="225"/>
        <v>748416</v>
      </c>
      <c r="W537" s="510">
        <f t="shared" si="226"/>
        <v>770267</v>
      </c>
      <c r="X537" s="517"/>
      <c r="Y537" s="519"/>
      <c r="Z537" s="516"/>
      <c r="AA537" s="519"/>
      <c r="AB537" s="516"/>
      <c r="AC537" s="519"/>
      <c r="AD537" s="516"/>
      <c r="AE537" s="519"/>
      <c r="AF537" s="506">
        <f t="shared" si="227"/>
        <v>0</v>
      </c>
      <c r="AG537" s="507">
        <f t="shared" si="228"/>
        <v>0</v>
      </c>
      <c r="AH537" s="508">
        <f t="shared" si="229"/>
        <v>0</v>
      </c>
      <c r="AI537" s="508">
        <f t="shared" si="230"/>
        <v>0</v>
      </c>
      <c r="AJ537" s="516"/>
      <c r="AK537" s="519"/>
      <c r="AL537" s="506">
        <f t="shared" si="231"/>
        <v>0</v>
      </c>
      <c r="AM537" s="509">
        <f t="shared" si="232"/>
        <v>0</v>
      </c>
      <c r="AN537" s="518"/>
      <c r="AO537" s="520"/>
      <c r="AP537" s="516">
        <v>32041</v>
      </c>
      <c r="AQ537" s="520">
        <v>31807</v>
      </c>
      <c r="AR537" s="516">
        <v>13597</v>
      </c>
      <c r="AS537" s="520">
        <v>13620</v>
      </c>
      <c r="AT537" s="516">
        <v>33972</v>
      </c>
      <c r="AU537" s="520">
        <v>32060</v>
      </c>
      <c r="AV537" s="506">
        <f t="shared" si="233"/>
        <v>79610</v>
      </c>
      <c r="AW537" s="511">
        <f t="shared" si="234"/>
        <v>3317.0833333333335</v>
      </c>
      <c r="AX537" s="508">
        <f t="shared" si="235"/>
        <v>77487</v>
      </c>
      <c r="AY537" s="512">
        <f t="shared" si="236"/>
        <v>3228.625</v>
      </c>
      <c r="AZ537" s="513">
        <f t="shared" si="237"/>
        <v>28264.283333333333</v>
      </c>
      <c r="BA537" s="508">
        <f t="shared" si="238"/>
        <v>28904.191666666666</v>
      </c>
    </row>
    <row r="538" spans="1:53">
      <c r="A538" s="594" t="s">
        <v>533</v>
      </c>
      <c r="B538" s="595" t="s">
        <v>558</v>
      </c>
      <c r="C538" s="598"/>
      <c r="D538" s="597">
        <v>225414</v>
      </c>
      <c r="E538" s="597">
        <v>3</v>
      </c>
      <c r="F538" s="514" t="s">
        <v>41</v>
      </c>
      <c r="G538" s="515" t="s">
        <v>41</v>
      </c>
      <c r="H538" s="516"/>
      <c r="I538" s="519"/>
      <c r="J538" s="516">
        <v>45981</v>
      </c>
      <c r="K538" s="519">
        <v>45631</v>
      </c>
      <c r="L538" s="516">
        <v>14140</v>
      </c>
      <c r="M538" s="519">
        <v>13246</v>
      </c>
      <c r="N538" s="516">
        <v>46189</v>
      </c>
      <c r="O538" s="519">
        <v>45352</v>
      </c>
      <c r="P538" s="506">
        <f t="shared" si="221"/>
        <v>106310</v>
      </c>
      <c r="Q538" s="507">
        <f t="shared" si="222"/>
        <v>3543.6666666666665</v>
      </c>
      <c r="R538" s="508">
        <f t="shared" si="223"/>
        <v>104229</v>
      </c>
      <c r="S538" s="509">
        <f t="shared" si="224"/>
        <v>3474.3</v>
      </c>
      <c r="T538" s="516">
        <v>0</v>
      </c>
      <c r="U538" s="519">
        <v>0</v>
      </c>
      <c r="V538" s="506">
        <f t="shared" si="225"/>
        <v>106310</v>
      </c>
      <c r="W538" s="510">
        <f t="shared" si="226"/>
        <v>104229</v>
      </c>
      <c r="X538" s="517"/>
      <c r="Y538" s="519"/>
      <c r="Z538" s="516"/>
      <c r="AA538" s="519"/>
      <c r="AB538" s="516"/>
      <c r="AC538" s="519"/>
      <c r="AD538" s="516"/>
      <c r="AE538" s="519"/>
      <c r="AF538" s="506">
        <f t="shared" si="227"/>
        <v>0</v>
      </c>
      <c r="AG538" s="507">
        <f t="shared" si="228"/>
        <v>0</v>
      </c>
      <c r="AH538" s="508">
        <f t="shared" si="229"/>
        <v>0</v>
      </c>
      <c r="AI538" s="508">
        <f t="shared" si="230"/>
        <v>0</v>
      </c>
      <c r="AJ538" s="516"/>
      <c r="AK538" s="519"/>
      <c r="AL538" s="506">
        <f t="shared" si="231"/>
        <v>0</v>
      </c>
      <c r="AM538" s="509">
        <f t="shared" si="232"/>
        <v>0</v>
      </c>
      <c r="AN538" s="518"/>
      <c r="AO538" s="520"/>
      <c r="AP538" s="516">
        <v>21880</v>
      </c>
      <c r="AQ538" s="520">
        <v>22085</v>
      </c>
      <c r="AR538" s="516">
        <v>9328</v>
      </c>
      <c r="AS538" s="520">
        <v>9537</v>
      </c>
      <c r="AT538" s="516">
        <v>22596</v>
      </c>
      <c r="AU538" s="520">
        <v>22237</v>
      </c>
      <c r="AV538" s="506">
        <f t="shared" si="233"/>
        <v>53804</v>
      </c>
      <c r="AW538" s="511">
        <f t="shared" si="234"/>
        <v>2241.8333333333335</v>
      </c>
      <c r="AX538" s="508">
        <f t="shared" si="235"/>
        <v>53859</v>
      </c>
      <c r="AY538" s="512">
        <f t="shared" si="236"/>
        <v>2244.125</v>
      </c>
      <c r="AZ538" s="513">
        <f t="shared" si="237"/>
        <v>5785.5</v>
      </c>
      <c r="BA538" s="508">
        <f t="shared" si="238"/>
        <v>5718.4250000000002</v>
      </c>
    </row>
    <row r="539" spans="1:53">
      <c r="A539" s="594" t="s">
        <v>533</v>
      </c>
      <c r="B539" s="637" t="s">
        <v>559</v>
      </c>
      <c r="C539" s="598"/>
      <c r="D539" s="597">
        <v>227377</v>
      </c>
      <c r="E539" s="638">
        <v>3</v>
      </c>
      <c r="F539" s="514" t="s">
        <v>41</v>
      </c>
      <c r="G539" s="515" t="s">
        <v>41</v>
      </c>
      <c r="H539" s="516"/>
      <c r="I539" s="519"/>
      <c r="J539" s="516">
        <v>38999</v>
      </c>
      <c r="K539" s="519">
        <v>34052</v>
      </c>
      <c r="L539" s="516">
        <v>12697</v>
      </c>
      <c r="M539" s="519">
        <v>16988</v>
      </c>
      <c r="N539" s="516">
        <v>51008</v>
      </c>
      <c r="O539" s="519">
        <v>74854</v>
      </c>
      <c r="P539" s="506">
        <f t="shared" si="221"/>
        <v>102704</v>
      </c>
      <c r="Q539" s="507">
        <f t="shared" si="222"/>
        <v>3423.4666666666667</v>
      </c>
      <c r="R539" s="508">
        <f t="shared" si="223"/>
        <v>125894</v>
      </c>
      <c r="S539" s="509">
        <f t="shared" si="224"/>
        <v>4196.4666666666662</v>
      </c>
      <c r="T539" s="516">
        <v>7547</v>
      </c>
      <c r="U539" s="519">
        <v>2638</v>
      </c>
      <c r="V539" s="506">
        <f t="shared" si="225"/>
        <v>102704</v>
      </c>
      <c r="W539" s="510">
        <f t="shared" si="226"/>
        <v>125894</v>
      </c>
      <c r="X539" s="517"/>
      <c r="Y539" s="519"/>
      <c r="Z539" s="516"/>
      <c r="AA539" s="519"/>
      <c r="AB539" s="516"/>
      <c r="AC539" s="519"/>
      <c r="AD539" s="516"/>
      <c r="AE539" s="519"/>
      <c r="AF539" s="506">
        <f t="shared" si="227"/>
        <v>0</v>
      </c>
      <c r="AG539" s="507">
        <f t="shared" si="228"/>
        <v>0</v>
      </c>
      <c r="AH539" s="508">
        <f t="shared" si="229"/>
        <v>0</v>
      </c>
      <c r="AI539" s="508">
        <f t="shared" si="230"/>
        <v>0</v>
      </c>
      <c r="AJ539" s="516"/>
      <c r="AK539" s="519"/>
      <c r="AL539" s="506">
        <f t="shared" si="231"/>
        <v>0</v>
      </c>
      <c r="AM539" s="509">
        <f t="shared" si="232"/>
        <v>0</v>
      </c>
      <c r="AN539" s="518"/>
      <c r="AO539" s="520"/>
      <c r="AP539" s="516">
        <v>5110</v>
      </c>
      <c r="AQ539" s="520">
        <v>5855</v>
      </c>
      <c r="AR539" s="516">
        <v>2661</v>
      </c>
      <c r="AS539" s="520">
        <v>2757</v>
      </c>
      <c r="AT539" s="516">
        <v>5912</v>
      </c>
      <c r="AU539" s="520">
        <v>6258</v>
      </c>
      <c r="AV539" s="506">
        <f t="shared" si="233"/>
        <v>13683</v>
      </c>
      <c r="AW539" s="511">
        <f t="shared" si="234"/>
        <v>570.125</v>
      </c>
      <c r="AX539" s="508">
        <f t="shared" si="235"/>
        <v>14870</v>
      </c>
      <c r="AY539" s="512">
        <f t="shared" si="236"/>
        <v>619.58333333333337</v>
      </c>
      <c r="AZ539" s="513">
        <f t="shared" si="237"/>
        <v>3993.5916666666667</v>
      </c>
      <c r="BA539" s="508">
        <f t="shared" si="238"/>
        <v>4816.0499999999993</v>
      </c>
    </row>
    <row r="540" spans="1:53">
      <c r="A540" s="594" t="s">
        <v>533</v>
      </c>
      <c r="B540" s="595" t="s">
        <v>560</v>
      </c>
      <c r="C540" s="598"/>
      <c r="D540" s="597">
        <v>228802</v>
      </c>
      <c r="E540" s="597">
        <v>3</v>
      </c>
      <c r="F540" s="514" t="s">
        <v>41</v>
      </c>
      <c r="G540" s="515" t="s">
        <v>41</v>
      </c>
      <c r="H540" s="516"/>
      <c r="I540" s="519"/>
      <c r="J540" s="516">
        <v>56557</v>
      </c>
      <c r="K540" s="519">
        <v>57825</v>
      </c>
      <c r="L540" s="516">
        <v>8668</v>
      </c>
      <c r="M540" s="519">
        <v>10180</v>
      </c>
      <c r="N540" s="516">
        <v>61301</v>
      </c>
      <c r="O540" s="519">
        <v>63891</v>
      </c>
      <c r="P540" s="506">
        <f t="shared" si="221"/>
        <v>126526</v>
      </c>
      <c r="Q540" s="507">
        <f t="shared" si="222"/>
        <v>4217.5333333333338</v>
      </c>
      <c r="R540" s="508">
        <f t="shared" si="223"/>
        <v>131896</v>
      </c>
      <c r="S540" s="509">
        <f t="shared" si="224"/>
        <v>4396.5333333333338</v>
      </c>
      <c r="T540" s="516">
        <v>0</v>
      </c>
      <c r="U540" s="519">
        <v>0</v>
      </c>
      <c r="V540" s="506">
        <f t="shared" si="225"/>
        <v>126526</v>
      </c>
      <c r="W540" s="510">
        <f t="shared" si="226"/>
        <v>131896</v>
      </c>
      <c r="X540" s="517"/>
      <c r="Y540" s="519"/>
      <c r="Z540" s="516"/>
      <c r="AA540" s="519"/>
      <c r="AB540" s="516"/>
      <c r="AC540" s="519"/>
      <c r="AD540" s="516"/>
      <c r="AE540" s="519"/>
      <c r="AF540" s="506">
        <f t="shared" si="227"/>
        <v>0</v>
      </c>
      <c r="AG540" s="507">
        <f t="shared" si="228"/>
        <v>0</v>
      </c>
      <c r="AH540" s="508">
        <f t="shared" si="229"/>
        <v>0</v>
      </c>
      <c r="AI540" s="508">
        <f t="shared" si="230"/>
        <v>0</v>
      </c>
      <c r="AJ540" s="516"/>
      <c r="AK540" s="519"/>
      <c r="AL540" s="506">
        <f t="shared" si="231"/>
        <v>0</v>
      </c>
      <c r="AM540" s="509">
        <f t="shared" si="232"/>
        <v>0</v>
      </c>
      <c r="AN540" s="518"/>
      <c r="AO540" s="520"/>
      <c r="AP540" s="516">
        <v>8571</v>
      </c>
      <c r="AQ540" s="520">
        <v>9411</v>
      </c>
      <c r="AR540" s="516">
        <v>5098</v>
      </c>
      <c r="AS540" s="520">
        <v>5980</v>
      </c>
      <c r="AT540" s="516">
        <v>9792</v>
      </c>
      <c r="AU540" s="520">
        <v>9948</v>
      </c>
      <c r="AV540" s="506">
        <f t="shared" si="233"/>
        <v>23461</v>
      </c>
      <c r="AW540" s="511">
        <f t="shared" si="234"/>
        <v>977.54166666666663</v>
      </c>
      <c r="AX540" s="508">
        <f t="shared" si="235"/>
        <v>25339</v>
      </c>
      <c r="AY540" s="512">
        <f t="shared" si="236"/>
        <v>1055.7916666666667</v>
      </c>
      <c r="AZ540" s="513">
        <f t="shared" si="237"/>
        <v>5195.0750000000007</v>
      </c>
      <c r="BA540" s="508">
        <f t="shared" si="238"/>
        <v>5452.3250000000007</v>
      </c>
    </row>
    <row r="541" spans="1:53">
      <c r="A541" s="594" t="s">
        <v>533</v>
      </c>
      <c r="B541" s="637" t="s">
        <v>561</v>
      </c>
      <c r="C541" s="639"/>
      <c r="D541" s="597">
        <v>229018</v>
      </c>
      <c r="E541" s="661">
        <v>3</v>
      </c>
      <c r="F541" s="514" t="s">
        <v>41</v>
      </c>
      <c r="G541" s="515" t="s">
        <v>41</v>
      </c>
      <c r="H541" s="516"/>
      <c r="I541" s="519"/>
      <c r="J541" s="516">
        <v>33947</v>
      </c>
      <c r="K541" s="519">
        <v>32385</v>
      </c>
      <c r="L541" s="516">
        <v>7048</v>
      </c>
      <c r="M541" s="519">
        <v>6714</v>
      </c>
      <c r="N541" s="516">
        <v>35149</v>
      </c>
      <c r="O541" s="519">
        <v>36364</v>
      </c>
      <c r="P541" s="506">
        <f t="shared" si="221"/>
        <v>76144</v>
      </c>
      <c r="Q541" s="507">
        <f t="shared" si="222"/>
        <v>2538.1333333333332</v>
      </c>
      <c r="R541" s="508">
        <f t="shared" si="223"/>
        <v>75463</v>
      </c>
      <c r="S541" s="509">
        <f t="shared" si="224"/>
        <v>2515.4333333333334</v>
      </c>
      <c r="T541" s="516">
        <v>3182</v>
      </c>
      <c r="U541" s="519">
        <v>3777</v>
      </c>
      <c r="V541" s="506">
        <f t="shared" si="225"/>
        <v>76144</v>
      </c>
      <c r="W541" s="510">
        <f t="shared" si="226"/>
        <v>75463</v>
      </c>
      <c r="X541" s="517"/>
      <c r="Y541" s="519"/>
      <c r="Z541" s="516"/>
      <c r="AA541" s="519"/>
      <c r="AB541" s="516"/>
      <c r="AC541" s="519"/>
      <c r="AD541" s="516"/>
      <c r="AE541" s="519"/>
      <c r="AF541" s="506">
        <f t="shared" si="227"/>
        <v>0</v>
      </c>
      <c r="AG541" s="507">
        <f t="shared" si="228"/>
        <v>0</v>
      </c>
      <c r="AH541" s="508">
        <f t="shared" si="229"/>
        <v>0</v>
      </c>
      <c r="AI541" s="508">
        <f t="shared" si="230"/>
        <v>0</v>
      </c>
      <c r="AJ541" s="516"/>
      <c r="AK541" s="519"/>
      <c r="AL541" s="506">
        <f t="shared" si="231"/>
        <v>0</v>
      </c>
      <c r="AM541" s="509">
        <f t="shared" si="232"/>
        <v>0</v>
      </c>
      <c r="AN541" s="518"/>
      <c r="AO541" s="520"/>
      <c r="AP541" s="516">
        <v>3361</v>
      </c>
      <c r="AQ541" s="520">
        <v>3153</v>
      </c>
      <c r="AR541" s="516">
        <v>2402</v>
      </c>
      <c r="AS541" s="520">
        <v>2031</v>
      </c>
      <c r="AT541" s="516">
        <v>3148</v>
      </c>
      <c r="AU541" s="520">
        <v>3097</v>
      </c>
      <c r="AV541" s="506">
        <f t="shared" si="233"/>
        <v>8911</v>
      </c>
      <c r="AW541" s="511">
        <f t="shared" si="234"/>
        <v>371.29166666666669</v>
      </c>
      <c r="AX541" s="508">
        <f t="shared" si="235"/>
        <v>8281</v>
      </c>
      <c r="AY541" s="512">
        <f t="shared" si="236"/>
        <v>345.04166666666669</v>
      </c>
      <c r="AZ541" s="513">
        <f t="shared" si="237"/>
        <v>2909.4249999999997</v>
      </c>
      <c r="BA541" s="508">
        <f t="shared" si="238"/>
        <v>2860.4749999999999</v>
      </c>
    </row>
    <row r="542" spans="1:53">
      <c r="A542" s="594" t="s">
        <v>533</v>
      </c>
      <c r="B542" s="595" t="s">
        <v>562</v>
      </c>
      <c r="C542" s="598"/>
      <c r="D542" s="597">
        <v>227368</v>
      </c>
      <c r="E542" s="597">
        <v>3</v>
      </c>
      <c r="F542" s="514" t="s">
        <v>41</v>
      </c>
      <c r="G542" s="515" t="s">
        <v>41</v>
      </c>
      <c r="H542" s="516"/>
      <c r="I542" s="519"/>
      <c r="J542" s="516">
        <v>172535</v>
      </c>
      <c r="K542" s="519">
        <v>176048</v>
      </c>
      <c r="L542" s="516">
        <v>71749</v>
      </c>
      <c r="M542" s="519">
        <v>60103</v>
      </c>
      <c r="N542" s="516">
        <v>190475</v>
      </c>
      <c r="O542" s="519">
        <v>195825</v>
      </c>
      <c r="P542" s="506">
        <f t="shared" si="221"/>
        <v>434759</v>
      </c>
      <c r="Q542" s="507">
        <f t="shared" si="222"/>
        <v>14491.966666666667</v>
      </c>
      <c r="R542" s="508">
        <f t="shared" si="223"/>
        <v>431976</v>
      </c>
      <c r="S542" s="509">
        <f t="shared" si="224"/>
        <v>14399.2</v>
      </c>
      <c r="T542" s="516">
        <v>4352</v>
      </c>
      <c r="U542" s="519">
        <v>5042</v>
      </c>
      <c r="V542" s="506">
        <f t="shared" si="225"/>
        <v>434759</v>
      </c>
      <c r="W542" s="510">
        <f t="shared" si="226"/>
        <v>431976</v>
      </c>
      <c r="X542" s="517"/>
      <c r="Y542" s="519"/>
      <c r="Z542" s="516"/>
      <c r="AA542" s="519"/>
      <c r="AB542" s="516"/>
      <c r="AC542" s="519"/>
      <c r="AD542" s="516"/>
      <c r="AE542" s="519"/>
      <c r="AF542" s="506">
        <f t="shared" si="227"/>
        <v>0</v>
      </c>
      <c r="AG542" s="507">
        <f t="shared" si="228"/>
        <v>0</v>
      </c>
      <c r="AH542" s="508">
        <f t="shared" si="229"/>
        <v>0</v>
      </c>
      <c r="AI542" s="508">
        <f t="shared" si="230"/>
        <v>0</v>
      </c>
      <c r="AJ542" s="516"/>
      <c r="AK542" s="519"/>
      <c r="AL542" s="506">
        <f t="shared" si="231"/>
        <v>0</v>
      </c>
      <c r="AM542" s="509">
        <f t="shared" si="232"/>
        <v>0</v>
      </c>
      <c r="AN542" s="518"/>
      <c r="AO542" s="520"/>
      <c r="AP542" s="516">
        <v>16607</v>
      </c>
      <c r="AQ542" s="520">
        <v>16375</v>
      </c>
      <c r="AR542" s="516">
        <v>9136</v>
      </c>
      <c r="AS542" s="520">
        <v>8988</v>
      </c>
      <c r="AT542" s="516">
        <v>17125</v>
      </c>
      <c r="AU542" s="520">
        <v>17038</v>
      </c>
      <c r="AV542" s="506">
        <f t="shared" si="233"/>
        <v>42868</v>
      </c>
      <c r="AW542" s="511">
        <f t="shared" si="234"/>
        <v>1786.1666666666667</v>
      </c>
      <c r="AX542" s="508">
        <f t="shared" si="235"/>
        <v>42401</v>
      </c>
      <c r="AY542" s="512">
        <f t="shared" si="236"/>
        <v>1766.7083333333333</v>
      </c>
      <c r="AZ542" s="513">
        <f t="shared" si="237"/>
        <v>16278.133333333333</v>
      </c>
      <c r="BA542" s="508">
        <f t="shared" si="238"/>
        <v>16165.908333333335</v>
      </c>
    </row>
    <row r="543" spans="1:53">
      <c r="A543" s="594" t="s">
        <v>533</v>
      </c>
      <c r="B543" s="595" t="s">
        <v>563</v>
      </c>
      <c r="C543" s="598"/>
      <c r="D543" s="597">
        <v>229814</v>
      </c>
      <c r="E543" s="597">
        <v>3</v>
      </c>
      <c r="F543" s="514" t="s">
        <v>41</v>
      </c>
      <c r="G543" s="515" t="s">
        <v>41</v>
      </c>
      <c r="H543" s="516"/>
      <c r="I543" s="519"/>
      <c r="J543" s="516">
        <v>75667</v>
      </c>
      <c r="K543" s="519">
        <v>76311</v>
      </c>
      <c r="L543" s="516">
        <v>14088</v>
      </c>
      <c r="M543" s="519">
        <v>13194</v>
      </c>
      <c r="N543" s="516">
        <v>82848</v>
      </c>
      <c r="O543" s="519">
        <v>83753</v>
      </c>
      <c r="P543" s="506">
        <f t="shared" si="221"/>
        <v>172603</v>
      </c>
      <c r="Q543" s="507">
        <f t="shared" si="222"/>
        <v>5753.4333333333334</v>
      </c>
      <c r="R543" s="508">
        <f t="shared" si="223"/>
        <v>173258</v>
      </c>
      <c r="S543" s="509">
        <f t="shared" si="224"/>
        <v>5775.2666666666664</v>
      </c>
      <c r="T543" s="516">
        <v>0</v>
      </c>
      <c r="U543" s="519">
        <v>0</v>
      </c>
      <c r="V543" s="506">
        <f t="shared" si="225"/>
        <v>172603</v>
      </c>
      <c r="W543" s="510">
        <f t="shared" si="226"/>
        <v>173258</v>
      </c>
      <c r="X543" s="517"/>
      <c r="Y543" s="519"/>
      <c r="Z543" s="516"/>
      <c r="AA543" s="519"/>
      <c r="AB543" s="516"/>
      <c r="AC543" s="519"/>
      <c r="AD543" s="516"/>
      <c r="AE543" s="519"/>
      <c r="AF543" s="506">
        <f t="shared" si="227"/>
        <v>0</v>
      </c>
      <c r="AG543" s="507">
        <f t="shared" si="228"/>
        <v>0</v>
      </c>
      <c r="AH543" s="508">
        <f t="shared" si="229"/>
        <v>0</v>
      </c>
      <c r="AI543" s="508">
        <f t="shared" si="230"/>
        <v>0</v>
      </c>
      <c r="AJ543" s="516"/>
      <c r="AK543" s="519"/>
      <c r="AL543" s="506">
        <f t="shared" si="231"/>
        <v>0</v>
      </c>
      <c r="AM543" s="509">
        <f t="shared" si="232"/>
        <v>0</v>
      </c>
      <c r="AN543" s="518"/>
      <c r="AO543" s="520"/>
      <c r="AP543" s="516">
        <v>7627</v>
      </c>
      <c r="AQ543" s="520">
        <v>7682</v>
      </c>
      <c r="AR543" s="516">
        <v>4558</v>
      </c>
      <c r="AS543" s="520">
        <v>5178</v>
      </c>
      <c r="AT543" s="516">
        <v>7913</v>
      </c>
      <c r="AU543" s="520">
        <v>8049</v>
      </c>
      <c r="AV543" s="506">
        <f t="shared" si="233"/>
        <v>20098</v>
      </c>
      <c r="AW543" s="511">
        <f t="shared" si="234"/>
        <v>837.41666666666663</v>
      </c>
      <c r="AX543" s="508">
        <f t="shared" si="235"/>
        <v>20909</v>
      </c>
      <c r="AY543" s="512">
        <f t="shared" si="236"/>
        <v>871.20833333333337</v>
      </c>
      <c r="AZ543" s="513">
        <f t="shared" si="237"/>
        <v>6590.85</v>
      </c>
      <c r="BA543" s="508">
        <f t="shared" si="238"/>
        <v>6646.4749999999995</v>
      </c>
    </row>
    <row r="544" spans="1:53">
      <c r="A544" s="594" t="s">
        <v>533</v>
      </c>
      <c r="B544" s="637" t="s">
        <v>639</v>
      </c>
      <c r="C544" s="639" t="s">
        <v>648</v>
      </c>
      <c r="D544" s="664" t="s">
        <v>632</v>
      </c>
      <c r="E544" s="665">
        <v>4</v>
      </c>
      <c r="F544" s="514" t="s">
        <v>41</v>
      </c>
      <c r="G544" s="515" t="s">
        <v>41</v>
      </c>
      <c r="H544" s="516"/>
      <c r="I544" s="519"/>
      <c r="J544" s="516">
        <v>12402</v>
      </c>
      <c r="K544" s="519">
        <v>13599</v>
      </c>
      <c r="L544" s="516">
        <v>8451</v>
      </c>
      <c r="M544" s="519">
        <v>8595</v>
      </c>
      <c r="N544" s="516">
        <v>10262</v>
      </c>
      <c r="O544" s="519">
        <v>11549</v>
      </c>
      <c r="P544" s="506">
        <f t="shared" si="221"/>
        <v>31115</v>
      </c>
      <c r="Q544" s="507">
        <f t="shared" si="222"/>
        <v>1037.1666666666667</v>
      </c>
      <c r="R544" s="508">
        <f t="shared" si="223"/>
        <v>33743</v>
      </c>
      <c r="S544" s="509">
        <f t="shared" si="224"/>
        <v>1124.7666666666667</v>
      </c>
      <c r="T544" s="516">
        <v>0</v>
      </c>
      <c r="U544" s="519">
        <v>0</v>
      </c>
      <c r="V544" s="506">
        <f t="shared" si="225"/>
        <v>31115</v>
      </c>
      <c r="W544" s="510">
        <f t="shared" si="226"/>
        <v>33743</v>
      </c>
      <c r="X544" s="517"/>
      <c r="Y544" s="519"/>
      <c r="Z544" s="516"/>
      <c r="AA544" s="519"/>
      <c r="AB544" s="516"/>
      <c r="AC544" s="519"/>
      <c r="AD544" s="516"/>
      <c r="AE544" s="519"/>
      <c r="AF544" s="506">
        <f t="shared" si="227"/>
        <v>0</v>
      </c>
      <c r="AG544" s="507">
        <f t="shared" si="228"/>
        <v>0</v>
      </c>
      <c r="AH544" s="508">
        <f t="shared" si="229"/>
        <v>0</v>
      </c>
      <c r="AI544" s="508">
        <f t="shared" si="230"/>
        <v>0</v>
      </c>
      <c r="AJ544" s="516"/>
      <c r="AK544" s="519"/>
      <c r="AL544" s="506">
        <f t="shared" si="231"/>
        <v>0</v>
      </c>
      <c r="AM544" s="509">
        <f t="shared" si="232"/>
        <v>0</v>
      </c>
      <c r="AN544" s="518"/>
      <c r="AO544" s="520"/>
      <c r="AP544" s="516">
        <v>4516</v>
      </c>
      <c r="AQ544" s="520">
        <v>4299</v>
      </c>
      <c r="AR544" s="516">
        <v>3173</v>
      </c>
      <c r="AS544" s="520">
        <v>3624</v>
      </c>
      <c r="AT544" s="516">
        <v>3797</v>
      </c>
      <c r="AU544" s="520">
        <v>4027</v>
      </c>
      <c r="AV544" s="506">
        <f t="shared" si="233"/>
        <v>11486</v>
      </c>
      <c r="AW544" s="511">
        <f t="shared" si="234"/>
        <v>478.58333333333331</v>
      </c>
      <c r="AX544" s="508">
        <f t="shared" si="235"/>
        <v>11950</v>
      </c>
      <c r="AY544" s="512">
        <f t="shared" si="236"/>
        <v>497.91666666666669</v>
      </c>
      <c r="AZ544" s="513">
        <f t="shared" si="237"/>
        <v>1515.75</v>
      </c>
      <c r="BA544" s="508">
        <f t="shared" si="238"/>
        <v>1622.6833333333334</v>
      </c>
    </row>
    <row r="545" spans="1:53">
      <c r="A545" s="594" t="s">
        <v>533</v>
      </c>
      <c r="B545" s="595" t="s">
        <v>564</v>
      </c>
      <c r="C545" s="598"/>
      <c r="D545" s="597">
        <v>224545</v>
      </c>
      <c r="E545" s="597">
        <v>4</v>
      </c>
      <c r="F545" s="514" t="s">
        <v>41</v>
      </c>
      <c r="G545" s="515" t="s">
        <v>41</v>
      </c>
      <c r="H545" s="516"/>
      <c r="I545" s="519"/>
      <c r="J545" s="516">
        <v>13019</v>
      </c>
      <c r="K545" s="519">
        <v>15171</v>
      </c>
      <c r="L545" s="516">
        <v>3367</v>
      </c>
      <c r="M545" s="519">
        <v>3470</v>
      </c>
      <c r="N545" s="516">
        <v>16519</v>
      </c>
      <c r="O545" s="519">
        <v>16149</v>
      </c>
      <c r="P545" s="506">
        <f t="shared" ref="P545:P608" si="239">SUM(H545,J545,L545,N545)</f>
        <v>32905</v>
      </c>
      <c r="Q545" s="507">
        <f t="shared" ref="Q545:Q608" si="240">+P545/30</f>
        <v>1096.8333333333333</v>
      </c>
      <c r="R545" s="508">
        <f t="shared" ref="R545:R608" si="241">SUM(I545,K545,M545,O545)</f>
        <v>34790</v>
      </c>
      <c r="S545" s="509">
        <f t="shared" ref="S545:S608" si="242">+R545/30</f>
        <v>1159.6666666666667</v>
      </c>
      <c r="T545" s="516">
        <v>16</v>
      </c>
      <c r="U545" s="519">
        <v>0</v>
      </c>
      <c r="V545" s="506">
        <f t="shared" ref="V545:V608" si="243">IF(ISBLANK(T545),0,P545)</f>
        <v>32905</v>
      </c>
      <c r="W545" s="510">
        <f t="shared" ref="W545:W608" si="244">IF(ISBLANK(U545),0,R545)</f>
        <v>34790</v>
      </c>
      <c r="X545" s="517"/>
      <c r="Y545" s="519"/>
      <c r="Z545" s="516"/>
      <c r="AA545" s="519"/>
      <c r="AB545" s="516"/>
      <c r="AC545" s="519"/>
      <c r="AD545" s="516"/>
      <c r="AE545" s="519"/>
      <c r="AF545" s="506">
        <f t="shared" ref="AF545:AF608" si="245">SUM(X545,Z545,AB545,AD545)</f>
        <v>0</v>
      </c>
      <c r="AG545" s="507">
        <f t="shared" ref="AG545:AG608" si="246">+AF545/900</f>
        <v>0</v>
      </c>
      <c r="AH545" s="508">
        <f t="shared" ref="AH545:AH608" si="247">SUM(Y545,AA545,AC545,AE545)</f>
        <v>0</v>
      </c>
      <c r="AI545" s="508">
        <f t="shared" ref="AI545:AI608" si="248">+AH545/900</f>
        <v>0</v>
      </c>
      <c r="AJ545" s="516"/>
      <c r="AK545" s="519"/>
      <c r="AL545" s="506">
        <f t="shared" ref="AL545:AL608" si="249">IF(ISBLANK(AJ545),0,AF545)</f>
        <v>0</v>
      </c>
      <c r="AM545" s="509">
        <f t="shared" ref="AM545:AM608" si="250">IF(ISBLANK(AK545),0,AH545)</f>
        <v>0</v>
      </c>
      <c r="AN545" s="518"/>
      <c r="AO545" s="520"/>
      <c r="AP545" s="516">
        <v>3203</v>
      </c>
      <c r="AQ545" s="520">
        <v>2346</v>
      </c>
      <c r="AR545" s="516">
        <v>1929</v>
      </c>
      <c r="AS545" s="520">
        <v>2396</v>
      </c>
      <c r="AT545" s="516">
        <v>2473</v>
      </c>
      <c r="AU545" s="520">
        <v>2565</v>
      </c>
      <c r="AV545" s="506">
        <f t="shared" ref="AV545:AV608" si="251">SUM(AN545,AP545,AR545,AT545)</f>
        <v>7605</v>
      </c>
      <c r="AW545" s="511">
        <f t="shared" ref="AW545:AW608" si="252">+AV545/24</f>
        <v>316.875</v>
      </c>
      <c r="AX545" s="508">
        <f t="shared" ref="AX545:AX608" si="253">SUM(AO545,AQ545,AS545,AU545)</f>
        <v>7307</v>
      </c>
      <c r="AY545" s="512">
        <f t="shared" ref="AY545:AY608" si="254">+AX545/24</f>
        <v>304.45833333333331</v>
      </c>
      <c r="AZ545" s="513">
        <f t="shared" ref="AZ545:AZ608" si="255">SUM(Q545,AG545,AW545)</f>
        <v>1413.7083333333333</v>
      </c>
      <c r="BA545" s="508">
        <f t="shared" ref="BA545:BA608" si="256">SUM(S545,AI545,AY545)</f>
        <v>1464.125</v>
      </c>
    </row>
    <row r="546" spans="1:53">
      <c r="A546" s="594" t="s">
        <v>533</v>
      </c>
      <c r="B546" s="595" t="s">
        <v>565</v>
      </c>
      <c r="C546" s="598"/>
      <c r="D546" s="597">
        <v>225502</v>
      </c>
      <c r="E546" s="597">
        <v>4</v>
      </c>
      <c r="F546" s="514" t="s">
        <v>41</v>
      </c>
      <c r="G546" s="515" t="s">
        <v>41</v>
      </c>
      <c r="H546" s="516"/>
      <c r="I546" s="519"/>
      <c r="J546" s="516">
        <v>23743</v>
      </c>
      <c r="K546" s="519">
        <v>24503</v>
      </c>
      <c r="L546" s="516">
        <v>9065</v>
      </c>
      <c r="M546" s="519">
        <v>9014</v>
      </c>
      <c r="N546" s="516">
        <v>25288</v>
      </c>
      <c r="O546" s="519">
        <v>26009</v>
      </c>
      <c r="P546" s="506">
        <f t="shared" si="239"/>
        <v>58096</v>
      </c>
      <c r="Q546" s="507">
        <f t="shared" si="240"/>
        <v>1936.5333333333333</v>
      </c>
      <c r="R546" s="508">
        <f t="shared" si="241"/>
        <v>59526</v>
      </c>
      <c r="S546" s="509">
        <f t="shared" si="242"/>
        <v>1984.2</v>
      </c>
      <c r="T546" s="516">
        <v>0</v>
      </c>
      <c r="U546" s="519">
        <v>0</v>
      </c>
      <c r="V546" s="506">
        <f t="shared" si="243"/>
        <v>58096</v>
      </c>
      <c r="W546" s="510">
        <f t="shared" si="244"/>
        <v>59526</v>
      </c>
      <c r="X546" s="517"/>
      <c r="Y546" s="519"/>
      <c r="Z546" s="516"/>
      <c r="AA546" s="519"/>
      <c r="AB546" s="516"/>
      <c r="AC546" s="519"/>
      <c r="AD546" s="516"/>
      <c r="AE546" s="519"/>
      <c r="AF546" s="506">
        <f t="shared" si="245"/>
        <v>0</v>
      </c>
      <c r="AG546" s="507">
        <f t="shared" si="246"/>
        <v>0</v>
      </c>
      <c r="AH546" s="508">
        <f t="shared" si="247"/>
        <v>0</v>
      </c>
      <c r="AI546" s="508">
        <f t="shared" si="248"/>
        <v>0</v>
      </c>
      <c r="AJ546" s="516"/>
      <c r="AK546" s="519"/>
      <c r="AL546" s="506">
        <f t="shared" si="249"/>
        <v>0</v>
      </c>
      <c r="AM546" s="509">
        <f t="shared" si="250"/>
        <v>0</v>
      </c>
      <c r="AN546" s="518"/>
      <c r="AO546" s="520"/>
      <c r="AP546" s="516">
        <v>11076</v>
      </c>
      <c r="AQ546" s="520">
        <v>10302</v>
      </c>
      <c r="AR546" s="516">
        <v>5553</v>
      </c>
      <c r="AS546" s="520">
        <v>5323</v>
      </c>
      <c r="AT546" s="516">
        <v>10605</v>
      </c>
      <c r="AU546" s="520">
        <v>10039</v>
      </c>
      <c r="AV546" s="506">
        <f t="shared" si="251"/>
        <v>27234</v>
      </c>
      <c r="AW546" s="511">
        <f t="shared" si="252"/>
        <v>1134.75</v>
      </c>
      <c r="AX546" s="508">
        <f t="shared" si="253"/>
        <v>25664</v>
      </c>
      <c r="AY546" s="512">
        <f t="shared" si="254"/>
        <v>1069.3333333333333</v>
      </c>
      <c r="AZ546" s="513">
        <f t="shared" si="255"/>
        <v>3071.2833333333333</v>
      </c>
      <c r="BA546" s="508">
        <f t="shared" si="256"/>
        <v>3053.5333333333333</v>
      </c>
    </row>
    <row r="547" spans="1:53">
      <c r="A547" s="594" t="s">
        <v>533</v>
      </c>
      <c r="B547" s="595" t="s">
        <v>566</v>
      </c>
      <c r="C547" s="598"/>
      <c r="D547" s="597" t="s">
        <v>567</v>
      </c>
      <c r="E547" s="597">
        <v>5</v>
      </c>
      <c r="F547" s="514" t="s">
        <v>41</v>
      </c>
      <c r="G547" s="515" t="s">
        <v>41</v>
      </c>
      <c r="H547" s="516"/>
      <c r="I547" s="519"/>
      <c r="J547" s="516">
        <v>6668</v>
      </c>
      <c r="K547" s="519">
        <v>6237</v>
      </c>
      <c r="L547" s="516">
        <v>3639</v>
      </c>
      <c r="M547" s="519">
        <v>3018</v>
      </c>
      <c r="N547" s="516">
        <v>6552</v>
      </c>
      <c r="O547" s="519">
        <v>6061</v>
      </c>
      <c r="P547" s="506">
        <f t="shared" si="239"/>
        <v>16859</v>
      </c>
      <c r="Q547" s="507">
        <f t="shared" si="240"/>
        <v>561.9666666666667</v>
      </c>
      <c r="R547" s="508">
        <f t="shared" si="241"/>
        <v>15316</v>
      </c>
      <c r="S547" s="509">
        <f t="shared" si="242"/>
        <v>510.53333333333336</v>
      </c>
      <c r="T547" s="516">
        <v>0</v>
      </c>
      <c r="U547" s="519">
        <v>0</v>
      </c>
      <c r="V547" s="506">
        <f t="shared" si="243"/>
        <v>16859</v>
      </c>
      <c r="W547" s="510">
        <f t="shared" si="244"/>
        <v>15316</v>
      </c>
      <c r="X547" s="517"/>
      <c r="Y547" s="519"/>
      <c r="Z547" s="516"/>
      <c r="AA547" s="519"/>
      <c r="AB547" s="516"/>
      <c r="AC547" s="519"/>
      <c r="AD547" s="516"/>
      <c r="AE547" s="519"/>
      <c r="AF547" s="506">
        <f t="shared" si="245"/>
        <v>0</v>
      </c>
      <c r="AG547" s="507">
        <f t="shared" si="246"/>
        <v>0</v>
      </c>
      <c r="AH547" s="508">
        <f t="shared" si="247"/>
        <v>0</v>
      </c>
      <c r="AI547" s="508">
        <f t="shared" si="248"/>
        <v>0</v>
      </c>
      <c r="AJ547" s="516"/>
      <c r="AK547" s="519"/>
      <c r="AL547" s="506">
        <f t="shared" si="249"/>
        <v>0</v>
      </c>
      <c r="AM547" s="509">
        <f t="shared" si="250"/>
        <v>0</v>
      </c>
      <c r="AN547" s="518"/>
      <c r="AO547" s="520"/>
      <c r="AP547" s="516">
        <v>1419</v>
      </c>
      <c r="AQ547" s="520">
        <v>948</v>
      </c>
      <c r="AR547" s="516">
        <v>789</v>
      </c>
      <c r="AS547" s="520">
        <v>765</v>
      </c>
      <c r="AT547" s="516">
        <v>1068</v>
      </c>
      <c r="AU547" s="520">
        <v>774</v>
      </c>
      <c r="AV547" s="506">
        <f t="shared" si="251"/>
        <v>3276</v>
      </c>
      <c r="AW547" s="511">
        <f t="shared" si="252"/>
        <v>136.5</v>
      </c>
      <c r="AX547" s="508">
        <f t="shared" si="253"/>
        <v>2487</v>
      </c>
      <c r="AY547" s="512">
        <f t="shared" si="254"/>
        <v>103.625</v>
      </c>
      <c r="AZ547" s="513">
        <f t="shared" si="255"/>
        <v>698.4666666666667</v>
      </c>
      <c r="BA547" s="508">
        <f t="shared" si="256"/>
        <v>614.1583333333333</v>
      </c>
    </row>
    <row r="548" spans="1:53">
      <c r="A548" s="594" t="s">
        <v>533</v>
      </c>
      <c r="B548" s="637" t="s">
        <v>640</v>
      </c>
      <c r="C548" s="639" t="s">
        <v>649</v>
      </c>
      <c r="D548" s="663">
        <v>870501</v>
      </c>
      <c r="E548" s="665">
        <v>5</v>
      </c>
      <c r="F548" s="514" t="s">
        <v>41</v>
      </c>
      <c r="G548" s="515" t="s">
        <v>41</v>
      </c>
      <c r="H548" s="516"/>
      <c r="I548" s="519"/>
      <c r="J548" s="516">
        <v>21987</v>
      </c>
      <c r="K548" s="519">
        <v>25392</v>
      </c>
      <c r="L548" s="516">
        <v>6950</v>
      </c>
      <c r="M548" s="519">
        <v>6638</v>
      </c>
      <c r="N548" s="516">
        <v>25096</v>
      </c>
      <c r="O548" s="519">
        <v>28926</v>
      </c>
      <c r="P548" s="506">
        <f t="shared" si="239"/>
        <v>54033</v>
      </c>
      <c r="Q548" s="507">
        <f t="shared" si="240"/>
        <v>1801.1</v>
      </c>
      <c r="R548" s="508">
        <f t="shared" si="241"/>
        <v>60956</v>
      </c>
      <c r="S548" s="509">
        <f t="shared" si="242"/>
        <v>2031.8666666666666</v>
      </c>
      <c r="T548" s="516">
        <v>0</v>
      </c>
      <c r="U548" s="519">
        <v>0</v>
      </c>
      <c r="V548" s="506">
        <f t="shared" si="243"/>
        <v>54033</v>
      </c>
      <c r="W548" s="510">
        <f t="shared" si="244"/>
        <v>60956</v>
      </c>
      <c r="X548" s="517"/>
      <c r="Y548" s="519"/>
      <c r="Z548" s="516"/>
      <c r="AA548" s="519"/>
      <c r="AB548" s="516"/>
      <c r="AC548" s="519"/>
      <c r="AD548" s="516"/>
      <c r="AE548" s="519"/>
      <c r="AF548" s="506">
        <f t="shared" si="245"/>
        <v>0</v>
      </c>
      <c r="AG548" s="507">
        <f t="shared" si="246"/>
        <v>0</v>
      </c>
      <c r="AH548" s="508">
        <f t="shared" si="247"/>
        <v>0</v>
      </c>
      <c r="AI548" s="508">
        <f t="shared" si="248"/>
        <v>0</v>
      </c>
      <c r="AJ548" s="516"/>
      <c r="AK548" s="519"/>
      <c r="AL548" s="506">
        <f t="shared" si="249"/>
        <v>0</v>
      </c>
      <c r="AM548" s="509">
        <f t="shared" si="250"/>
        <v>0</v>
      </c>
      <c r="AN548" s="518"/>
      <c r="AO548" s="520"/>
      <c r="AP548" s="516">
        <v>5762</v>
      </c>
      <c r="AQ548" s="520">
        <v>6438</v>
      </c>
      <c r="AR548" s="516">
        <v>2996</v>
      </c>
      <c r="AS548" s="520">
        <v>3413</v>
      </c>
      <c r="AT548" s="516">
        <v>6123</v>
      </c>
      <c r="AU548" s="520">
        <v>7257</v>
      </c>
      <c r="AV548" s="506">
        <f t="shared" si="251"/>
        <v>14881</v>
      </c>
      <c r="AW548" s="511">
        <f t="shared" si="252"/>
        <v>620.04166666666663</v>
      </c>
      <c r="AX548" s="508">
        <f t="shared" si="253"/>
        <v>17108</v>
      </c>
      <c r="AY548" s="512">
        <f t="shared" si="254"/>
        <v>712.83333333333337</v>
      </c>
      <c r="AZ548" s="513">
        <f t="shared" si="255"/>
        <v>2421.1416666666664</v>
      </c>
      <c r="BA548" s="508">
        <f t="shared" si="256"/>
        <v>2744.7</v>
      </c>
    </row>
    <row r="549" spans="1:53">
      <c r="A549" s="594" t="s">
        <v>533</v>
      </c>
      <c r="B549" s="595" t="s">
        <v>568</v>
      </c>
      <c r="C549" s="640"/>
      <c r="D549" s="597">
        <v>225432</v>
      </c>
      <c r="E549" s="597">
        <v>5</v>
      </c>
      <c r="F549" s="514" t="s">
        <v>41</v>
      </c>
      <c r="G549" s="515" t="s">
        <v>41</v>
      </c>
      <c r="H549" s="516"/>
      <c r="I549" s="519"/>
      <c r="J549" s="516">
        <v>116033</v>
      </c>
      <c r="K549" s="519">
        <v>116385</v>
      </c>
      <c r="L549" s="516">
        <v>31347</v>
      </c>
      <c r="M549" s="519">
        <v>31298</v>
      </c>
      <c r="N549" s="516">
        <v>120657</v>
      </c>
      <c r="O549" s="519">
        <v>129224</v>
      </c>
      <c r="P549" s="506">
        <f t="shared" si="239"/>
        <v>268037</v>
      </c>
      <c r="Q549" s="507">
        <f t="shared" si="240"/>
        <v>8934.5666666666675</v>
      </c>
      <c r="R549" s="508">
        <f t="shared" si="241"/>
        <v>276907</v>
      </c>
      <c r="S549" s="509">
        <f t="shared" si="242"/>
        <v>9230.2333333333336</v>
      </c>
      <c r="T549" s="516">
        <v>373</v>
      </c>
      <c r="U549" s="519">
        <v>677</v>
      </c>
      <c r="V549" s="506">
        <f t="shared" si="243"/>
        <v>268037</v>
      </c>
      <c r="W549" s="510">
        <f t="shared" si="244"/>
        <v>276907</v>
      </c>
      <c r="X549" s="517"/>
      <c r="Y549" s="519"/>
      <c r="Z549" s="516"/>
      <c r="AA549" s="519"/>
      <c r="AB549" s="516"/>
      <c r="AC549" s="519"/>
      <c r="AD549" s="516"/>
      <c r="AE549" s="519"/>
      <c r="AF549" s="506">
        <f t="shared" si="245"/>
        <v>0</v>
      </c>
      <c r="AG549" s="507">
        <f t="shared" si="246"/>
        <v>0</v>
      </c>
      <c r="AH549" s="508">
        <f t="shared" si="247"/>
        <v>0</v>
      </c>
      <c r="AI549" s="508">
        <f t="shared" si="248"/>
        <v>0</v>
      </c>
      <c r="AJ549" s="516"/>
      <c r="AK549" s="519"/>
      <c r="AL549" s="506">
        <f t="shared" si="249"/>
        <v>0</v>
      </c>
      <c r="AM549" s="509">
        <f t="shared" si="250"/>
        <v>0</v>
      </c>
      <c r="AN549" s="518"/>
      <c r="AO549" s="520"/>
      <c r="AP549" s="516">
        <v>786</v>
      </c>
      <c r="AQ549" s="520">
        <v>1036</v>
      </c>
      <c r="AR549" s="516">
        <v>420</v>
      </c>
      <c r="AS549" s="520">
        <v>742</v>
      </c>
      <c r="AT549" s="516">
        <v>963</v>
      </c>
      <c r="AU549" s="520">
        <v>1033</v>
      </c>
      <c r="AV549" s="506">
        <f t="shared" si="251"/>
        <v>2169</v>
      </c>
      <c r="AW549" s="511">
        <f t="shared" si="252"/>
        <v>90.375</v>
      </c>
      <c r="AX549" s="508">
        <f t="shared" si="253"/>
        <v>2811</v>
      </c>
      <c r="AY549" s="512">
        <f t="shared" si="254"/>
        <v>117.125</v>
      </c>
      <c r="AZ549" s="513">
        <f t="shared" si="255"/>
        <v>9024.9416666666675</v>
      </c>
      <c r="BA549" s="508">
        <f t="shared" si="256"/>
        <v>9347.3583333333336</v>
      </c>
    </row>
    <row r="550" spans="1:53">
      <c r="A550" s="594" t="s">
        <v>533</v>
      </c>
      <c r="B550" s="595" t="s">
        <v>569</v>
      </c>
      <c r="C550" s="640"/>
      <c r="D550" s="597">
        <v>228714</v>
      </c>
      <c r="E550" s="597">
        <v>6</v>
      </c>
      <c r="F550" s="514" t="s">
        <v>41</v>
      </c>
      <c r="G550" s="515" t="s">
        <v>41</v>
      </c>
      <c r="H550" s="516"/>
      <c r="I550" s="519"/>
      <c r="J550" s="516">
        <v>23424</v>
      </c>
      <c r="K550" s="519">
        <v>24269</v>
      </c>
      <c r="L550" s="516">
        <v>4200</v>
      </c>
      <c r="M550" s="519">
        <v>3879</v>
      </c>
      <c r="N550" s="516">
        <v>26542</v>
      </c>
      <c r="O550" s="519">
        <v>25867</v>
      </c>
      <c r="P550" s="506">
        <f t="shared" si="239"/>
        <v>54166</v>
      </c>
      <c r="Q550" s="507">
        <f t="shared" si="240"/>
        <v>1805.5333333333333</v>
      </c>
      <c r="R550" s="508">
        <f t="shared" si="241"/>
        <v>54015</v>
      </c>
      <c r="S550" s="509">
        <f t="shared" si="242"/>
        <v>1800.5</v>
      </c>
      <c r="T550" s="516">
        <v>0</v>
      </c>
      <c r="U550" s="519">
        <v>0</v>
      </c>
      <c r="V550" s="506">
        <f t="shared" si="243"/>
        <v>54166</v>
      </c>
      <c r="W550" s="510">
        <f t="shared" si="244"/>
        <v>54015</v>
      </c>
      <c r="X550" s="517"/>
      <c r="Y550" s="519"/>
      <c r="Z550" s="516"/>
      <c r="AA550" s="519"/>
      <c r="AB550" s="516"/>
      <c r="AC550" s="519"/>
      <c r="AD550" s="516"/>
      <c r="AE550" s="519"/>
      <c r="AF550" s="506">
        <f t="shared" si="245"/>
        <v>0</v>
      </c>
      <c r="AG550" s="507">
        <f t="shared" si="246"/>
        <v>0</v>
      </c>
      <c r="AH550" s="508">
        <f t="shared" si="247"/>
        <v>0</v>
      </c>
      <c r="AI550" s="508">
        <f t="shared" si="248"/>
        <v>0</v>
      </c>
      <c r="AJ550" s="516"/>
      <c r="AK550" s="519"/>
      <c r="AL550" s="506">
        <f t="shared" si="249"/>
        <v>0</v>
      </c>
      <c r="AM550" s="509">
        <f t="shared" si="250"/>
        <v>0</v>
      </c>
      <c r="AN550" s="518"/>
      <c r="AO550" s="520"/>
      <c r="AP550" s="516">
        <v>494</v>
      </c>
      <c r="AQ550" s="520">
        <v>572</v>
      </c>
      <c r="AR550" s="516">
        <v>187</v>
      </c>
      <c r="AS550" s="520">
        <v>208</v>
      </c>
      <c r="AT550" s="516">
        <v>530</v>
      </c>
      <c r="AU550" s="520">
        <v>708</v>
      </c>
      <c r="AV550" s="506">
        <f t="shared" si="251"/>
        <v>1211</v>
      </c>
      <c r="AW550" s="511">
        <f t="shared" si="252"/>
        <v>50.458333333333336</v>
      </c>
      <c r="AX550" s="508">
        <f t="shared" si="253"/>
        <v>1488</v>
      </c>
      <c r="AY550" s="512">
        <f t="shared" si="254"/>
        <v>62</v>
      </c>
      <c r="AZ550" s="513">
        <f t="shared" si="255"/>
        <v>1855.9916666666666</v>
      </c>
      <c r="BA550" s="508">
        <f t="shared" si="256"/>
        <v>1862.5</v>
      </c>
    </row>
    <row r="551" spans="1:53">
      <c r="A551" s="594" t="s">
        <v>533</v>
      </c>
      <c r="B551" s="641" t="s">
        <v>570</v>
      </c>
      <c r="C551" s="646"/>
      <c r="D551" s="663">
        <v>223506</v>
      </c>
      <c r="E551" s="671">
        <v>7</v>
      </c>
      <c r="F551" s="514" t="s">
        <v>41</v>
      </c>
      <c r="G551" s="515" t="s">
        <v>41</v>
      </c>
      <c r="H551" s="516">
        <v>33617</v>
      </c>
      <c r="I551" s="519">
        <v>31950</v>
      </c>
      <c r="J551" s="516">
        <v>10798</v>
      </c>
      <c r="K551" s="519">
        <v>10328</v>
      </c>
      <c r="L551" s="516">
        <v>3216</v>
      </c>
      <c r="M551" s="519">
        <v>2800</v>
      </c>
      <c r="N551" s="516">
        <v>34167</v>
      </c>
      <c r="O551" s="519">
        <v>31524</v>
      </c>
      <c r="P551" s="506">
        <f t="shared" si="239"/>
        <v>81798</v>
      </c>
      <c r="Q551" s="507">
        <f t="shared" si="240"/>
        <v>2726.6</v>
      </c>
      <c r="R551" s="508">
        <f t="shared" si="241"/>
        <v>76602</v>
      </c>
      <c r="S551" s="509">
        <f t="shared" si="242"/>
        <v>2553.4</v>
      </c>
      <c r="T551" s="516">
        <v>12243</v>
      </c>
      <c r="U551" s="519">
        <v>12016</v>
      </c>
      <c r="V551" s="506">
        <f t="shared" si="243"/>
        <v>81798</v>
      </c>
      <c r="W551" s="510">
        <f t="shared" si="244"/>
        <v>76602</v>
      </c>
      <c r="X551" s="517">
        <v>18371</v>
      </c>
      <c r="Y551" s="519">
        <v>17301</v>
      </c>
      <c r="Z551" s="516">
        <v>7152</v>
      </c>
      <c r="AA551" s="519">
        <v>14199</v>
      </c>
      <c r="AB551" s="516">
        <v>12866</v>
      </c>
      <c r="AC551" s="519">
        <v>4751</v>
      </c>
      <c r="AD551" s="516">
        <v>10502</v>
      </c>
      <c r="AE551" s="519">
        <v>12291</v>
      </c>
      <c r="AF551" s="506">
        <f t="shared" si="245"/>
        <v>48891</v>
      </c>
      <c r="AG551" s="507">
        <f t="shared" si="246"/>
        <v>54.323333333333331</v>
      </c>
      <c r="AH551" s="508">
        <f t="shared" si="247"/>
        <v>48542</v>
      </c>
      <c r="AI551" s="508">
        <f t="shared" si="248"/>
        <v>53.935555555555553</v>
      </c>
      <c r="AJ551" s="516"/>
      <c r="AK551" s="519"/>
      <c r="AL551" s="506">
        <f t="shared" si="249"/>
        <v>0</v>
      </c>
      <c r="AM551" s="509">
        <f t="shared" si="250"/>
        <v>0</v>
      </c>
      <c r="AN551" s="518"/>
      <c r="AO551" s="520"/>
      <c r="AP551" s="516"/>
      <c r="AQ551" s="520"/>
      <c r="AR551" s="516"/>
      <c r="AS551" s="520"/>
      <c r="AT551" s="516"/>
      <c r="AU551" s="520"/>
      <c r="AV551" s="506">
        <f t="shared" si="251"/>
        <v>0</v>
      </c>
      <c r="AW551" s="511">
        <f t="shared" si="252"/>
        <v>0</v>
      </c>
      <c r="AX551" s="508">
        <f t="shared" si="253"/>
        <v>0</v>
      </c>
      <c r="AY551" s="512">
        <f t="shared" si="254"/>
        <v>0</v>
      </c>
      <c r="AZ551" s="513">
        <f t="shared" si="255"/>
        <v>2780.9233333333332</v>
      </c>
      <c r="BA551" s="508">
        <f t="shared" si="256"/>
        <v>2607.3355555555559</v>
      </c>
    </row>
    <row r="552" spans="1:53">
      <c r="A552" s="594" t="s">
        <v>533</v>
      </c>
      <c r="B552" s="641" t="s">
        <v>571</v>
      </c>
      <c r="C552" s="646"/>
      <c r="D552" s="663">
        <v>226806</v>
      </c>
      <c r="E552" s="671">
        <v>7</v>
      </c>
      <c r="F552" s="514" t="s">
        <v>41</v>
      </c>
      <c r="G552" s="515" t="s">
        <v>41</v>
      </c>
      <c r="H552" s="516">
        <v>51588</v>
      </c>
      <c r="I552" s="519">
        <v>47276</v>
      </c>
      <c r="J552" s="516">
        <v>13589</v>
      </c>
      <c r="K552" s="519">
        <v>13690</v>
      </c>
      <c r="L552" s="516">
        <v>10307</v>
      </c>
      <c r="M552" s="519">
        <v>10455</v>
      </c>
      <c r="N552" s="516">
        <v>48132</v>
      </c>
      <c r="O552" s="519">
        <v>44378</v>
      </c>
      <c r="P552" s="506">
        <f t="shared" si="239"/>
        <v>123616</v>
      </c>
      <c r="Q552" s="507">
        <f t="shared" si="240"/>
        <v>4120.5333333333338</v>
      </c>
      <c r="R552" s="508">
        <f t="shared" si="241"/>
        <v>115799</v>
      </c>
      <c r="S552" s="509">
        <f t="shared" si="242"/>
        <v>3859.9666666666667</v>
      </c>
      <c r="T552" s="516">
        <v>7934</v>
      </c>
      <c r="U552" s="519">
        <v>7820</v>
      </c>
      <c r="V552" s="506">
        <f t="shared" si="243"/>
        <v>123616</v>
      </c>
      <c r="W552" s="510">
        <f t="shared" si="244"/>
        <v>115799</v>
      </c>
      <c r="X552" s="517">
        <v>42506</v>
      </c>
      <c r="Y552" s="519">
        <v>49865</v>
      </c>
      <c r="Z552" s="516">
        <v>60064</v>
      </c>
      <c r="AA552" s="519">
        <v>48781</v>
      </c>
      <c r="AB552" s="516">
        <v>48889</v>
      </c>
      <c r="AC552" s="519">
        <v>54645</v>
      </c>
      <c r="AD552" s="516">
        <v>57666</v>
      </c>
      <c r="AE552" s="519">
        <v>81586</v>
      </c>
      <c r="AF552" s="506">
        <f t="shared" si="245"/>
        <v>209125</v>
      </c>
      <c r="AG552" s="507">
        <f t="shared" si="246"/>
        <v>232.36111111111111</v>
      </c>
      <c r="AH552" s="508">
        <f t="shared" si="247"/>
        <v>234877</v>
      </c>
      <c r="AI552" s="508">
        <f t="shared" si="248"/>
        <v>260.97444444444443</v>
      </c>
      <c r="AJ552" s="516"/>
      <c r="AK552" s="519"/>
      <c r="AL552" s="506">
        <f t="shared" si="249"/>
        <v>0</v>
      </c>
      <c r="AM552" s="509">
        <f t="shared" si="250"/>
        <v>0</v>
      </c>
      <c r="AN552" s="518"/>
      <c r="AO552" s="520"/>
      <c r="AP552" s="516"/>
      <c r="AQ552" s="520"/>
      <c r="AR552" s="516"/>
      <c r="AS552" s="520"/>
      <c r="AT552" s="516"/>
      <c r="AU552" s="520"/>
      <c r="AV552" s="506">
        <f t="shared" si="251"/>
        <v>0</v>
      </c>
      <c r="AW552" s="511">
        <f t="shared" si="252"/>
        <v>0</v>
      </c>
      <c r="AX552" s="508">
        <f t="shared" si="253"/>
        <v>0</v>
      </c>
      <c r="AY552" s="512">
        <f t="shared" si="254"/>
        <v>0</v>
      </c>
      <c r="AZ552" s="513">
        <f t="shared" si="255"/>
        <v>4352.8944444444451</v>
      </c>
      <c r="BA552" s="508">
        <f t="shared" si="256"/>
        <v>4120.9411111111112</v>
      </c>
    </row>
    <row r="553" spans="1:53">
      <c r="A553" s="594" t="s">
        <v>533</v>
      </c>
      <c r="B553" s="641" t="s">
        <v>572</v>
      </c>
      <c r="C553" s="646"/>
      <c r="D553" s="667">
        <v>409315</v>
      </c>
      <c r="E553" s="672">
        <v>7</v>
      </c>
      <c r="F553" s="514" t="s">
        <v>41</v>
      </c>
      <c r="G553" s="515" t="s">
        <v>41</v>
      </c>
      <c r="H553" s="516">
        <v>229196</v>
      </c>
      <c r="I553" s="519">
        <v>235789</v>
      </c>
      <c r="J553" s="516">
        <v>46364</v>
      </c>
      <c r="K553" s="519">
        <v>39471</v>
      </c>
      <c r="L553" s="516">
        <v>38815</v>
      </c>
      <c r="M553" s="519">
        <v>28487</v>
      </c>
      <c r="N553" s="516">
        <v>248052</v>
      </c>
      <c r="O553" s="519">
        <v>247460</v>
      </c>
      <c r="P553" s="506">
        <f t="shared" si="239"/>
        <v>562427</v>
      </c>
      <c r="Q553" s="507">
        <f t="shared" si="240"/>
        <v>18747.566666666666</v>
      </c>
      <c r="R553" s="508">
        <f t="shared" si="241"/>
        <v>551207</v>
      </c>
      <c r="S553" s="509">
        <f t="shared" si="242"/>
        <v>18373.566666666666</v>
      </c>
      <c r="T553" s="516">
        <v>107334</v>
      </c>
      <c r="U553" s="519">
        <v>124002</v>
      </c>
      <c r="V553" s="506">
        <f t="shared" si="243"/>
        <v>562427</v>
      </c>
      <c r="W553" s="510">
        <f t="shared" si="244"/>
        <v>551207</v>
      </c>
      <c r="X553" s="517">
        <v>27394</v>
      </c>
      <c r="Y553" s="519">
        <v>48147</v>
      </c>
      <c r="Z553" s="516">
        <v>40064</v>
      </c>
      <c r="AA553" s="519">
        <v>60509</v>
      </c>
      <c r="AB553" s="516">
        <v>54817</v>
      </c>
      <c r="AC553" s="519">
        <v>67819</v>
      </c>
      <c r="AD553" s="516">
        <v>43514</v>
      </c>
      <c r="AE553" s="519">
        <v>170775</v>
      </c>
      <c r="AF553" s="506">
        <f t="shared" si="245"/>
        <v>165789</v>
      </c>
      <c r="AG553" s="507">
        <f t="shared" si="246"/>
        <v>184.21</v>
      </c>
      <c r="AH553" s="508">
        <f t="shared" si="247"/>
        <v>347250</v>
      </c>
      <c r="AI553" s="508">
        <f t="shared" si="248"/>
        <v>385.83333333333331</v>
      </c>
      <c r="AJ553" s="516"/>
      <c r="AK553" s="519"/>
      <c r="AL553" s="506">
        <f t="shared" si="249"/>
        <v>0</v>
      </c>
      <c r="AM553" s="509">
        <f t="shared" si="250"/>
        <v>0</v>
      </c>
      <c r="AN553" s="518"/>
      <c r="AO553" s="520"/>
      <c r="AP553" s="516"/>
      <c r="AQ553" s="520"/>
      <c r="AR553" s="516"/>
      <c r="AS553" s="520"/>
      <c r="AT553" s="516"/>
      <c r="AU553" s="520"/>
      <c r="AV553" s="506">
        <f t="shared" si="251"/>
        <v>0</v>
      </c>
      <c r="AW553" s="511">
        <f t="shared" si="252"/>
        <v>0</v>
      </c>
      <c r="AX553" s="508">
        <f t="shared" si="253"/>
        <v>0</v>
      </c>
      <c r="AY553" s="512">
        <f t="shared" si="254"/>
        <v>0</v>
      </c>
      <c r="AZ553" s="513">
        <f t="shared" si="255"/>
        <v>18931.776666666665</v>
      </c>
      <c r="BA553" s="508">
        <f t="shared" si="256"/>
        <v>18759.399999999998</v>
      </c>
    </row>
    <row r="554" spans="1:53">
      <c r="A554" s="594" t="s">
        <v>533</v>
      </c>
      <c r="B554" s="595" t="s">
        <v>573</v>
      </c>
      <c r="C554" s="668"/>
      <c r="D554" s="663">
        <v>222576</v>
      </c>
      <c r="E554" s="671">
        <v>8</v>
      </c>
      <c r="F554" s="514" t="s">
        <v>41</v>
      </c>
      <c r="G554" s="515" t="s">
        <v>41</v>
      </c>
      <c r="H554" s="516">
        <v>93647</v>
      </c>
      <c r="I554" s="519">
        <v>87451</v>
      </c>
      <c r="J554" s="516">
        <v>25696</v>
      </c>
      <c r="K554" s="519">
        <v>24513</v>
      </c>
      <c r="L554" s="516">
        <v>0</v>
      </c>
      <c r="M554" s="519">
        <v>0</v>
      </c>
      <c r="N554" s="516">
        <v>92437</v>
      </c>
      <c r="O554" s="519">
        <v>86691</v>
      </c>
      <c r="P554" s="506">
        <f t="shared" si="239"/>
        <v>211780</v>
      </c>
      <c r="Q554" s="507">
        <f t="shared" si="240"/>
        <v>7059.333333333333</v>
      </c>
      <c r="R554" s="508">
        <f t="shared" si="241"/>
        <v>198655</v>
      </c>
      <c r="S554" s="509">
        <f t="shared" si="242"/>
        <v>6621.833333333333</v>
      </c>
      <c r="T554" s="516">
        <v>20284</v>
      </c>
      <c r="U554" s="519">
        <v>21310</v>
      </c>
      <c r="V554" s="506">
        <f t="shared" si="243"/>
        <v>211780</v>
      </c>
      <c r="W554" s="510">
        <f t="shared" si="244"/>
        <v>198655</v>
      </c>
      <c r="X554" s="517">
        <v>122097</v>
      </c>
      <c r="Y554" s="519">
        <v>123852</v>
      </c>
      <c r="Z554" s="516">
        <v>125316</v>
      </c>
      <c r="AA554" s="519">
        <v>150274</v>
      </c>
      <c r="AB554" s="516">
        <v>123689</v>
      </c>
      <c r="AC554" s="519">
        <v>110459</v>
      </c>
      <c r="AD554" s="516">
        <v>134519</v>
      </c>
      <c r="AE554" s="519">
        <v>158658</v>
      </c>
      <c r="AF554" s="506">
        <f t="shared" si="245"/>
        <v>505621</v>
      </c>
      <c r="AG554" s="507">
        <f t="shared" si="246"/>
        <v>561.80111111111114</v>
      </c>
      <c r="AH554" s="508">
        <f t="shared" si="247"/>
        <v>543243</v>
      </c>
      <c r="AI554" s="508">
        <f t="shared" si="248"/>
        <v>603.60333333333335</v>
      </c>
      <c r="AJ554" s="516"/>
      <c r="AK554" s="519"/>
      <c r="AL554" s="506">
        <f t="shared" si="249"/>
        <v>0</v>
      </c>
      <c r="AM554" s="509">
        <f t="shared" si="250"/>
        <v>0</v>
      </c>
      <c r="AN554" s="518"/>
      <c r="AO554" s="520"/>
      <c r="AP554" s="516"/>
      <c r="AQ554" s="520"/>
      <c r="AR554" s="516"/>
      <c r="AS554" s="520"/>
      <c r="AT554" s="516"/>
      <c r="AU554" s="520"/>
      <c r="AV554" s="506">
        <f t="shared" si="251"/>
        <v>0</v>
      </c>
      <c r="AW554" s="511">
        <f t="shared" si="252"/>
        <v>0</v>
      </c>
      <c r="AX554" s="508">
        <f t="shared" si="253"/>
        <v>0</v>
      </c>
      <c r="AY554" s="512">
        <f t="shared" si="254"/>
        <v>0</v>
      </c>
      <c r="AZ554" s="513">
        <f t="shared" si="255"/>
        <v>7621.1344444444439</v>
      </c>
      <c r="BA554" s="508">
        <f t="shared" si="256"/>
        <v>7225.4366666666665</v>
      </c>
    </row>
    <row r="555" spans="1:53">
      <c r="A555" s="594" t="s">
        <v>533</v>
      </c>
      <c r="B555" s="595" t="s">
        <v>574</v>
      </c>
      <c r="C555" s="668"/>
      <c r="D555" s="663">
        <v>222992</v>
      </c>
      <c r="E555" s="671">
        <v>8</v>
      </c>
      <c r="F555" s="514" t="s">
        <v>41</v>
      </c>
      <c r="G555" s="515" t="s">
        <v>41</v>
      </c>
      <c r="H555" s="516">
        <v>344605</v>
      </c>
      <c r="I555" s="519">
        <v>328386</v>
      </c>
      <c r="J555" s="516">
        <v>185154</v>
      </c>
      <c r="K555" s="519">
        <v>172797</v>
      </c>
      <c r="L555" s="516">
        <v>0</v>
      </c>
      <c r="M555" s="519">
        <v>0</v>
      </c>
      <c r="N555" s="516">
        <v>306105</v>
      </c>
      <c r="O555" s="519">
        <v>290811</v>
      </c>
      <c r="P555" s="506">
        <f t="shared" si="239"/>
        <v>835864</v>
      </c>
      <c r="Q555" s="507">
        <f t="shared" si="240"/>
        <v>27862.133333333335</v>
      </c>
      <c r="R555" s="508">
        <f t="shared" si="241"/>
        <v>791994</v>
      </c>
      <c r="S555" s="509">
        <f t="shared" si="242"/>
        <v>26399.8</v>
      </c>
      <c r="T555" s="516">
        <v>50586</v>
      </c>
      <c r="U555" s="519">
        <v>53331</v>
      </c>
      <c r="V555" s="506">
        <f t="shared" si="243"/>
        <v>835864</v>
      </c>
      <c r="W555" s="510">
        <f t="shared" si="244"/>
        <v>791994</v>
      </c>
      <c r="X555" s="517">
        <v>96828</v>
      </c>
      <c r="Y555" s="519">
        <v>124524</v>
      </c>
      <c r="Z555" s="516">
        <v>106623</v>
      </c>
      <c r="AA555" s="519">
        <v>67441</v>
      </c>
      <c r="AB555" s="516">
        <v>116457</v>
      </c>
      <c r="AC555" s="519">
        <v>161638</v>
      </c>
      <c r="AD555" s="516">
        <v>106873</v>
      </c>
      <c r="AE555" s="519">
        <v>115888</v>
      </c>
      <c r="AF555" s="506">
        <f t="shared" si="245"/>
        <v>426781</v>
      </c>
      <c r="AG555" s="507">
        <f t="shared" si="246"/>
        <v>474.20111111111112</v>
      </c>
      <c r="AH555" s="508">
        <f t="shared" si="247"/>
        <v>469491</v>
      </c>
      <c r="AI555" s="508">
        <f t="shared" si="248"/>
        <v>521.65666666666664</v>
      </c>
      <c r="AJ555" s="516"/>
      <c r="AK555" s="519"/>
      <c r="AL555" s="506">
        <f t="shared" si="249"/>
        <v>0</v>
      </c>
      <c r="AM555" s="509">
        <f t="shared" si="250"/>
        <v>0</v>
      </c>
      <c r="AN555" s="518"/>
      <c r="AO555" s="520"/>
      <c r="AP555" s="516"/>
      <c r="AQ555" s="520"/>
      <c r="AR555" s="516"/>
      <c r="AS555" s="520"/>
      <c r="AT555" s="516"/>
      <c r="AU555" s="520"/>
      <c r="AV555" s="506">
        <f t="shared" si="251"/>
        <v>0</v>
      </c>
      <c r="AW555" s="511">
        <f t="shared" si="252"/>
        <v>0</v>
      </c>
      <c r="AX555" s="508">
        <f t="shared" si="253"/>
        <v>0</v>
      </c>
      <c r="AY555" s="512">
        <f t="shared" si="254"/>
        <v>0</v>
      </c>
      <c r="AZ555" s="513">
        <f t="shared" si="255"/>
        <v>28336.334444444445</v>
      </c>
      <c r="BA555" s="508">
        <f t="shared" si="256"/>
        <v>26921.456666666665</v>
      </c>
    </row>
    <row r="556" spans="1:53">
      <c r="A556" s="594" t="s">
        <v>533</v>
      </c>
      <c r="B556" s="595" t="s">
        <v>575</v>
      </c>
      <c r="C556" s="668"/>
      <c r="D556" s="663">
        <v>223427</v>
      </c>
      <c r="E556" s="671">
        <v>8</v>
      </c>
      <c r="F556" s="514" t="s">
        <v>41</v>
      </c>
      <c r="G556" s="515" t="s">
        <v>41</v>
      </c>
      <c r="H556" s="516">
        <v>164807</v>
      </c>
      <c r="I556" s="519">
        <v>169126</v>
      </c>
      <c r="J556" s="516">
        <v>30098</v>
      </c>
      <c r="K556" s="519">
        <v>49542</v>
      </c>
      <c r="L556" s="516">
        <v>17968</v>
      </c>
      <c r="M556" s="519">
        <v>0</v>
      </c>
      <c r="N556" s="516">
        <v>183245</v>
      </c>
      <c r="O556" s="519">
        <v>180304</v>
      </c>
      <c r="P556" s="506">
        <f t="shared" si="239"/>
        <v>396118</v>
      </c>
      <c r="Q556" s="507">
        <f t="shared" si="240"/>
        <v>13203.933333333332</v>
      </c>
      <c r="R556" s="508">
        <f t="shared" si="241"/>
        <v>398972</v>
      </c>
      <c r="S556" s="509">
        <f t="shared" si="242"/>
        <v>13299.066666666668</v>
      </c>
      <c r="T556" s="516">
        <v>12947</v>
      </c>
      <c r="U556" s="519">
        <v>15268</v>
      </c>
      <c r="V556" s="506">
        <f t="shared" si="243"/>
        <v>396118</v>
      </c>
      <c r="W556" s="510">
        <f t="shared" si="244"/>
        <v>398972</v>
      </c>
      <c r="X556" s="517">
        <v>45281</v>
      </c>
      <c r="Y556" s="519">
        <v>34151</v>
      </c>
      <c r="Z556" s="516">
        <v>35766</v>
      </c>
      <c r="AA556" s="519">
        <v>40990</v>
      </c>
      <c r="AB556" s="516">
        <v>33585</v>
      </c>
      <c r="AC556" s="519">
        <v>33412</v>
      </c>
      <c r="AD556" s="516">
        <v>47267</v>
      </c>
      <c r="AE556" s="519">
        <v>35333</v>
      </c>
      <c r="AF556" s="506">
        <f t="shared" si="245"/>
        <v>161899</v>
      </c>
      <c r="AG556" s="507">
        <f t="shared" si="246"/>
        <v>179.88777777777779</v>
      </c>
      <c r="AH556" s="508">
        <f t="shared" si="247"/>
        <v>143886</v>
      </c>
      <c r="AI556" s="508">
        <f t="shared" si="248"/>
        <v>159.87333333333333</v>
      </c>
      <c r="AJ556" s="516"/>
      <c r="AK556" s="519"/>
      <c r="AL556" s="506">
        <f t="shared" si="249"/>
        <v>0</v>
      </c>
      <c r="AM556" s="509">
        <f t="shared" si="250"/>
        <v>0</v>
      </c>
      <c r="AN556" s="518"/>
      <c r="AO556" s="520"/>
      <c r="AP556" s="516"/>
      <c r="AQ556" s="520"/>
      <c r="AR556" s="516"/>
      <c r="AS556" s="520"/>
      <c r="AT556" s="516"/>
      <c r="AU556" s="520"/>
      <c r="AV556" s="506">
        <f t="shared" si="251"/>
        <v>0</v>
      </c>
      <c r="AW556" s="511">
        <f t="shared" si="252"/>
        <v>0</v>
      </c>
      <c r="AX556" s="508">
        <f t="shared" si="253"/>
        <v>0</v>
      </c>
      <c r="AY556" s="512">
        <f t="shared" si="254"/>
        <v>0</v>
      </c>
      <c r="AZ556" s="513">
        <f t="shared" si="255"/>
        <v>13383.82111111111</v>
      </c>
      <c r="BA556" s="508">
        <f t="shared" si="256"/>
        <v>13458.94</v>
      </c>
    </row>
    <row r="557" spans="1:53">
      <c r="A557" s="594" t="s">
        <v>533</v>
      </c>
      <c r="B557" s="643" t="s">
        <v>576</v>
      </c>
      <c r="C557" s="668"/>
      <c r="D557" s="663">
        <v>223524</v>
      </c>
      <c r="E557" s="671">
        <v>8</v>
      </c>
      <c r="F557" s="514" t="s">
        <v>41</v>
      </c>
      <c r="G557" s="515" t="s">
        <v>41</v>
      </c>
      <c r="H557" s="516">
        <v>89352</v>
      </c>
      <c r="I557" s="519">
        <v>86029</v>
      </c>
      <c r="J557" s="516">
        <v>33853</v>
      </c>
      <c r="K557" s="519">
        <v>46359</v>
      </c>
      <c r="L557" s="516">
        <v>17093</v>
      </c>
      <c r="M557" s="519">
        <v>0</v>
      </c>
      <c r="N557" s="516">
        <v>74937</v>
      </c>
      <c r="O557" s="519">
        <v>70915</v>
      </c>
      <c r="P557" s="506">
        <f t="shared" si="239"/>
        <v>215235</v>
      </c>
      <c r="Q557" s="507">
        <f t="shared" si="240"/>
        <v>7174.5</v>
      </c>
      <c r="R557" s="508">
        <f t="shared" si="241"/>
        <v>203303</v>
      </c>
      <c r="S557" s="509">
        <f t="shared" si="242"/>
        <v>6776.7666666666664</v>
      </c>
      <c r="T557" s="516">
        <v>9195</v>
      </c>
      <c r="U557" s="519">
        <v>8669</v>
      </c>
      <c r="V557" s="506">
        <f t="shared" si="243"/>
        <v>215235</v>
      </c>
      <c r="W557" s="510">
        <f t="shared" si="244"/>
        <v>203303</v>
      </c>
      <c r="X557" s="517">
        <v>72299</v>
      </c>
      <c r="Y557" s="519">
        <v>65960</v>
      </c>
      <c r="Z557" s="516">
        <v>75368</v>
      </c>
      <c r="AA557" s="519">
        <v>64564</v>
      </c>
      <c r="AB557" s="516">
        <v>54799</v>
      </c>
      <c r="AC557" s="519">
        <v>57663</v>
      </c>
      <c r="AD557" s="516">
        <v>76757</v>
      </c>
      <c r="AE557" s="519">
        <v>70341</v>
      </c>
      <c r="AF557" s="506">
        <f t="shared" si="245"/>
        <v>279223</v>
      </c>
      <c r="AG557" s="507">
        <f t="shared" si="246"/>
        <v>310.2477777777778</v>
      </c>
      <c r="AH557" s="508">
        <f t="shared" si="247"/>
        <v>258528</v>
      </c>
      <c r="AI557" s="508">
        <f t="shared" si="248"/>
        <v>287.25333333333333</v>
      </c>
      <c r="AJ557" s="516"/>
      <c r="AK557" s="519"/>
      <c r="AL557" s="506">
        <f t="shared" si="249"/>
        <v>0</v>
      </c>
      <c r="AM557" s="509">
        <f t="shared" si="250"/>
        <v>0</v>
      </c>
      <c r="AN557" s="518"/>
      <c r="AO557" s="520"/>
      <c r="AP557" s="516"/>
      <c r="AQ557" s="520"/>
      <c r="AR557" s="516"/>
      <c r="AS557" s="520"/>
      <c r="AT557" s="516"/>
      <c r="AU557" s="520"/>
      <c r="AV557" s="506">
        <f t="shared" si="251"/>
        <v>0</v>
      </c>
      <c r="AW557" s="511">
        <f t="shared" si="252"/>
        <v>0</v>
      </c>
      <c r="AX557" s="508">
        <f t="shared" si="253"/>
        <v>0</v>
      </c>
      <c r="AY557" s="512">
        <f t="shared" si="254"/>
        <v>0</v>
      </c>
      <c r="AZ557" s="513">
        <f t="shared" si="255"/>
        <v>7484.7477777777776</v>
      </c>
      <c r="BA557" s="508">
        <f t="shared" si="256"/>
        <v>7064.0199999999995</v>
      </c>
    </row>
    <row r="558" spans="1:53">
      <c r="A558" s="594" t="s">
        <v>533</v>
      </c>
      <c r="B558" s="641" t="s">
        <v>577</v>
      </c>
      <c r="C558" s="668"/>
      <c r="D558" s="663">
        <v>223816</v>
      </c>
      <c r="E558" s="671">
        <v>8</v>
      </c>
      <c r="F558" s="514" t="s">
        <v>41</v>
      </c>
      <c r="G558" s="515" t="s">
        <v>41</v>
      </c>
      <c r="H558" s="516">
        <v>126523</v>
      </c>
      <c r="I558" s="519">
        <v>123024</v>
      </c>
      <c r="J558" s="516">
        <v>92122</v>
      </c>
      <c r="K558" s="519">
        <v>92510</v>
      </c>
      <c r="L558" s="516">
        <v>5181</v>
      </c>
      <c r="M558" s="519">
        <v>3994</v>
      </c>
      <c r="N558" s="516">
        <v>96668</v>
      </c>
      <c r="O558" s="519">
        <v>96353</v>
      </c>
      <c r="P558" s="506">
        <f t="shared" si="239"/>
        <v>320494</v>
      </c>
      <c r="Q558" s="507">
        <f t="shared" si="240"/>
        <v>10683.133333333333</v>
      </c>
      <c r="R558" s="508">
        <f t="shared" si="241"/>
        <v>315881</v>
      </c>
      <c r="S558" s="509">
        <f t="shared" si="242"/>
        <v>10529.366666666667</v>
      </c>
      <c r="T558" s="516">
        <v>19759</v>
      </c>
      <c r="U558" s="519">
        <v>16799</v>
      </c>
      <c r="V558" s="506">
        <f t="shared" si="243"/>
        <v>320494</v>
      </c>
      <c r="W558" s="510">
        <f t="shared" si="244"/>
        <v>315881</v>
      </c>
      <c r="X558" s="517">
        <v>99494</v>
      </c>
      <c r="Y558" s="519">
        <v>90921</v>
      </c>
      <c r="Z558" s="516">
        <v>115731</v>
      </c>
      <c r="AA558" s="519">
        <v>123240</v>
      </c>
      <c r="AB558" s="516">
        <v>84710</v>
      </c>
      <c r="AC558" s="519">
        <v>116694</v>
      </c>
      <c r="AD558" s="516">
        <v>98587</v>
      </c>
      <c r="AE558" s="519">
        <v>105520</v>
      </c>
      <c r="AF558" s="506">
        <f t="shared" si="245"/>
        <v>398522</v>
      </c>
      <c r="AG558" s="507">
        <f t="shared" si="246"/>
        <v>442.80222222222221</v>
      </c>
      <c r="AH558" s="508">
        <f t="shared" si="247"/>
        <v>436375</v>
      </c>
      <c r="AI558" s="508">
        <f t="shared" si="248"/>
        <v>484.86111111111109</v>
      </c>
      <c r="AJ558" s="516"/>
      <c r="AK558" s="519"/>
      <c r="AL558" s="506">
        <f t="shared" si="249"/>
        <v>0</v>
      </c>
      <c r="AM558" s="509">
        <f t="shared" si="250"/>
        <v>0</v>
      </c>
      <c r="AN558" s="518"/>
      <c r="AO558" s="520"/>
      <c r="AP558" s="516"/>
      <c r="AQ558" s="520"/>
      <c r="AR558" s="516"/>
      <c r="AS558" s="520"/>
      <c r="AT558" s="516"/>
      <c r="AU558" s="520"/>
      <c r="AV558" s="506">
        <f t="shared" si="251"/>
        <v>0</v>
      </c>
      <c r="AW558" s="511">
        <f t="shared" si="252"/>
        <v>0</v>
      </c>
      <c r="AX558" s="508">
        <f t="shared" si="253"/>
        <v>0</v>
      </c>
      <c r="AY558" s="512">
        <f t="shared" si="254"/>
        <v>0</v>
      </c>
      <c r="AZ558" s="513">
        <f t="shared" si="255"/>
        <v>11125.935555555556</v>
      </c>
      <c r="BA558" s="508">
        <f t="shared" si="256"/>
        <v>11014.227777777778</v>
      </c>
    </row>
    <row r="559" spans="1:53">
      <c r="A559" s="594" t="s">
        <v>533</v>
      </c>
      <c r="B559" s="641" t="s">
        <v>578</v>
      </c>
      <c r="C559" s="668"/>
      <c r="D559" s="663">
        <v>247834</v>
      </c>
      <c r="E559" s="671">
        <v>8</v>
      </c>
      <c r="F559" s="514" t="s">
        <v>41</v>
      </c>
      <c r="G559" s="515" t="s">
        <v>41</v>
      </c>
      <c r="H559" s="516">
        <v>223300</v>
      </c>
      <c r="I559" s="519">
        <v>220007</v>
      </c>
      <c r="J559" s="516">
        <v>47013</v>
      </c>
      <c r="K559" s="519">
        <v>45459</v>
      </c>
      <c r="L559" s="516">
        <v>40934</v>
      </c>
      <c r="M559" s="519">
        <v>42198</v>
      </c>
      <c r="N559" s="516">
        <v>226025</v>
      </c>
      <c r="O559" s="519">
        <v>228868</v>
      </c>
      <c r="P559" s="506">
        <f t="shared" si="239"/>
        <v>537272</v>
      </c>
      <c r="Q559" s="507">
        <f t="shared" si="240"/>
        <v>17909.066666666666</v>
      </c>
      <c r="R559" s="508">
        <f t="shared" si="241"/>
        <v>536532</v>
      </c>
      <c r="S559" s="509">
        <f t="shared" si="242"/>
        <v>17884.400000000001</v>
      </c>
      <c r="T559" s="516">
        <v>21365</v>
      </c>
      <c r="U559" s="519">
        <v>22205</v>
      </c>
      <c r="V559" s="506">
        <f t="shared" si="243"/>
        <v>537272</v>
      </c>
      <c r="W559" s="510">
        <f t="shared" si="244"/>
        <v>536532</v>
      </c>
      <c r="X559" s="517">
        <v>129730</v>
      </c>
      <c r="Y559" s="519">
        <v>149880</v>
      </c>
      <c r="Z559" s="516">
        <v>99184</v>
      </c>
      <c r="AA559" s="519">
        <v>124339</v>
      </c>
      <c r="AB559" s="516">
        <v>127316</v>
      </c>
      <c r="AC559" s="519">
        <v>131161</v>
      </c>
      <c r="AD559" s="516">
        <v>180375</v>
      </c>
      <c r="AE559" s="519">
        <v>226703</v>
      </c>
      <c r="AF559" s="506">
        <f t="shared" si="245"/>
        <v>536605</v>
      </c>
      <c r="AG559" s="507">
        <f t="shared" si="246"/>
        <v>596.22777777777776</v>
      </c>
      <c r="AH559" s="508">
        <f t="shared" si="247"/>
        <v>632083</v>
      </c>
      <c r="AI559" s="508">
        <f t="shared" si="248"/>
        <v>702.31444444444446</v>
      </c>
      <c r="AJ559" s="516"/>
      <c r="AK559" s="519"/>
      <c r="AL559" s="506">
        <f t="shared" si="249"/>
        <v>0</v>
      </c>
      <c r="AM559" s="509">
        <f t="shared" si="250"/>
        <v>0</v>
      </c>
      <c r="AN559" s="518"/>
      <c r="AO559" s="520"/>
      <c r="AP559" s="516"/>
      <c r="AQ559" s="520"/>
      <c r="AR559" s="516"/>
      <c r="AS559" s="520"/>
      <c r="AT559" s="516"/>
      <c r="AU559" s="520"/>
      <c r="AV559" s="506">
        <f t="shared" si="251"/>
        <v>0</v>
      </c>
      <c r="AW559" s="511">
        <f t="shared" si="252"/>
        <v>0</v>
      </c>
      <c r="AX559" s="508">
        <f t="shared" si="253"/>
        <v>0</v>
      </c>
      <c r="AY559" s="512">
        <f t="shared" si="254"/>
        <v>0</v>
      </c>
      <c r="AZ559" s="513">
        <f t="shared" si="255"/>
        <v>18505.294444444444</v>
      </c>
      <c r="BA559" s="508">
        <f t="shared" si="256"/>
        <v>18586.714444444446</v>
      </c>
    </row>
    <row r="560" spans="1:53">
      <c r="A560" s="594" t="s">
        <v>533</v>
      </c>
      <c r="B560" s="641" t="s">
        <v>579</v>
      </c>
      <c r="C560" s="668"/>
      <c r="D560" s="663">
        <v>224350</v>
      </c>
      <c r="E560" s="671">
        <v>8</v>
      </c>
      <c r="F560" s="514" t="s">
        <v>41</v>
      </c>
      <c r="G560" s="515" t="s">
        <v>41</v>
      </c>
      <c r="H560" s="516">
        <v>97094</v>
      </c>
      <c r="I560" s="519">
        <v>92301</v>
      </c>
      <c r="J560" s="516">
        <v>25321</v>
      </c>
      <c r="K560" s="519">
        <v>22086</v>
      </c>
      <c r="L560" s="516">
        <v>11668</v>
      </c>
      <c r="M560" s="519">
        <v>10123</v>
      </c>
      <c r="N560" s="516">
        <v>96822</v>
      </c>
      <c r="O560" s="519">
        <v>89028</v>
      </c>
      <c r="P560" s="506">
        <f t="shared" si="239"/>
        <v>230905</v>
      </c>
      <c r="Q560" s="507">
        <f t="shared" si="240"/>
        <v>7696.833333333333</v>
      </c>
      <c r="R560" s="508">
        <f t="shared" si="241"/>
        <v>213538</v>
      </c>
      <c r="S560" s="509">
        <f t="shared" si="242"/>
        <v>7117.9333333333334</v>
      </c>
      <c r="T560" s="516">
        <v>15131</v>
      </c>
      <c r="U560" s="519">
        <v>16321</v>
      </c>
      <c r="V560" s="506">
        <f t="shared" si="243"/>
        <v>230905</v>
      </c>
      <c r="W560" s="510">
        <f t="shared" si="244"/>
        <v>213538</v>
      </c>
      <c r="X560" s="517">
        <v>84561</v>
      </c>
      <c r="Y560" s="519">
        <v>84288</v>
      </c>
      <c r="Z560" s="516">
        <v>44534</v>
      </c>
      <c r="AA560" s="519">
        <v>58476</v>
      </c>
      <c r="AB560" s="516">
        <v>61228</v>
      </c>
      <c r="AC560" s="519">
        <v>63174</v>
      </c>
      <c r="AD560" s="516">
        <v>91039</v>
      </c>
      <c r="AE560" s="519">
        <v>89576</v>
      </c>
      <c r="AF560" s="506">
        <f t="shared" si="245"/>
        <v>281362</v>
      </c>
      <c r="AG560" s="507">
        <f t="shared" si="246"/>
        <v>312.62444444444446</v>
      </c>
      <c r="AH560" s="508">
        <f t="shared" si="247"/>
        <v>295514</v>
      </c>
      <c r="AI560" s="508">
        <f t="shared" si="248"/>
        <v>328.34888888888889</v>
      </c>
      <c r="AJ560" s="516"/>
      <c r="AK560" s="519"/>
      <c r="AL560" s="506">
        <f t="shared" si="249"/>
        <v>0</v>
      </c>
      <c r="AM560" s="509">
        <f t="shared" si="250"/>
        <v>0</v>
      </c>
      <c r="AN560" s="518"/>
      <c r="AO560" s="520"/>
      <c r="AP560" s="516"/>
      <c r="AQ560" s="520"/>
      <c r="AR560" s="516"/>
      <c r="AS560" s="520"/>
      <c r="AT560" s="516"/>
      <c r="AU560" s="520"/>
      <c r="AV560" s="506">
        <f t="shared" si="251"/>
        <v>0</v>
      </c>
      <c r="AW560" s="511">
        <f t="shared" si="252"/>
        <v>0</v>
      </c>
      <c r="AX560" s="508">
        <f t="shared" si="253"/>
        <v>0</v>
      </c>
      <c r="AY560" s="512">
        <f t="shared" si="254"/>
        <v>0</v>
      </c>
      <c r="AZ560" s="513">
        <f t="shared" si="255"/>
        <v>8009.4577777777777</v>
      </c>
      <c r="BA560" s="508">
        <f t="shared" si="256"/>
        <v>7446.2822222222221</v>
      </c>
    </row>
    <row r="561" spans="1:53">
      <c r="A561" s="594" t="s">
        <v>533</v>
      </c>
      <c r="B561" s="643" t="s">
        <v>580</v>
      </c>
      <c r="C561" s="668"/>
      <c r="D561" s="663">
        <v>224572</v>
      </c>
      <c r="E561" s="671">
        <v>8</v>
      </c>
      <c r="F561" s="514" t="s">
        <v>41</v>
      </c>
      <c r="G561" s="515" t="s">
        <v>41</v>
      </c>
      <c r="H561" s="516">
        <v>99334</v>
      </c>
      <c r="I561" s="519">
        <v>94072</v>
      </c>
      <c r="J561" s="516">
        <v>36921</v>
      </c>
      <c r="K561" s="519">
        <v>49420</v>
      </c>
      <c r="L561" s="516">
        <v>16027</v>
      </c>
      <c r="M561" s="519">
        <v>0</v>
      </c>
      <c r="N561" s="516">
        <v>88527</v>
      </c>
      <c r="O561" s="519">
        <v>87939</v>
      </c>
      <c r="P561" s="506">
        <f t="shared" si="239"/>
        <v>240809</v>
      </c>
      <c r="Q561" s="507">
        <f t="shared" si="240"/>
        <v>8026.9666666666662</v>
      </c>
      <c r="R561" s="508">
        <f t="shared" si="241"/>
        <v>231431</v>
      </c>
      <c r="S561" s="509">
        <f t="shared" si="242"/>
        <v>7714.3666666666668</v>
      </c>
      <c r="T561" s="516">
        <v>23314</v>
      </c>
      <c r="U561" s="519">
        <v>17724</v>
      </c>
      <c r="V561" s="506">
        <f t="shared" si="243"/>
        <v>240809</v>
      </c>
      <c r="W561" s="510">
        <f t="shared" si="244"/>
        <v>231431</v>
      </c>
      <c r="X561" s="517">
        <v>93754</v>
      </c>
      <c r="Y561" s="519">
        <v>89159</v>
      </c>
      <c r="Z561" s="516">
        <v>103607</v>
      </c>
      <c r="AA561" s="519">
        <v>58288</v>
      </c>
      <c r="AB561" s="516">
        <v>91037</v>
      </c>
      <c r="AC561" s="519">
        <v>53746</v>
      </c>
      <c r="AD561" s="516">
        <v>105570</v>
      </c>
      <c r="AE561" s="519">
        <v>82288</v>
      </c>
      <c r="AF561" s="506">
        <f t="shared" si="245"/>
        <v>393968</v>
      </c>
      <c r="AG561" s="507">
        <f t="shared" si="246"/>
        <v>437.74222222222221</v>
      </c>
      <c r="AH561" s="508">
        <f t="shared" si="247"/>
        <v>283481</v>
      </c>
      <c r="AI561" s="508">
        <f t="shared" si="248"/>
        <v>314.97888888888889</v>
      </c>
      <c r="AJ561" s="516"/>
      <c r="AK561" s="519"/>
      <c r="AL561" s="506">
        <f t="shared" si="249"/>
        <v>0</v>
      </c>
      <c r="AM561" s="509">
        <f t="shared" si="250"/>
        <v>0</v>
      </c>
      <c r="AN561" s="518"/>
      <c r="AO561" s="520"/>
      <c r="AP561" s="516"/>
      <c r="AQ561" s="520"/>
      <c r="AR561" s="516"/>
      <c r="AS561" s="520"/>
      <c r="AT561" s="516"/>
      <c r="AU561" s="520"/>
      <c r="AV561" s="506">
        <f t="shared" si="251"/>
        <v>0</v>
      </c>
      <c r="AW561" s="511">
        <f t="shared" si="252"/>
        <v>0</v>
      </c>
      <c r="AX561" s="508">
        <f t="shared" si="253"/>
        <v>0</v>
      </c>
      <c r="AY561" s="512">
        <f t="shared" si="254"/>
        <v>0</v>
      </c>
      <c r="AZ561" s="513">
        <f t="shared" si="255"/>
        <v>8464.7088888888884</v>
      </c>
      <c r="BA561" s="508">
        <f t="shared" si="256"/>
        <v>8029.3455555555556</v>
      </c>
    </row>
    <row r="562" spans="1:53">
      <c r="A562" s="594" t="s">
        <v>533</v>
      </c>
      <c r="B562" s="643" t="s">
        <v>581</v>
      </c>
      <c r="C562" s="646"/>
      <c r="D562" s="669">
        <v>224615</v>
      </c>
      <c r="E562" s="661">
        <v>8</v>
      </c>
      <c r="F562" s="514" t="s">
        <v>41</v>
      </c>
      <c r="G562" s="515" t="s">
        <v>41</v>
      </c>
      <c r="H562" s="516">
        <v>78880</v>
      </c>
      <c r="I562" s="519">
        <v>77644</v>
      </c>
      <c r="J562" s="516">
        <v>22066</v>
      </c>
      <c r="K562" s="519">
        <v>30159</v>
      </c>
      <c r="L562" s="516">
        <v>11053</v>
      </c>
      <c r="M562" s="519">
        <v>0</v>
      </c>
      <c r="N562" s="516">
        <v>77983</v>
      </c>
      <c r="O562" s="519">
        <v>70587</v>
      </c>
      <c r="P562" s="506">
        <f t="shared" si="239"/>
        <v>189982</v>
      </c>
      <c r="Q562" s="507">
        <f t="shared" si="240"/>
        <v>6332.7333333333336</v>
      </c>
      <c r="R562" s="508">
        <f t="shared" si="241"/>
        <v>178390</v>
      </c>
      <c r="S562" s="509">
        <f t="shared" si="242"/>
        <v>5946.333333333333</v>
      </c>
      <c r="T562" s="516">
        <v>13033</v>
      </c>
      <c r="U562" s="519">
        <v>11192</v>
      </c>
      <c r="V562" s="506">
        <f t="shared" si="243"/>
        <v>189982</v>
      </c>
      <c r="W562" s="510">
        <f t="shared" si="244"/>
        <v>178390</v>
      </c>
      <c r="X562" s="517">
        <v>199547</v>
      </c>
      <c r="Y562" s="519">
        <v>233456</v>
      </c>
      <c r="Z562" s="516">
        <v>203570</v>
      </c>
      <c r="AA562" s="519">
        <v>368027</v>
      </c>
      <c r="AB562" s="516">
        <v>144259</v>
      </c>
      <c r="AC562" s="519">
        <v>334014</v>
      </c>
      <c r="AD562" s="516">
        <v>242244</v>
      </c>
      <c r="AE562" s="519">
        <v>271796</v>
      </c>
      <c r="AF562" s="506">
        <f t="shared" si="245"/>
        <v>789620</v>
      </c>
      <c r="AG562" s="507">
        <f t="shared" si="246"/>
        <v>877.35555555555561</v>
      </c>
      <c r="AH562" s="508">
        <f t="shared" si="247"/>
        <v>1207293</v>
      </c>
      <c r="AI562" s="508">
        <f t="shared" si="248"/>
        <v>1341.4366666666667</v>
      </c>
      <c r="AJ562" s="516"/>
      <c r="AK562" s="519"/>
      <c r="AL562" s="506">
        <f t="shared" si="249"/>
        <v>0</v>
      </c>
      <c r="AM562" s="509">
        <f t="shared" si="250"/>
        <v>0</v>
      </c>
      <c r="AN562" s="518"/>
      <c r="AO562" s="520"/>
      <c r="AP562" s="516"/>
      <c r="AQ562" s="520"/>
      <c r="AR562" s="516"/>
      <c r="AS562" s="520"/>
      <c r="AT562" s="516"/>
      <c r="AU562" s="520"/>
      <c r="AV562" s="506">
        <f t="shared" si="251"/>
        <v>0</v>
      </c>
      <c r="AW562" s="511">
        <f t="shared" si="252"/>
        <v>0</v>
      </c>
      <c r="AX562" s="508">
        <f t="shared" si="253"/>
        <v>0</v>
      </c>
      <c r="AY562" s="512">
        <f t="shared" si="254"/>
        <v>0</v>
      </c>
      <c r="AZ562" s="513">
        <f t="shared" si="255"/>
        <v>7210.0888888888894</v>
      </c>
      <c r="BA562" s="508">
        <f t="shared" si="256"/>
        <v>7287.7699999999995</v>
      </c>
    </row>
    <row r="563" spans="1:53">
      <c r="A563" s="594" t="s">
        <v>533</v>
      </c>
      <c r="B563" s="641" t="s">
        <v>582</v>
      </c>
      <c r="C563" s="668"/>
      <c r="D563" s="663">
        <v>224642</v>
      </c>
      <c r="E563" s="671">
        <v>8</v>
      </c>
      <c r="F563" s="514" t="s">
        <v>41</v>
      </c>
      <c r="G563" s="515" t="s">
        <v>41</v>
      </c>
      <c r="H563" s="516">
        <v>252345</v>
      </c>
      <c r="I563" s="519">
        <v>253084</v>
      </c>
      <c r="J563" s="516">
        <v>68077</v>
      </c>
      <c r="K563" s="519">
        <v>58283</v>
      </c>
      <c r="L563" s="516">
        <v>0</v>
      </c>
      <c r="M563" s="519">
        <v>0</v>
      </c>
      <c r="N563" s="516">
        <v>261904</v>
      </c>
      <c r="O563" s="519">
        <v>263960</v>
      </c>
      <c r="P563" s="506">
        <f t="shared" si="239"/>
        <v>582326</v>
      </c>
      <c r="Q563" s="507">
        <f t="shared" si="240"/>
        <v>19410.866666666665</v>
      </c>
      <c r="R563" s="508">
        <f t="shared" si="241"/>
        <v>575327</v>
      </c>
      <c r="S563" s="509">
        <f t="shared" si="242"/>
        <v>19177.566666666666</v>
      </c>
      <c r="T563" s="516">
        <v>52573</v>
      </c>
      <c r="U563" s="519">
        <v>70271</v>
      </c>
      <c r="V563" s="506">
        <f t="shared" si="243"/>
        <v>582326</v>
      </c>
      <c r="W563" s="510">
        <f t="shared" si="244"/>
        <v>575327</v>
      </c>
      <c r="X563" s="517">
        <v>129563</v>
      </c>
      <c r="Y563" s="519">
        <v>121978</v>
      </c>
      <c r="Z563" s="516">
        <v>133119</v>
      </c>
      <c r="AA563" s="519">
        <v>126534</v>
      </c>
      <c r="AB563" s="516">
        <v>166435</v>
      </c>
      <c r="AC563" s="519">
        <v>110699</v>
      </c>
      <c r="AD563" s="516">
        <v>163887</v>
      </c>
      <c r="AE563" s="519">
        <v>157377</v>
      </c>
      <c r="AF563" s="506">
        <f t="shared" si="245"/>
        <v>593004</v>
      </c>
      <c r="AG563" s="507">
        <f t="shared" si="246"/>
        <v>658.89333333333332</v>
      </c>
      <c r="AH563" s="508">
        <f t="shared" si="247"/>
        <v>516588</v>
      </c>
      <c r="AI563" s="508">
        <f t="shared" si="248"/>
        <v>573.98666666666668</v>
      </c>
      <c r="AJ563" s="516"/>
      <c r="AK563" s="519"/>
      <c r="AL563" s="506">
        <f t="shared" si="249"/>
        <v>0</v>
      </c>
      <c r="AM563" s="509">
        <f t="shared" si="250"/>
        <v>0</v>
      </c>
      <c r="AN563" s="518"/>
      <c r="AO563" s="520"/>
      <c r="AP563" s="516"/>
      <c r="AQ563" s="520"/>
      <c r="AR563" s="516"/>
      <c r="AS563" s="520"/>
      <c r="AT563" s="516"/>
      <c r="AU563" s="520"/>
      <c r="AV563" s="506">
        <f t="shared" si="251"/>
        <v>0</v>
      </c>
      <c r="AW563" s="511">
        <f t="shared" si="252"/>
        <v>0</v>
      </c>
      <c r="AX563" s="508">
        <f t="shared" si="253"/>
        <v>0</v>
      </c>
      <c r="AY563" s="512">
        <f t="shared" si="254"/>
        <v>0</v>
      </c>
      <c r="AZ563" s="513">
        <f t="shared" si="255"/>
        <v>20069.759999999998</v>
      </c>
      <c r="BA563" s="508">
        <f t="shared" si="256"/>
        <v>19751.553333333333</v>
      </c>
    </row>
    <row r="564" spans="1:53">
      <c r="A564" s="594" t="s">
        <v>533</v>
      </c>
      <c r="B564" s="641" t="s">
        <v>583</v>
      </c>
      <c r="C564" s="668"/>
      <c r="D564" s="663">
        <v>225423</v>
      </c>
      <c r="E564" s="671">
        <v>8</v>
      </c>
      <c r="F564" s="514" t="s">
        <v>41</v>
      </c>
      <c r="G564" s="515" t="s">
        <v>41</v>
      </c>
      <c r="H564" s="516">
        <v>519200</v>
      </c>
      <c r="I564" s="519">
        <v>494412</v>
      </c>
      <c r="J564" s="516">
        <v>274376</v>
      </c>
      <c r="K564" s="519">
        <v>269882</v>
      </c>
      <c r="L564" s="516">
        <v>0</v>
      </c>
      <c r="M564" s="519">
        <v>0</v>
      </c>
      <c r="N564" s="516">
        <v>390312</v>
      </c>
      <c r="O564" s="519">
        <v>368037</v>
      </c>
      <c r="P564" s="506">
        <f t="shared" si="239"/>
        <v>1183888</v>
      </c>
      <c r="Q564" s="507">
        <f t="shared" si="240"/>
        <v>39462.933333333334</v>
      </c>
      <c r="R564" s="508">
        <f t="shared" si="241"/>
        <v>1132331</v>
      </c>
      <c r="S564" s="509">
        <f t="shared" si="242"/>
        <v>37744.366666666669</v>
      </c>
      <c r="T564" s="516">
        <v>44317</v>
      </c>
      <c r="U564" s="519">
        <v>73521</v>
      </c>
      <c r="V564" s="506">
        <f t="shared" si="243"/>
        <v>1183888</v>
      </c>
      <c r="W564" s="510">
        <f t="shared" si="244"/>
        <v>1132331</v>
      </c>
      <c r="X564" s="517">
        <v>537454</v>
      </c>
      <c r="Y564" s="519">
        <v>428435</v>
      </c>
      <c r="Z564" s="516">
        <v>384249</v>
      </c>
      <c r="AA564" s="519">
        <v>473653</v>
      </c>
      <c r="AB564" s="516">
        <v>388800</v>
      </c>
      <c r="AC564" s="519">
        <v>323638</v>
      </c>
      <c r="AD564" s="516">
        <v>573214</v>
      </c>
      <c r="AE564" s="519">
        <v>589403</v>
      </c>
      <c r="AF564" s="506">
        <f t="shared" si="245"/>
        <v>1883717</v>
      </c>
      <c r="AG564" s="507">
        <f t="shared" si="246"/>
        <v>2093.0188888888888</v>
      </c>
      <c r="AH564" s="508">
        <f t="shared" si="247"/>
        <v>1815129</v>
      </c>
      <c r="AI564" s="508">
        <f t="shared" si="248"/>
        <v>2016.81</v>
      </c>
      <c r="AJ564" s="516"/>
      <c r="AK564" s="519"/>
      <c r="AL564" s="506">
        <f t="shared" si="249"/>
        <v>0</v>
      </c>
      <c r="AM564" s="509">
        <f t="shared" si="250"/>
        <v>0</v>
      </c>
      <c r="AN564" s="518"/>
      <c r="AO564" s="520"/>
      <c r="AP564" s="516"/>
      <c r="AQ564" s="520"/>
      <c r="AR564" s="516"/>
      <c r="AS564" s="520"/>
      <c r="AT564" s="516"/>
      <c r="AU564" s="520"/>
      <c r="AV564" s="506">
        <f t="shared" si="251"/>
        <v>0</v>
      </c>
      <c r="AW564" s="511">
        <f t="shared" si="252"/>
        <v>0</v>
      </c>
      <c r="AX564" s="508">
        <f t="shared" si="253"/>
        <v>0</v>
      </c>
      <c r="AY564" s="512">
        <f t="shared" si="254"/>
        <v>0</v>
      </c>
      <c r="AZ564" s="513">
        <f t="shared" si="255"/>
        <v>41555.952222222222</v>
      </c>
      <c r="BA564" s="508">
        <f t="shared" si="256"/>
        <v>39761.176666666666</v>
      </c>
    </row>
    <row r="565" spans="1:53">
      <c r="A565" s="594" t="s">
        <v>533</v>
      </c>
      <c r="B565" s="637" t="s">
        <v>584</v>
      </c>
      <c r="C565" s="639"/>
      <c r="D565" s="663">
        <v>226019</v>
      </c>
      <c r="E565" s="661">
        <v>8</v>
      </c>
      <c r="F565" s="514" t="s">
        <v>41</v>
      </c>
      <c r="G565" s="515" t="s">
        <v>41</v>
      </c>
      <c r="H565" s="516">
        <v>63398</v>
      </c>
      <c r="I565" s="519">
        <v>59183</v>
      </c>
      <c r="J565" s="516">
        <v>11755</v>
      </c>
      <c r="K565" s="519">
        <v>9925</v>
      </c>
      <c r="L565" s="516">
        <v>6823</v>
      </c>
      <c r="M565" s="519">
        <v>4662</v>
      </c>
      <c r="N565" s="516">
        <v>61104</v>
      </c>
      <c r="O565" s="519">
        <v>59315</v>
      </c>
      <c r="P565" s="506">
        <f t="shared" si="239"/>
        <v>143080</v>
      </c>
      <c r="Q565" s="507">
        <f t="shared" si="240"/>
        <v>4769.333333333333</v>
      </c>
      <c r="R565" s="508">
        <f t="shared" si="241"/>
        <v>133085</v>
      </c>
      <c r="S565" s="509">
        <f t="shared" si="242"/>
        <v>4436.166666666667</v>
      </c>
      <c r="T565" s="516">
        <v>10814</v>
      </c>
      <c r="U565" s="519">
        <v>12147</v>
      </c>
      <c r="V565" s="506">
        <f t="shared" si="243"/>
        <v>143080</v>
      </c>
      <c r="W565" s="510">
        <f t="shared" si="244"/>
        <v>133085</v>
      </c>
      <c r="X565" s="517">
        <v>185513</v>
      </c>
      <c r="Y565" s="519">
        <v>140614</v>
      </c>
      <c r="Z565" s="516">
        <v>161528</v>
      </c>
      <c r="AA565" s="519">
        <v>142264</v>
      </c>
      <c r="AB565" s="516">
        <v>157431</v>
      </c>
      <c r="AC565" s="519">
        <v>140561</v>
      </c>
      <c r="AD565" s="516">
        <v>136908</v>
      </c>
      <c r="AE565" s="618">
        <v>123321</v>
      </c>
      <c r="AF565" s="506">
        <f t="shared" si="245"/>
        <v>641380</v>
      </c>
      <c r="AG565" s="507">
        <f t="shared" si="246"/>
        <v>712.64444444444439</v>
      </c>
      <c r="AH565" s="508">
        <f t="shared" si="247"/>
        <v>546760</v>
      </c>
      <c r="AI565" s="508">
        <f t="shared" si="248"/>
        <v>607.51111111111106</v>
      </c>
      <c r="AJ565" s="516"/>
      <c r="AK565" s="519"/>
      <c r="AL565" s="506">
        <f t="shared" si="249"/>
        <v>0</v>
      </c>
      <c r="AM565" s="509">
        <f t="shared" si="250"/>
        <v>0</v>
      </c>
      <c r="AN565" s="518"/>
      <c r="AO565" s="520"/>
      <c r="AP565" s="516"/>
      <c r="AQ565" s="520"/>
      <c r="AR565" s="516"/>
      <c r="AS565" s="520"/>
      <c r="AT565" s="516"/>
      <c r="AU565" s="520"/>
      <c r="AV565" s="506">
        <f t="shared" si="251"/>
        <v>0</v>
      </c>
      <c r="AW565" s="511">
        <f t="shared" si="252"/>
        <v>0</v>
      </c>
      <c r="AX565" s="508">
        <f t="shared" si="253"/>
        <v>0</v>
      </c>
      <c r="AY565" s="512">
        <f t="shared" si="254"/>
        <v>0</v>
      </c>
      <c r="AZ565" s="513">
        <f t="shared" si="255"/>
        <v>5481.9777777777772</v>
      </c>
      <c r="BA565" s="508">
        <f t="shared" si="256"/>
        <v>5043.6777777777779</v>
      </c>
    </row>
    <row r="566" spans="1:53">
      <c r="A566" s="594" t="s">
        <v>533</v>
      </c>
      <c r="B566" s="641" t="s">
        <v>585</v>
      </c>
      <c r="C566" s="668"/>
      <c r="D566" s="663">
        <v>226134</v>
      </c>
      <c r="E566" s="671">
        <v>8</v>
      </c>
      <c r="F566" s="514" t="s">
        <v>41</v>
      </c>
      <c r="G566" s="515" t="s">
        <v>41</v>
      </c>
      <c r="H566" s="516">
        <v>80549</v>
      </c>
      <c r="I566" s="519">
        <v>78062</v>
      </c>
      <c r="J566" s="516">
        <v>15303</v>
      </c>
      <c r="K566" s="519">
        <v>14802</v>
      </c>
      <c r="L566" s="516">
        <v>7807</v>
      </c>
      <c r="M566" s="519">
        <v>5888</v>
      </c>
      <c r="N566" s="516">
        <v>85876</v>
      </c>
      <c r="O566" s="519">
        <v>80078</v>
      </c>
      <c r="P566" s="506">
        <f t="shared" si="239"/>
        <v>189535</v>
      </c>
      <c r="Q566" s="507">
        <f t="shared" si="240"/>
        <v>6317.833333333333</v>
      </c>
      <c r="R566" s="508">
        <f t="shared" si="241"/>
        <v>178830</v>
      </c>
      <c r="S566" s="509">
        <f t="shared" si="242"/>
        <v>5961</v>
      </c>
      <c r="T566" s="516">
        <v>4560</v>
      </c>
      <c r="U566" s="519">
        <v>6203</v>
      </c>
      <c r="V566" s="506">
        <f t="shared" si="243"/>
        <v>189535</v>
      </c>
      <c r="W566" s="510">
        <f t="shared" si="244"/>
        <v>178830</v>
      </c>
      <c r="X566" s="517">
        <v>23823</v>
      </c>
      <c r="Y566" s="519">
        <v>6814</v>
      </c>
      <c r="Z566" s="516">
        <v>18475</v>
      </c>
      <c r="AA566" s="519">
        <v>20380</v>
      </c>
      <c r="AB566" s="516">
        <v>21435</v>
      </c>
      <c r="AC566" s="519">
        <v>25910</v>
      </c>
      <c r="AD566" s="516">
        <v>9747</v>
      </c>
      <c r="AE566" s="618">
        <v>14670</v>
      </c>
      <c r="AF566" s="506">
        <f t="shared" si="245"/>
        <v>73480</v>
      </c>
      <c r="AG566" s="507">
        <f t="shared" si="246"/>
        <v>81.644444444444446</v>
      </c>
      <c r="AH566" s="508">
        <f t="shared" si="247"/>
        <v>67774</v>
      </c>
      <c r="AI566" s="508">
        <f t="shared" si="248"/>
        <v>75.304444444444442</v>
      </c>
      <c r="AJ566" s="516"/>
      <c r="AK566" s="519"/>
      <c r="AL566" s="506">
        <f t="shared" si="249"/>
        <v>0</v>
      </c>
      <c r="AM566" s="509">
        <f t="shared" si="250"/>
        <v>0</v>
      </c>
      <c r="AN566" s="518"/>
      <c r="AO566" s="520"/>
      <c r="AP566" s="516"/>
      <c r="AQ566" s="520"/>
      <c r="AR566" s="516"/>
      <c r="AS566" s="520"/>
      <c r="AT566" s="516"/>
      <c r="AU566" s="520"/>
      <c r="AV566" s="506">
        <f t="shared" si="251"/>
        <v>0</v>
      </c>
      <c r="AW566" s="511">
        <f t="shared" si="252"/>
        <v>0</v>
      </c>
      <c r="AX566" s="508">
        <f t="shared" si="253"/>
        <v>0</v>
      </c>
      <c r="AY566" s="512">
        <f t="shared" si="254"/>
        <v>0</v>
      </c>
      <c r="AZ566" s="513">
        <f t="shared" si="255"/>
        <v>6399.4777777777772</v>
      </c>
      <c r="BA566" s="508">
        <f t="shared" si="256"/>
        <v>6036.304444444444</v>
      </c>
    </row>
    <row r="567" spans="1:53">
      <c r="A567" s="594" t="s">
        <v>533</v>
      </c>
      <c r="B567" s="595" t="s">
        <v>586</v>
      </c>
      <c r="C567" s="598"/>
      <c r="D567" s="663">
        <v>227182</v>
      </c>
      <c r="E567" s="671">
        <v>8</v>
      </c>
      <c r="F567" s="514" t="s">
        <v>41</v>
      </c>
      <c r="G567" s="515" t="s">
        <v>41</v>
      </c>
      <c r="H567" s="516">
        <v>480156</v>
      </c>
      <c r="I567" s="519">
        <v>511892</v>
      </c>
      <c r="J567" s="516">
        <v>222911</v>
      </c>
      <c r="K567" s="519">
        <v>236690</v>
      </c>
      <c r="L567" s="516">
        <v>0</v>
      </c>
      <c r="M567" s="519">
        <v>0</v>
      </c>
      <c r="N567" s="516">
        <v>450754</v>
      </c>
      <c r="O567" s="519">
        <v>480347</v>
      </c>
      <c r="P567" s="506">
        <f t="shared" si="239"/>
        <v>1153821</v>
      </c>
      <c r="Q567" s="507">
        <f t="shared" si="240"/>
        <v>38460.699999999997</v>
      </c>
      <c r="R567" s="508">
        <f t="shared" si="241"/>
        <v>1228929</v>
      </c>
      <c r="S567" s="509">
        <f t="shared" si="242"/>
        <v>40964.300000000003</v>
      </c>
      <c r="T567" s="516">
        <v>59785</v>
      </c>
      <c r="U567" s="519">
        <v>48881</v>
      </c>
      <c r="V567" s="506">
        <f t="shared" si="243"/>
        <v>1153821</v>
      </c>
      <c r="W567" s="510">
        <f t="shared" si="244"/>
        <v>1228929</v>
      </c>
      <c r="X567" s="517">
        <v>118699</v>
      </c>
      <c r="Y567" s="519">
        <v>121269</v>
      </c>
      <c r="Z567" s="516">
        <v>135513</v>
      </c>
      <c r="AA567" s="519">
        <v>118951</v>
      </c>
      <c r="AB567" s="516">
        <v>109266</v>
      </c>
      <c r="AC567" s="519">
        <v>119810</v>
      </c>
      <c r="AD567" s="516">
        <v>163531</v>
      </c>
      <c r="AE567" s="618">
        <v>166108</v>
      </c>
      <c r="AF567" s="506">
        <f t="shared" si="245"/>
        <v>527009</v>
      </c>
      <c r="AG567" s="507">
        <f t="shared" si="246"/>
        <v>585.56555555555553</v>
      </c>
      <c r="AH567" s="508">
        <f t="shared" si="247"/>
        <v>526138</v>
      </c>
      <c r="AI567" s="508">
        <f t="shared" si="248"/>
        <v>584.59777777777776</v>
      </c>
      <c r="AJ567" s="516"/>
      <c r="AK567" s="519"/>
      <c r="AL567" s="506">
        <f t="shared" si="249"/>
        <v>0</v>
      </c>
      <c r="AM567" s="509">
        <f t="shared" si="250"/>
        <v>0</v>
      </c>
      <c r="AN567" s="518"/>
      <c r="AO567" s="520"/>
      <c r="AP567" s="516"/>
      <c r="AQ567" s="520"/>
      <c r="AR567" s="516"/>
      <c r="AS567" s="520"/>
      <c r="AT567" s="516"/>
      <c r="AU567" s="520"/>
      <c r="AV567" s="506">
        <f t="shared" si="251"/>
        <v>0</v>
      </c>
      <c r="AW567" s="511">
        <f t="shared" si="252"/>
        <v>0</v>
      </c>
      <c r="AX567" s="508">
        <f t="shared" si="253"/>
        <v>0</v>
      </c>
      <c r="AY567" s="512">
        <f t="shared" si="254"/>
        <v>0</v>
      </c>
      <c r="AZ567" s="513">
        <f t="shared" si="255"/>
        <v>39046.265555555554</v>
      </c>
      <c r="BA567" s="508">
        <f t="shared" si="256"/>
        <v>41548.897777777784</v>
      </c>
    </row>
    <row r="568" spans="1:53">
      <c r="A568" s="594" t="s">
        <v>533</v>
      </c>
      <c r="B568" s="641" t="s">
        <v>587</v>
      </c>
      <c r="C568" s="668"/>
      <c r="D568" s="663">
        <v>226578</v>
      </c>
      <c r="E568" s="671">
        <v>8</v>
      </c>
      <c r="F568" s="514" t="s">
        <v>41</v>
      </c>
      <c r="G568" s="515" t="s">
        <v>41</v>
      </c>
      <c r="H568" s="516">
        <v>96362</v>
      </c>
      <c r="I568" s="519">
        <v>90152</v>
      </c>
      <c r="J568" s="516">
        <v>21067</v>
      </c>
      <c r="K568" s="519">
        <v>19460</v>
      </c>
      <c r="L568" s="516">
        <v>12768</v>
      </c>
      <c r="M568" s="519">
        <v>10768</v>
      </c>
      <c r="N568" s="516">
        <v>95215</v>
      </c>
      <c r="O568" s="519">
        <v>86885</v>
      </c>
      <c r="P568" s="506">
        <f t="shared" si="239"/>
        <v>225412</v>
      </c>
      <c r="Q568" s="507">
        <f t="shared" si="240"/>
        <v>7513.7333333333336</v>
      </c>
      <c r="R568" s="508">
        <f t="shared" si="241"/>
        <v>207265</v>
      </c>
      <c r="S568" s="509">
        <f t="shared" si="242"/>
        <v>6908.833333333333</v>
      </c>
      <c r="T568" s="516">
        <v>10107</v>
      </c>
      <c r="U568" s="519">
        <v>9733</v>
      </c>
      <c r="V568" s="506">
        <f t="shared" si="243"/>
        <v>225412</v>
      </c>
      <c r="W568" s="510">
        <f t="shared" si="244"/>
        <v>207265</v>
      </c>
      <c r="X568" s="517">
        <v>41450</v>
      </c>
      <c r="Y568" s="519">
        <v>49034</v>
      </c>
      <c r="Z568" s="516">
        <v>49581</v>
      </c>
      <c r="AA568" s="519">
        <v>51392</v>
      </c>
      <c r="AB568" s="516">
        <v>55229</v>
      </c>
      <c r="AC568" s="519">
        <v>72977</v>
      </c>
      <c r="AD568" s="516">
        <v>40685</v>
      </c>
      <c r="AE568" s="618">
        <v>44422</v>
      </c>
      <c r="AF568" s="506">
        <f t="shared" si="245"/>
        <v>186945</v>
      </c>
      <c r="AG568" s="507">
        <f t="shared" si="246"/>
        <v>207.71666666666667</v>
      </c>
      <c r="AH568" s="508">
        <f t="shared" si="247"/>
        <v>217825</v>
      </c>
      <c r="AI568" s="508">
        <f t="shared" si="248"/>
        <v>242.02777777777777</v>
      </c>
      <c r="AJ568" s="516"/>
      <c r="AK568" s="519"/>
      <c r="AL568" s="506">
        <f t="shared" si="249"/>
        <v>0</v>
      </c>
      <c r="AM568" s="509">
        <f t="shared" si="250"/>
        <v>0</v>
      </c>
      <c r="AN568" s="518"/>
      <c r="AO568" s="520"/>
      <c r="AP568" s="516"/>
      <c r="AQ568" s="520"/>
      <c r="AR568" s="516"/>
      <c r="AS568" s="520"/>
      <c r="AT568" s="516"/>
      <c r="AU568" s="520"/>
      <c r="AV568" s="506">
        <f t="shared" si="251"/>
        <v>0</v>
      </c>
      <c r="AW568" s="511">
        <f t="shared" si="252"/>
        <v>0</v>
      </c>
      <c r="AX568" s="508">
        <f t="shared" si="253"/>
        <v>0</v>
      </c>
      <c r="AY568" s="512">
        <f t="shared" si="254"/>
        <v>0</v>
      </c>
      <c r="AZ568" s="513">
        <f t="shared" si="255"/>
        <v>7721.45</v>
      </c>
      <c r="BA568" s="508">
        <f t="shared" si="256"/>
        <v>7150.8611111111104</v>
      </c>
    </row>
    <row r="569" spans="1:53">
      <c r="A569" s="594" t="s">
        <v>533</v>
      </c>
      <c r="B569" s="641" t="s">
        <v>588</v>
      </c>
      <c r="C569" s="653"/>
      <c r="D569" s="667">
        <v>227146</v>
      </c>
      <c r="E569" s="672">
        <v>8</v>
      </c>
      <c r="F569" s="514" t="s">
        <v>41</v>
      </c>
      <c r="G569" s="515" t="s">
        <v>41</v>
      </c>
      <c r="H569" s="516">
        <v>105730</v>
      </c>
      <c r="I569" s="519">
        <v>101572</v>
      </c>
      <c r="J569" s="516">
        <v>27451</v>
      </c>
      <c r="K569" s="519">
        <v>23289</v>
      </c>
      <c r="L569" s="516">
        <v>10608</v>
      </c>
      <c r="M569" s="519">
        <v>9080</v>
      </c>
      <c r="N569" s="516">
        <v>102798</v>
      </c>
      <c r="O569" s="519">
        <v>99348</v>
      </c>
      <c r="P569" s="506">
        <f t="shared" si="239"/>
        <v>246587</v>
      </c>
      <c r="Q569" s="507">
        <f t="shared" si="240"/>
        <v>8219.5666666666675</v>
      </c>
      <c r="R569" s="508">
        <f t="shared" si="241"/>
        <v>233289</v>
      </c>
      <c r="S569" s="509">
        <f t="shared" si="242"/>
        <v>7776.3</v>
      </c>
      <c r="T569" s="516">
        <v>24212</v>
      </c>
      <c r="U569" s="519">
        <v>26597</v>
      </c>
      <c r="V569" s="506">
        <f t="shared" si="243"/>
        <v>246587</v>
      </c>
      <c r="W569" s="510">
        <f t="shared" si="244"/>
        <v>233289</v>
      </c>
      <c r="X569" s="517">
        <v>45820</v>
      </c>
      <c r="Y569" s="519">
        <v>46726</v>
      </c>
      <c r="Z569" s="516">
        <v>43110</v>
      </c>
      <c r="AA569" s="519">
        <v>72024</v>
      </c>
      <c r="AB569" s="516">
        <v>34504</v>
      </c>
      <c r="AC569" s="519">
        <v>64505</v>
      </c>
      <c r="AD569" s="516">
        <v>48073</v>
      </c>
      <c r="AE569" s="618">
        <v>79863</v>
      </c>
      <c r="AF569" s="506">
        <f t="shared" si="245"/>
        <v>171507</v>
      </c>
      <c r="AG569" s="507">
        <f t="shared" si="246"/>
        <v>190.56333333333333</v>
      </c>
      <c r="AH569" s="508">
        <f t="shared" si="247"/>
        <v>263118</v>
      </c>
      <c r="AI569" s="508">
        <f t="shared" si="248"/>
        <v>292.35333333333335</v>
      </c>
      <c r="AJ569" s="516"/>
      <c r="AK569" s="519"/>
      <c r="AL569" s="506">
        <f t="shared" si="249"/>
        <v>0</v>
      </c>
      <c r="AM569" s="509">
        <f t="shared" si="250"/>
        <v>0</v>
      </c>
      <c r="AN569" s="518"/>
      <c r="AO569" s="520"/>
      <c r="AP569" s="516"/>
      <c r="AQ569" s="520"/>
      <c r="AR569" s="516"/>
      <c r="AS569" s="520"/>
      <c r="AT569" s="516"/>
      <c r="AU569" s="520"/>
      <c r="AV569" s="506">
        <f t="shared" si="251"/>
        <v>0</v>
      </c>
      <c r="AW569" s="511">
        <f t="shared" si="252"/>
        <v>0</v>
      </c>
      <c r="AX569" s="508">
        <f t="shared" si="253"/>
        <v>0</v>
      </c>
      <c r="AY569" s="512">
        <f t="shared" si="254"/>
        <v>0</v>
      </c>
      <c r="AZ569" s="513">
        <f t="shared" si="255"/>
        <v>8410.130000000001</v>
      </c>
      <c r="BA569" s="508">
        <f t="shared" si="256"/>
        <v>8068.6533333333336</v>
      </c>
    </row>
    <row r="570" spans="1:53">
      <c r="A570" s="594" t="s">
        <v>533</v>
      </c>
      <c r="B570" s="645" t="s">
        <v>589</v>
      </c>
      <c r="C570" s="646"/>
      <c r="D570" s="669">
        <v>224110</v>
      </c>
      <c r="E570" s="661">
        <v>8</v>
      </c>
      <c r="F570" s="514" t="s">
        <v>41</v>
      </c>
      <c r="G570" s="515" t="s">
        <v>41</v>
      </c>
      <c r="H570" s="516">
        <v>78336</v>
      </c>
      <c r="I570" s="519">
        <v>80726</v>
      </c>
      <c r="J570" s="516">
        <v>23428</v>
      </c>
      <c r="K570" s="519">
        <v>24769</v>
      </c>
      <c r="L570" s="516">
        <v>0</v>
      </c>
      <c r="M570" s="519">
        <v>0</v>
      </c>
      <c r="N570" s="516">
        <v>84028</v>
      </c>
      <c r="O570" s="519">
        <v>87239</v>
      </c>
      <c r="P570" s="506">
        <f t="shared" si="239"/>
        <v>185792</v>
      </c>
      <c r="Q570" s="507">
        <f t="shared" si="240"/>
        <v>6193.0666666666666</v>
      </c>
      <c r="R570" s="508">
        <f t="shared" si="241"/>
        <v>192734</v>
      </c>
      <c r="S570" s="509">
        <f t="shared" si="242"/>
        <v>6424.4666666666662</v>
      </c>
      <c r="T570" s="516">
        <v>12110</v>
      </c>
      <c r="U570" s="519">
        <v>12525</v>
      </c>
      <c r="V570" s="506">
        <f t="shared" si="243"/>
        <v>185792</v>
      </c>
      <c r="W570" s="510">
        <f t="shared" si="244"/>
        <v>192734</v>
      </c>
      <c r="X570" s="517">
        <v>26115</v>
      </c>
      <c r="Y570" s="519">
        <v>17217</v>
      </c>
      <c r="Z570" s="516">
        <v>12782</v>
      </c>
      <c r="AA570" s="519">
        <v>21205</v>
      </c>
      <c r="AB570" s="516">
        <v>25929</v>
      </c>
      <c r="AC570" s="519">
        <v>20657</v>
      </c>
      <c r="AD570" s="516">
        <v>27186</v>
      </c>
      <c r="AE570" s="618">
        <v>40881</v>
      </c>
      <c r="AF570" s="506">
        <f t="shared" si="245"/>
        <v>92012</v>
      </c>
      <c r="AG570" s="507">
        <f t="shared" si="246"/>
        <v>102.23555555555555</v>
      </c>
      <c r="AH570" s="508">
        <f t="shared" si="247"/>
        <v>99960</v>
      </c>
      <c r="AI570" s="508">
        <f t="shared" si="248"/>
        <v>111.06666666666666</v>
      </c>
      <c r="AJ570" s="516"/>
      <c r="AK570" s="519"/>
      <c r="AL570" s="506">
        <f t="shared" si="249"/>
        <v>0</v>
      </c>
      <c r="AM570" s="509">
        <f t="shared" si="250"/>
        <v>0</v>
      </c>
      <c r="AN570" s="518"/>
      <c r="AO570" s="520"/>
      <c r="AP570" s="516"/>
      <c r="AQ570" s="520"/>
      <c r="AR570" s="516"/>
      <c r="AS570" s="520"/>
      <c r="AT570" s="516"/>
      <c r="AU570" s="520"/>
      <c r="AV570" s="506">
        <f t="shared" si="251"/>
        <v>0</v>
      </c>
      <c r="AW570" s="511">
        <f t="shared" si="252"/>
        <v>0</v>
      </c>
      <c r="AX570" s="508">
        <f t="shared" si="253"/>
        <v>0</v>
      </c>
      <c r="AY570" s="512">
        <f t="shared" si="254"/>
        <v>0</v>
      </c>
      <c r="AZ570" s="513">
        <f t="shared" si="255"/>
        <v>6295.3022222222226</v>
      </c>
      <c r="BA570" s="508">
        <f t="shared" si="256"/>
        <v>6535.5333333333328</v>
      </c>
    </row>
    <row r="571" spans="1:53">
      <c r="A571" s="594" t="s">
        <v>533</v>
      </c>
      <c r="B571" s="643" t="s">
        <v>590</v>
      </c>
      <c r="C571" s="643"/>
      <c r="D571" s="663">
        <v>227191</v>
      </c>
      <c r="E571" s="671">
        <v>8</v>
      </c>
      <c r="F571" s="514" t="s">
        <v>41</v>
      </c>
      <c r="G571" s="515" t="s">
        <v>41</v>
      </c>
      <c r="H571" s="516">
        <v>84041</v>
      </c>
      <c r="I571" s="519">
        <v>72889</v>
      </c>
      <c r="J571" s="516">
        <v>25036</v>
      </c>
      <c r="K571" s="519">
        <v>35796</v>
      </c>
      <c r="L571" s="516">
        <v>13256</v>
      </c>
      <c r="M571" s="519">
        <v>0</v>
      </c>
      <c r="N571" s="516">
        <v>78328</v>
      </c>
      <c r="O571" s="519">
        <v>71114</v>
      </c>
      <c r="P571" s="506">
        <f t="shared" si="239"/>
        <v>200661</v>
      </c>
      <c r="Q571" s="507">
        <f t="shared" si="240"/>
        <v>6688.7</v>
      </c>
      <c r="R571" s="508">
        <f t="shared" si="241"/>
        <v>179799</v>
      </c>
      <c r="S571" s="509">
        <f t="shared" si="242"/>
        <v>5993.3</v>
      </c>
      <c r="T571" s="516">
        <v>11886</v>
      </c>
      <c r="U571" s="519">
        <v>9722</v>
      </c>
      <c r="V571" s="506">
        <f t="shared" si="243"/>
        <v>200661</v>
      </c>
      <c r="W571" s="510">
        <f t="shared" si="244"/>
        <v>179799</v>
      </c>
      <c r="X571" s="517">
        <v>107704</v>
      </c>
      <c r="Y571" s="519">
        <v>133032</v>
      </c>
      <c r="Z571" s="516">
        <v>69304</v>
      </c>
      <c r="AA571" s="519">
        <v>65133</v>
      </c>
      <c r="AB571" s="516">
        <v>51430</v>
      </c>
      <c r="AC571" s="519">
        <v>55494</v>
      </c>
      <c r="AD571" s="516">
        <v>148816</v>
      </c>
      <c r="AE571" s="618">
        <v>151571</v>
      </c>
      <c r="AF571" s="506">
        <f t="shared" si="245"/>
        <v>377254</v>
      </c>
      <c r="AG571" s="507">
        <f t="shared" si="246"/>
        <v>419.17111111111109</v>
      </c>
      <c r="AH571" s="508">
        <f t="shared" si="247"/>
        <v>405230</v>
      </c>
      <c r="AI571" s="508">
        <f t="shared" si="248"/>
        <v>450.25555555555553</v>
      </c>
      <c r="AJ571" s="516"/>
      <c r="AK571" s="519"/>
      <c r="AL571" s="506">
        <f t="shared" si="249"/>
        <v>0</v>
      </c>
      <c r="AM571" s="509">
        <f t="shared" si="250"/>
        <v>0</v>
      </c>
      <c r="AN571" s="518"/>
      <c r="AO571" s="520"/>
      <c r="AP571" s="516"/>
      <c r="AQ571" s="520"/>
      <c r="AR571" s="516"/>
      <c r="AS571" s="520"/>
      <c r="AT571" s="516"/>
      <c r="AU571" s="520"/>
      <c r="AV571" s="506">
        <f t="shared" si="251"/>
        <v>0</v>
      </c>
      <c r="AW571" s="511">
        <f t="shared" si="252"/>
        <v>0</v>
      </c>
      <c r="AX571" s="508">
        <f t="shared" si="253"/>
        <v>0</v>
      </c>
      <c r="AY571" s="512">
        <f t="shared" si="254"/>
        <v>0</v>
      </c>
      <c r="AZ571" s="513">
        <f t="shared" si="255"/>
        <v>7107.8711111111106</v>
      </c>
      <c r="BA571" s="508">
        <f t="shared" si="256"/>
        <v>6443.5555555555557</v>
      </c>
    </row>
    <row r="572" spans="1:53">
      <c r="A572" s="594" t="s">
        <v>533</v>
      </c>
      <c r="B572" s="647" t="s">
        <v>591</v>
      </c>
      <c r="C572" s="647"/>
      <c r="D572" s="663">
        <v>420398</v>
      </c>
      <c r="E572" s="671">
        <v>8</v>
      </c>
      <c r="F572" s="514" t="s">
        <v>41</v>
      </c>
      <c r="G572" s="515" t="s">
        <v>41</v>
      </c>
      <c r="H572" s="516">
        <v>129536</v>
      </c>
      <c r="I572" s="519">
        <v>122533</v>
      </c>
      <c r="J572" s="516">
        <v>35283</v>
      </c>
      <c r="K572" s="519">
        <v>42781</v>
      </c>
      <c r="L572" s="516">
        <v>0</v>
      </c>
      <c r="M572" s="519">
        <v>0</v>
      </c>
      <c r="N572" s="516">
        <v>131155</v>
      </c>
      <c r="O572" s="519">
        <v>121878</v>
      </c>
      <c r="P572" s="506">
        <f t="shared" si="239"/>
        <v>295974</v>
      </c>
      <c r="Q572" s="507">
        <f t="shared" si="240"/>
        <v>9865.7999999999993</v>
      </c>
      <c r="R572" s="508">
        <f t="shared" si="241"/>
        <v>287192</v>
      </c>
      <c r="S572" s="509">
        <f t="shared" si="242"/>
        <v>9573.0666666666675</v>
      </c>
      <c r="T572" s="516">
        <v>22176</v>
      </c>
      <c r="U572" s="519">
        <v>24258</v>
      </c>
      <c r="V572" s="506">
        <f t="shared" si="243"/>
        <v>295974</v>
      </c>
      <c r="W572" s="510">
        <f t="shared" si="244"/>
        <v>287192</v>
      </c>
      <c r="X572" s="517">
        <v>2896</v>
      </c>
      <c r="Y572" s="519">
        <v>13092</v>
      </c>
      <c r="Z572" s="516">
        <v>4188</v>
      </c>
      <c r="AA572" s="519">
        <v>19632</v>
      </c>
      <c r="AB572" s="516">
        <v>4568</v>
      </c>
      <c r="AC572" s="519">
        <v>18354</v>
      </c>
      <c r="AD572" s="516">
        <v>23839</v>
      </c>
      <c r="AE572" s="618">
        <v>17577</v>
      </c>
      <c r="AF572" s="506">
        <f t="shared" si="245"/>
        <v>35491</v>
      </c>
      <c r="AG572" s="507">
        <f t="shared" si="246"/>
        <v>39.434444444444445</v>
      </c>
      <c r="AH572" s="508">
        <f t="shared" si="247"/>
        <v>68655</v>
      </c>
      <c r="AI572" s="508">
        <f t="shared" si="248"/>
        <v>76.283333333333331</v>
      </c>
      <c r="AJ572" s="516"/>
      <c r="AK572" s="519"/>
      <c r="AL572" s="506">
        <f t="shared" si="249"/>
        <v>0</v>
      </c>
      <c r="AM572" s="509">
        <f t="shared" si="250"/>
        <v>0</v>
      </c>
      <c r="AN572" s="518"/>
      <c r="AO572" s="520"/>
      <c r="AP572" s="516"/>
      <c r="AQ572" s="520"/>
      <c r="AR572" s="516"/>
      <c r="AS572" s="520"/>
      <c r="AT572" s="516"/>
      <c r="AU572" s="520"/>
      <c r="AV572" s="506">
        <f t="shared" si="251"/>
        <v>0</v>
      </c>
      <c r="AW572" s="511">
        <f t="shared" si="252"/>
        <v>0</v>
      </c>
      <c r="AX572" s="508">
        <f t="shared" si="253"/>
        <v>0</v>
      </c>
      <c r="AY572" s="512">
        <f t="shared" si="254"/>
        <v>0</v>
      </c>
      <c r="AZ572" s="513">
        <f t="shared" si="255"/>
        <v>9905.2344444444443</v>
      </c>
      <c r="BA572" s="508">
        <f t="shared" si="256"/>
        <v>9649.35</v>
      </c>
    </row>
    <row r="573" spans="1:53">
      <c r="A573" s="594" t="s">
        <v>533</v>
      </c>
      <c r="B573" s="647" t="s">
        <v>592</v>
      </c>
      <c r="C573" s="647"/>
      <c r="D573" s="663">
        <v>246354</v>
      </c>
      <c r="E573" s="671">
        <v>8</v>
      </c>
      <c r="F573" s="514" t="s">
        <v>41</v>
      </c>
      <c r="G573" s="515" t="s">
        <v>41</v>
      </c>
      <c r="H573" s="516">
        <v>73272</v>
      </c>
      <c r="I573" s="519">
        <v>61712</v>
      </c>
      <c r="J573" s="516">
        <v>21590</v>
      </c>
      <c r="K573" s="519">
        <v>29720</v>
      </c>
      <c r="L573" s="516">
        <v>0</v>
      </c>
      <c r="M573" s="519">
        <v>0</v>
      </c>
      <c r="N573" s="516">
        <v>71422</v>
      </c>
      <c r="O573" s="519">
        <v>56232</v>
      </c>
      <c r="P573" s="506">
        <f t="shared" si="239"/>
        <v>166284</v>
      </c>
      <c r="Q573" s="507">
        <f t="shared" si="240"/>
        <v>5542.8</v>
      </c>
      <c r="R573" s="508">
        <f t="shared" si="241"/>
        <v>147664</v>
      </c>
      <c r="S573" s="509">
        <f t="shared" si="242"/>
        <v>4922.1333333333332</v>
      </c>
      <c r="T573" s="516">
        <v>19330</v>
      </c>
      <c r="U573" s="519">
        <v>17812</v>
      </c>
      <c r="V573" s="506">
        <f t="shared" si="243"/>
        <v>166284</v>
      </c>
      <c r="W573" s="510">
        <f t="shared" si="244"/>
        <v>147664</v>
      </c>
      <c r="X573" s="517">
        <v>17725</v>
      </c>
      <c r="Y573" s="519">
        <v>29867</v>
      </c>
      <c r="Z573" s="516">
        <v>46645</v>
      </c>
      <c r="AA573" s="519">
        <v>43861</v>
      </c>
      <c r="AB573" s="516">
        <v>64301</v>
      </c>
      <c r="AC573" s="519">
        <v>38685</v>
      </c>
      <c r="AD573" s="516">
        <v>38603</v>
      </c>
      <c r="AE573" s="618">
        <v>39770</v>
      </c>
      <c r="AF573" s="506">
        <f t="shared" si="245"/>
        <v>167274</v>
      </c>
      <c r="AG573" s="507">
        <f t="shared" si="246"/>
        <v>185.86</v>
      </c>
      <c r="AH573" s="508">
        <f t="shared" si="247"/>
        <v>152183</v>
      </c>
      <c r="AI573" s="508">
        <f t="shared" si="248"/>
        <v>169.09222222222223</v>
      </c>
      <c r="AJ573" s="516"/>
      <c r="AK573" s="519"/>
      <c r="AL573" s="506">
        <f t="shared" si="249"/>
        <v>0</v>
      </c>
      <c r="AM573" s="509">
        <f t="shared" si="250"/>
        <v>0</v>
      </c>
      <c r="AN573" s="518"/>
      <c r="AO573" s="520"/>
      <c r="AP573" s="516"/>
      <c r="AQ573" s="520"/>
      <c r="AR573" s="516"/>
      <c r="AS573" s="520"/>
      <c r="AT573" s="516"/>
      <c r="AU573" s="520"/>
      <c r="AV573" s="506">
        <f t="shared" si="251"/>
        <v>0</v>
      </c>
      <c r="AW573" s="511">
        <f t="shared" si="252"/>
        <v>0</v>
      </c>
      <c r="AX573" s="508">
        <f t="shared" si="253"/>
        <v>0</v>
      </c>
      <c r="AY573" s="512">
        <f t="shared" si="254"/>
        <v>0</v>
      </c>
      <c r="AZ573" s="513">
        <f t="shared" si="255"/>
        <v>5728.66</v>
      </c>
      <c r="BA573" s="508">
        <f t="shared" si="256"/>
        <v>5091.2255555555557</v>
      </c>
    </row>
    <row r="574" spans="1:53">
      <c r="A574" s="594" t="s">
        <v>533</v>
      </c>
      <c r="B574" s="643" t="s">
        <v>593</v>
      </c>
      <c r="C574" s="643"/>
      <c r="D574" s="663">
        <v>227766</v>
      </c>
      <c r="E574" s="671">
        <v>8</v>
      </c>
      <c r="F574" s="514" t="s">
        <v>41</v>
      </c>
      <c r="G574" s="515" t="s">
        <v>41</v>
      </c>
      <c r="H574" s="516">
        <v>144325</v>
      </c>
      <c r="I574" s="519">
        <v>138926</v>
      </c>
      <c r="J574" s="516">
        <v>54328</v>
      </c>
      <c r="K574" s="519">
        <v>74330</v>
      </c>
      <c r="L574" s="516">
        <v>25301</v>
      </c>
      <c r="M574" s="519">
        <v>0</v>
      </c>
      <c r="N574" s="516">
        <v>128208</v>
      </c>
      <c r="O574" s="519">
        <v>121579</v>
      </c>
      <c r="P574" s="506">
        <f t="shared" si="239"/>
        <v>352162</v>
      </c>
      <c r="Q574" s="507">
        <f t="shared" si="240"/>
        <v>11738.733333333334</v>
      </c>
      <c r="R574" s="508">
        <f t="shared" si="241"/>
        <v>334835</v>
      </c>
      <c r="S574" s="509">
        <f t="shared" si="242"/>
        <v>11161.166666666666</v>
      </c>
      <c r="T574" s="516">
        <v>31134</v>
      </c>
      <c r="U574" s="519">
        <v>28511</v>
      </c>
      <c r="V574" s="506">
        <f t="shared" si="243"/>
        <v>352162</v>
      </c>
      <c r="W574" s="510">
        <f t="shared" si="244"/>
        <v>334835</v>
      </c>
      <c r="X574" s="517">
        <v>156660</v>
      </c>
      <c r="Y574" s="519">
        <v>145147</v>
      </c>
      <c r="Z574" s="516">
        <v>166508</v>
      </c>
      <c r="AA574" s="519">
        <v>159561</v>
      </c>
      <c r="AB574" s="516">
        <v>162617</v>
      </c>
      <c r="AC574" s="519">
        <v>149706</v>
      </c>
      <c r="AD574" s="516">
        <v>214981</v>
      </c>
      <c r="AE574" s="618">
        <v>187345</v>
      </c>
      <c r="AF574" s="506">
        <f t="shared" si="245"/>
        <v>700766</v>
      </c>
      <c r="AG574" s="507">
        <f t="shared" si="246"/>
        <v>778.62888888888892</v>
      </c>
      <c r="AH574" s="508">
        <f t="shared" si="247"/>
        <v>641759</v>
      </c>
      <c r="AI574" s="508">
        <f t="shared" si="248"/>
        <v>713.06555555555553</v>
      </c>
      <c r="AJ574" s="516"/>
      <c r="AK574" s="519"/>
      <c r="AL574" s="506">
        <f t="shared" si="249"/>
        <v>0</v>
      </c>
      <c r="AM574" s="509">
        <f t="shared" si="250"/>
        <v>0</v>
      </c>
      <c r="AN574" s="518"/>
      <c r="AO574" s="520"/>
      <c r="AP574" s="516"/>
      <c r="AQ574" s="520"/>
      <c r="AR574" s="516"/>
      <c r="AS574" s="520"/>
      <c r="AT574" s="516"/>
      <c r="AU574" s="520"/>
      <c r="AV574" s="506">
        <f t="shared" si="251"/>
        <v>0</v>
      </c>
      <c r="AW574" s="511">
        <f t="shared" si="252"/>
        <v>0</v>
      </c>
      <c r="AX574" s="508">
        <f t="shared" si="253"/>
        <v>0</v>
      </c>
      <c r="AY574" s="512">
        <f t="shared" si="254"/>
        <v>0</v>
      </c>
      <c r="AZ574" s="513">
        <f t="shared" si="255"/>
        <v>12517.362222222222</v>
      </c>
      <c r="BA574" s="508">
        <f t="shared" si="256"/>
        <v>11874.232222222221</v>
      </c>
    </row>
    <row r="575" spans="1:53">
      <c r="A575" s="597" t="s">
        <v>533</v>
      </c>
      <c r="B575" s="647" t="s">
        <v>594</v>
      </c>
      <c r="C575" s="647"/>
      <c r="D575" s="663">
        <v>227924</v>
      </c>
      <c r="E575" s="671">
        <v>8</v>
      </c>
      <c r="F575" s="514" t="s">
        <v>41</v>
      </c>
      <c r="G575" s="515" t="s">
        <v>41</v>
      </c>
      <c r="H575" s="516">
        <v>224466</v>
      </c>
      <c r="I575" s="519">
        <v>194741</v>
      </c>
      <c r="J575" s="516">
        <v>58381</v>
      </c>
      <c r="K575" s="519">
        <v>80080</v>
      </c>
      <c r="L575" s="516">
        <v>0</v>
      </c>
      <c r="M575" s="519">
        <v>0</v>
      </c>
      <c r="N575" s="516">
        <v>215717</v>
      </c>
      <c r="O575" s="519">
        <v>173733</v>
      </c>
      <c r="P575" s="506">
        <f t="shared" si="239"/>
        <v>498564</v>
      </c>
      <c r="Q575" s="507">
        <f t="shared" si="240"/>
        <v>16618.8</v>
      </c>
      <c r="R575" s="508">
        <f t="shared" si="241"/>
        <v>448554</v>
      </c>
      <c r="S575" s="509">
        <f t="shared" si="242"/>
        <v>14951.8</v>
      </c>
      <c r="T575" s="516">
        <v>21087</v>
      </c>
      <c r="U575" s="519">
        <v>24660</v>
      </c>
      <c r="V575" s="506">
        <f t="shared" si="243"/>
        <v>498564</v>
      </c>
      <c r="W575" s="510">
        <f t="shared" si="244"/>
        <v>448554</v>
      </c>
      <c r="X575" s="517">
        <v>82479</v>
      </c>
      <c r="Y575" s="519">
        <v>60485</v>
      </c>
      <c r="Z575" s="516">
        <v>70520</v>
      </c>
      <c r="AA575" s="519">
        <v>68378</v>
      </c>
      <c r="AB575" s="516">
        <v>92068</v>
      </c>
      <c r="AC575" s="519">
        <v>61839</v>
      </c>
      <c r="AD575" s="516">
        <v>88207</v>
      </c>
      <c r="AE575" s="519">
        <v>67474</v>
      </c>
      <c r="AF575" s="506">
        <f t="shared" si="245"/>
        <v>333274</v>
      </c>
      <c r="AG575" s="507">
        <f t="shared" si="246"/>
        <v>370.30444444444447</v>
      </c>
      <c r="AH575" s="508">
        <f t="shared" si="247"/>
        <v>258176</v>
      </c>
      <c r="AI575" s="508">
        <f t="shared" si="248"/>
        <v>286.86222222222221</v>
      </c>
      <c r="AJ575" s="516"/>
      <c r="AK575" s="519"/>
      <c r="AL575" s="506">
        <f t="shared" si="249"/>
        <v>0</v>
      </c>
      <c r="AM575" s="509">
        <f t="shared" si="250"/>
        <v>0</v>
      </c>
      <c r="AN575" s="518"/>
      <c r="AO575" s="520"/>
      <c r="AP575" s="516"/>
      <c r="AQ575" s="520"/>
      <c r="AR575" s="516"/>
      <c r="AS575" s="520"/>
      <c r="AT575" s="516"/>
      <c r="AU575" s="520"/>
      <c r="AV575" s="506">
        <f t="shared" si="251"/>
        <v>0</v>
      </c>
      <c r="AW575" s="511">
        <f t="shared" si="252"/>
        <v>0</v>
      </c>
      <c r="AX575" s="508">
        <f t="shared" si="253"/>
        <v>0</v>
      </c>
      <c r="AY575" s="512">
        <f t="shared" si="254"/>
        <v>0</v>
      </c>
      <c r="AZ575" s="513">
        <f t="shared" si="255"/>
        <v>16989.104444444445</v>
      </c>
      <c r="BA575" s="508">
        <f t="shared" si="256"/>
        <v>15238.662222222221</v>
      </c>
    </row>
    <row r="576" spans="1:53">
      <c r="A576" s="597" t="s">
        <v>533</v>
      </c>
      <c r="B576" s="641" t="s">
        <v>595</v>
      </c>
      <c r="C576" s="641"/>
      <c r="D576" s="663">
        <v>227979</v>
      </c>
      <c r="E576" s="671">
        <v>8</v>
      </c>
      <c r="F576" s="514" t="s">
        <v>41</v>
      </c>
      <c r="G576" s="515" t="s">
        <v>41</v>
      </c>
      <c r="H576" s="516">
        <v>250133</v>
      </c>
      <c r="I576" s="519">
        <v>243654</v>
      </c>
      <c r="J576" s="516">
        <v>101702</v>
      </c>
      <c r="K576" s="519">
        <v>97992</v>
      </c>
      <c r="L576" s="516">
        <v>0</v>
      </c>
      <c r="M576" s="519">
        <v>0</v>
      </c>
      <c r="N576" s="516">
        <v>248562</v>
      </c>
      <c r="O576" s="519">
        <v>239886</v>
      </c>
      <c r="P576" s="506">
        <f t="shared" si="239"/>
        <v>600397</v>
      </c>
      <c r="Q576" s="507">
        <f t="shared" si="240"/>
        <v>20013.233333333334</v>
      </c>
      <c r="R576" s="508">
        <f t="shared" si="241"/>
        <v>581532</v>
      </c>
      <c r="S576" s="509">
        <f t="shared" si="242"/>
        <v>19384.400000000001</v>
      </c>
      <c r="T576" s="516">
        <v>29013</v>
      </c>
      <c r="U576" s="519">
        <v>27542</v>
      </c>
      <c r="V576" s="506">
        <f t="shared" si="243"/>
        <v>600397</v>
      </c>
      <c r="W576" s="510">
        <f t="shared" si="244"/>
        <v>581532</v>
      </c>
      <c r="X576" s="517">
        <v>105120</v>
      </c>
      <c r="Y576" s="519">
        <v>114638</v>
      </c>
      <c r="Z576" s="516">
        <v>67954</v>
      </c>
      <c r="AA576" s="519">
        <v>87047</v>
      </c>
      <c r="AB576" s="516">
        <v>104067</v>
      </c>
      <c r="AC576" s="519">
        <v>107091</v>
      </c>
      <c r="AD576" s="516">
        <v>124522</v>
      </c>
      <c r="AE576" s="519">
        <v>125221</v>
      </c>
      <c r="AF576" s="506">
        <f t="shared" si="245"/>
        <v>401663</v>
      </c>
      <c r="AG576" s="507">
        <f t="shared" si="246"/>
        <v>446.29222222222222</v>
      </c>
      <c r="AH576" s="508">
        <f t="shared" si="247"/>
        <v>433997</v>
      </c>
      <c r="AI576" s="508">
        <f t="shared" si="248"/>
        <v>482.2188888888889</v>
      </c>
      <c r="AJ576" s="516"/>
      <c r="AK576" s="519"/>
      <c r="AL576" s="506">
        <f t="shared" si="249"/>
        <v>0</v>
      </c>
      <c r="AM576" s="509">
        <f t="shared" si="250"/>
        <v>0</v>
      </c>
      <c r="AN576" s="518"/>
      <c r="AO576" s="520"/>
      <c r="AP576" s="516"/>
      <c r="AQ576" s="520"/>
      <c r="AR576" s="516"/>
      <c r="AS576" s="520"/>
      <c r="AT576" s="516"/>
      <c r="AU576" s="520"/>
      <c r="AV576" s="506">
        <f t="shared" si="251"/>
        <v>0</v>
      </c>
      <c r="AW576" s="511">
        <f t="shared" si="252"/>
        <v>0</v>
      </c>
      <c r="AX576" s="508">
        <f t="shared" si="253"/>
        <v>0</v>
      </c>
      <c r="AY576" s="512">
        <f t="shared" si="254"/>
        <v>0</v>
      </c>
      <c r="AZ576" s="513">
        <f t="shared" si="255"/>
        <v>20459.525555555556</v>
      </c>
      <c r="BA576" s="508">
        <f t="shared" si="256"/>
        <v>19866.61888888889</v>
      </c>
    </row>
    <row r="577" spans="1:53">
      <c r="A577" s="597" t="s">
        <v>533</v>
      </c>
      <c r="B577" s="641" t="s">
        <v>596</v>
      </c>
      <c r="C577" s="641"/>
      <c r="D577" s="663">
        <v>228158</v>
      </c>
      <c r="E577" s="671">
        <v>8</v>
      </c>
      <c r="F577" s="514" t="s">
        <v>41</v>
      </c>
      <c r="G577" s="515" t="s">
        <v>41</v>
      </c>
      <c r="H577" s="516">
        <v>96525</v>
      </c>
      <c r="I577" s="519">
        <v>92667</v>
      </c>
      <c r="J577" s="516">
        <v>14831</v>
      </c>
      <c r="K577" s="519">
        <v>13135</v>
      </c>
      <c r="L577" s="516">
        <v>7200</v>
      </c>
      <c r="M577" s="519">
        <v>6727</v>
      </c>
      <c r="N577" s="516">
        <v>100587</v>
      </c>
      <c r="O577" s="519">
        <v>93993</v>
      </c>
      <c r="P577" s="506">
        <f t="shared" si="239"/>
        <v>219143</v>
      </c>
      <c r="Q577" s="507">
        <f t="shared" si="240"/>
        <v>7304.7666666666664</v>
      </c>
      <c r="R577" s="508">
        <f t="shared" si="241"/>
        <v>206522</v>
      </c>
      <c r="S577" s="509">
        <f t="shared" si="242"/>
        <v>6884.0666666666666</v>
      </c>
      <c r="T577" s="516">
        <v>20907</v>
      </c>
      <c r="U577" s="519">
        <v>20797</v>
      </c>
      <c r="V577" s="506">
        <f t="shared" si="243"/>
        <v>219143</v>
      </c>
      <c r="W577" s="510">
        <f t="shared" si="244"/>
        <v>206522</v>
      </c>
      <c r="X577" s="517">
        <v>69321</v>
      </c>
      <c r="Y577" s="519">
        <v>46052</v>
      </c>
      <c r="Z577" s="516">
        <v>67577</v>
      </c>
      <c r="AA577" s="519">
        <v>41812</v>
      </c>
      <c r="AB577" s="516">
        <v>57993</v>
      </c>
      <c r="AC577" s="519">
        <v>36285</v>
      </c>
      <c r="AD577" s="516">
        <v>64771</v>
      </c>
      <c r="AE577" s="519">
        <v>47490</v>
      </c>
      <c r="AF577" s="506">
        <f t="shared" si="245"/>
        <v>259662</v>
      </c>
      <c r="AG577" s="507">
        <f t="shared" si="246"/>
        <v>288.51333333333332</v>
      </c>
      <c r="AH577" s="508">
        <f t="shared" si="247"/>
        <v>171639</v>
      </c>
      <c r="AI577" s="508">
        <f t="shared" si="248"/>
        <v>190.71</v>
      </c>
      <c r="AJ577" s="516"/>
      <c r="AK577" s="519"/>
      <c r="AL577" s="506">
        <f t="shared" si="249"/>
        <v>0</v>
      </c>
      <c r="AM577" s="509">
        <f t="shared" si="250"/>
        <v>0</v>
      </c>
      <c r="AN577" s="518"/>
      <c r="AO577" s="520"/>
      <c r="AP577" s="516"/>
      <c r="AQ577" s="520"/>
      <c r="AR577" s="516"/>
      <c r="AS577" s="520"/>
      <c r="AT577" s="516"/>
      <c r="AU577" s="520"/>
      <c r="AV577" s="506">
        <f t="shared" si="251"/>
        <v>0</v>
      </c>
      <c r="AW577" s="511">
        <f t="shared" si="252"/>
        <v>0</v>
      </c>
      <c r="AX577" s="508">
        <f t="shared" si="253"/>
        <v>0</v>
      </c>
      <c r="AY577" s="512">
        <f t="shared" si="254"/>
        <v>0</v>
      </c>
      <c r="AZ577" s="513">
        <f t="shared" si="255"/>
        <v>7593.28</v>
      </c>
      <c r="BA577" s="508">
        <f t="shared" si="256"/>
        <v>7074.7766666666666</v>
      </c>
    </row>
    <row r="578" spans="1:53">
      <c r="A578" s="597" t="s">
        <v>533</v>
      </c>
      <c r="B578" s="647" t="s">
        <v>597</v>
      </c>
      <c r="C578" s="647"/>
      <c r="D578" s="663">
        <v>227854</v>
      </c>
      <c r="E578" s="671">
        <v>8</v>
      </c>
      <c r="F578" s="514" t="s">
        <v>41</v>
      </c>
      <c r="G578" s="515" t="s">
        <v>41</v>
      </c>
      <c r="H578" s="516">
        <v>92273</v>
      </c>
      <c r="I578" s="519">
        <v>79277</v>
      </c>
      <c r="J578" s="516">
        <v>26904</v>
      </c>
      <c r="K578" s="519">
        <v>32230</v>
      </c>
      <c r="L578" s="516">
        <v>0</v>
      </c>
      <c r="M578" s="519">
        <v>0</v>
      </c>
      <c r="N578" s="516">
        <v>79404</v>
      </c>
      <c r="O578" s="519">
        <v>67797</v>
      </c>
      <c r="P578" s="506">
        <f t="shared" si="239"/>
        <v>198581</v>
      </c>
      <c r="Q578" s="507">
        <f t="shared" si="240"/>
        <v>6619.3666666666668</v>
      </c>
      <c r="R578" s="508">
        <f t="shared" si="241"/>
        <v>179304</v>
      </c>
      <c r="S578" s="509">
        <f t="shared" si="242"/>
        <v>5976.8</v>
      </c>
      <c r="T578" s="516">
        <v>16473</v>
      </c>
      <c r="U578" s="519">
        <v>17143</v>
      </c>
      <c r="V578" s="506">
        <f t="shared" si="243"/>
        <v>198581</v>
      </c>
      <c r="W578" s="510">
        <f t="shared" si="244"/>
        <v>179304</v>
      </c>
      <c r="X578" s="517">
        <v>27166</v>
      </c>
      <c r="Y578" s="519">
        <v>27776</v>
      </c>
      <c r="Z578" s="516">
        <v>28144</v>
      </c>
      <c r="AA578" s="519">
        <v>23397</v>
      </c>
      <c r="AB578" s="516">
        <v>32469</v>
      </c>
      <c r="AC578" s="519">
        <v>24089</v>
      </c>
      <c r="AD578" s="516">
        <v>25235</v>
      </c>
      <c r="AE578" s="519">
        <v>27828</v>
      </c>
      <c r="AF578" s="506">
        <f t="shared" si="245"/>
        <v>113014</v>
      </c>
      <c r="AG578" s="507">
        <f t="shared" si="246"/>
        <v>125.57111111111111</v>
      </c>
      <c r="AH578" s="508">
        <f t="shared" si="247"/>
        <v>103090</v>
      </c>
      <c r="AI578" s="508">
        <f t="shared" si="248"/>
        <v>114.54444444444445</v>
      </c>
      <c r="AJ578" s="516"/>
      <c r="AK578" s="519"/>
      <c r="AL578" s="506">
        <f t="shared" si="249"/>
        <v>0</v>
      </c>
      <c r="AM578" s="509">
        <f t="shared" si="250"/>
        <v>0</v>
      </c>
      <c r="AN578" s="518"/>
      <c r="AO578" s="520"/>
      <c r="AP578" s="516"/>
      <c r="AQ578" s="520"/>
      <c r="AR578" s="516"/>
      <c r="AS578" s="520"/>
      <c r="AT578" s="516"/>
      <c r="AU578" s="520"/>
      <c r="AV578" s="506">
        <f t="shared" si="251"/>
        <v>0</v>
      </c>
      <c r="AW578" s="511">
        <f t="shared" si="252"/>
        <v>0</v>
      </c>
      <c r="AX578" s="508">
        <f t="shared" si="253"/>
        <v>0</v>
      </c>
      <c r="AY578" s="512">
        <f t="shared" si="254"/>
        <v>0</v>
      </c>
      <c r="AZ578" s="513">
        <f t="shared" si="255"/>
        <v>6744.9377777777781</v>
      </c>
      <c r="BA578" s="508">
        <f t="shared" si="256"/>
        <v>6091.3444444444449</v>
      </c>
    </row>
    <row r="579" spans="1:53">
      <c r="A579" s="597" t="s">
        <v>533</v>
      </c>
      <c r="B579" s="641" t="s">
        <v>598</v>
      </c>
      <c r="C579" s="668"/>
      <c r="D579" s="663">
        <v>228547</v>
      </c>
      <c r="E579" s="671">
        <v>8</v>
      </c>
      <c r="F579" s="514" t="s">
        <v>41</v>
      </c>
      <c r="G579" s="515" t="s">
        <v>41</v>
      </c>
      <c r="H579" s="516">
        <v>413090</v>
      </c>
      <c r="I579" s="519">
        <v>412815</v>
      </c>
      <c r="J579" s="516">
        <v>182747</v>
      </c>
      <c r="K579" s="519">
        <v>184871</v>
      </c>
      <c r="L579" s="516">
        <v>0</v>
      </c>
      <c r="M579" s="519">
        <v>0</v>
      </c>
      <c r="N579" s="516">
        <v>376822</v>
      </c>
      <c r="O579" s="519">
        <v>375569</v>
      </c>
      <c r="P579" s="506">
        <f t="shared" si="239"/>
        <v>972659</v>
      </c>
      <c r="Q579" s="507">
        <f t="shared" si="240"/>
        <v>32421.966666666667</v>
      </c>
      <c r="R579" s="508">
        <f t="shared" si="241"/>
        <v>973255</v>
      </c>
      <c r="S579" s="509">
        <f t="shared" si="242"/>
        <v>32441.833333333332</v>
      </c>
      <c r="T579" s="516">
        <v>38347</v>
      </c>
      <c r="U579" s="519">
        <v>43245</v>
      </c>
      <c r="V579" s="506">
        <f t="shared" si="243"/>
        <v>972659</v>
      </c>
      <c r="W579" s="510">
        <f t="shared" si="244"/>
        <v>973255</v>
      </c>
      <c r="X579" s="517">
        <v>183087</v>
      </c>
      <c r="Y579" s="519">
        <v>183936</v>
      </c>
      <c r="Z579" s="516">
        <v>201121</v>
      </c>
      <c r="AA579" s="519">
        <v>212788</v>
      </c>
      <c r="AB579" s="516">
        <v>216806</v>
      </c>
      <c r="AC579" s="519">
        <v>201120</v>
      </c>
      <c r="AD579" s="516">
        <v>269126</v>
      </c>
      <c r="AE579" s="519">
        <v>203654</v>
      </c>
      <c r="AF579" s="506">
        <f t="shared" si="245"/>
        <v>870140</v>
      </c>
      <c r="AG579" s="507">
        <f t="shared" si="246"/>
        <v>966.82222222222219</v>
      </c>
      <c r="AH579" s="508">
        <f t="shared" si="247"/>
        <v>801498</v>
      </c>
      <c r="AI579" s="508">
        <f t="shared" si="248"/>
        <v>890.55333333333328</v>
      </c>
      <c r="AJ579" s="516"/>
      <c r="AK579" s="519"/>
      <c r="AL579" s="506">
        <f t="shared" si="249"/>
        <v>0</v>
      </c>
      <c r="AM579" s="509">
        <f t="shared" si="250"/>
        <v>0</v>
      </c>
      <c r="AN579" s="518"/>
      <c r="AO579" s="520"/>
      <c r="AP579" s="516"/>
      <c r="AQ579" s="520"/>
      <c r="AR579" s="516"/>
      <c r="AS579" s="520"/>
      <c r="AT579" s="516"/>
      <c r="AU579" s="520"/>
      <c r="AV579" s="506">
        <f t="shared" si="251"/>
        <v>0</v>
      </c>
      <c r="AW579" s="511">
        <f t="shared" si="252"/>
        <v>0</v>
      </c>
      <c r="AX579" s="508">
        <f t="shared" si="253"/>
        <v>0</v>
      </c>
      <c r="AY579" s="512">
        <f t="shared" si="254"/>
        <v>0</v>
      </c>
      <c r="AZ579" s="513">
        <f t="shared" si="255"/>
        <v>33388.788888888892</v>
      </c>
      <c r="BA579" s="508">
        <f t="shared" si="256"/>
        <v>33332.386666666665</v>
      </c>
    </row>
    <row r="580" spans="1:53">
      <c r="A580" s="597" t="s">
        <v>533</v>
      </c>
      <c r="B580" s="641" t="s">
        <v>599</v>
      </c>
      <c r="C580" s="668" t="s">
        <v>650</v>
      </c>
      <c r="D580" s="663">
        <v>229072</v>
      </c>
      <c r="E580" s="671">
        <v>8</v>
      </c>
      <c r="F580" s="514" t="s">
        <v>41</v>
      </c>
      <c r="G580" s="515" t="s">
        <v>41</v>
      </c>
      <c r="H580" s="516">
        <v>84962</v>
      </c>
      <c r="I580" s="519">
        <v>83414</v>
      </c>
      <c r="J580" s="516">
        <v>15022</v>
      </c>
      <c r="K580" s="519">
        <v>3474</v>
      </c>
      <c r="L580" s="516">
        <v>9845</v>
      </c>
      <c r="M580" s="519">
        <v>2468</v>
      </c>
      <c r="N580" s="516">
        <v>83537</v>
      </c>
      <c r="O580" s="519">
        <v>47676</v>
      </c>
      <c r="P580" s="506">
        <f t="shared" si="239"/>
        <v>193366</v>
      </c>
      <c r="Q580" s="507">
        <f t="shared" si="240"/>
        <v>6445.5333333333338</v>
      </c>
      <c r="R580" s="508">
        <f t="shared" si="241"/>
        <v>137032</v>
      </c>
      <c r="S580" s="509">
        <f t="shared" si="242"/>
        <v>4567.7333333333336</v>
      </c>
      <c r="T580" s="516">
        <v>9151</v>
      </c>
      <c r="U580" s="519">
        <v>11532</v>
      </c>
      <c r="V580" s="506">
        <f t="shared" si="243"/>
        <v>193366</v>
      </c>
      <c r="W580" s="510">
        <f t="shared" si="244"/>
        <v>137032</v>
      </c>
      <c r="X580" s="517">
        <v>43101</v>
      </c>
      <c r="Y580" s="519">
        <v>23955</v>
      </c>
      <c r="Z580" s="516">
        <v>18091</v>
      </c>
      <c r="AA580" s="519">
        <v>19478</v>
      </c>
      <c r="AB580" s="516">
        <v>26558</v>
      </c>
      <c r="AC580" s="519">
        <v>24460</v>
      </c>
      <c r="AD580" s="516">
        <v>19882</v>
      </c>
      <c r="AE580" s="519">
        <v>34328</v>
      </c>
      <c r="AF580" s="506">
        <f t="shared" si="245"/>
        <v>107632</v>
      </c>
      <c r="AG580" s="507">
        <f t="shared" si="246"/>
        <v>119.5911111111111</v>
      </c>
      <c r="AH580" s="508">
        <f t="shared" si="247"/>
        <v>102221</v>
      </c>
      <c r="AI580" s="508">
        <f t="shared" si="248"/>
        <v>113.57888888888888</v>
      </c>
      <c r="AJ580" s="516"/>
      <c r="AK580" s="519"/>
      <c r="AL580" s="506">
        <f t="shared" si="249"/>
        <v>0</v>
      </c>
      <c r="AM580" s="509">
        <f t="shared" si="250"/>
        <v>0</v>
      </c>
      <c r="AN580" s="518"/>
      <c r="AO580" s="520"/>
      <c r="AP580" s="516"/>
      <c r="AQ580" s="520"/>
      <c r="AR580" s="516"/>
      <c r="AS580" s="520"/>
      <c r="AT580" s="516"/>
      <c r="AU580" s="520"/>
      <c r="AV580" s="506">
        <f t="shared" si="251"/>
        <v>0</v>
      </c>
      <c r="AW580" s="511">
        <f t="shared" si="252"/>
        <v>0</v>
      </c>
      <c r="AX580" s="508">
        <f t="shared" si="253"/>
        <v>0</v>
      </c>
      <c r="AY580" s="512">
        <f t="shared" si="254"/>
        <v>0</v>
      </c>
      <c r="AZ580" s="513">
        <f t="shared" si="255"/>
        <v>6565.1244444444446</v>
      </c>
      <c r="BA580" s="508">
        <f t="shared" si="256"/>
        <v>4681.3122222222228</v>
      </c>
    </row>
    <row r="581" spans="1:53">
      <c r="A581" s="597" t="s">
        <v>533</v>
      </c>
      <c r="B581" s="595" t="s">
        <v>600</v>
      </c>
      <c r="C581" s="668" t="s">
        <v>650</v>
      </c>
      <c r="D581" s="663">
        <v>228680</v>
      </c>
      <c r="E581" s="661">
        <v>8</v>
      </c>
      <c r="F581" s="514" t="s">
        <v>41</v>
      </c>
      <c r="G581" s="515" t="s">
        <v>41</v>
      </c>
      <c r="H581" s="516">
        <v>57861</v>
      </c>
      <c r="I581" s="519">
        <v>51230</v>
      </c>
      <c r="J581" s="516">
        <v>39433</v>
      </c>
      <c r="K581" s="519">
        <v>33936</v>
      </c>
      <c r="L581" s="516">
        <v>0</v>
      </c>
      <c r="M581" s="519"/>
      <c r="N581" s="516">
        <v>55502</v>
      </c>
      <c r="O581" s="519">
        <v>49739</v>
      </c>
      <c r="P581" s="506">
        <f t="shared" si="239"/>
        <v>152796</v>
      </c>
      <c r="Q581" s="507">
        <f t="shared" si="240"/>
        <v>5093.2</v>
      </c>
      <c r="R581" s="508">
        <f t="shared" si="241"/>
        <v>134905</v>
      </c>
      <c r="S581" s="509">
        <f t="shared" si="242"/>
        <v>4496.833333333333</v>
      </c>
      <c r="T581" s="516">
        <v>4369</v>
      </c>
      <c r="U581" s="519">
        <v>4021</v>
      </c>
      <c r="V581" s="506">
        <f t="shared" si="243"/>
        <v>152796</v>
      </c>
      <c r="W581" s="510">
        <f t="shared" si="244"/>
        <v>134905</v>
      </c>
      <c r="X581" s="517">
        <v>3404</v>
      </c>
      <c r="Y581" s="519">
        <v>868</v>
      </c>
      <c r="Z581" s="516">
        <v>3160</v>
      </c>
      <c r="AA581" s="519">
        <v>0</v>
      </c>
      <c r="AB581" s="516">
        <v>1120</v>
      </c>
      <c r="AC581" s="519">
        <v>0</v>
      </c>
      <c r="AD581" s="516">
        <v>1439</v>
      </c>
      <c r="AE581" s="519">
        <v>0</v>
      </c>
      <c r="AF581" s="506">
        <f t="shared" si="245"/>
        <v>9123</v>
      </c>
      <c r="AG581" s="507">
        <f t="shared" si="246"/>
        <v>10.136666666666667</v>
      </c>
      <c r="AH581" s="508">
        <f t="shared" si="247"/>
        <v>868</v>
      </c>
      <c r="AI581" s="508">
        <f t="shared" si="248"/>
        <v>0.96444444444444444</v>
      </c>
      <c r="AJ581" s="516"/>
      <c r="AK581" s="519"/>
      <c r="AL581" s="506">
        <f t="shared" si="249"/>
        <v>0</v>
      </c>
      <c r="AM581" s="509">
        <f t="shared" si="250"/>
        <v>0</v>
      </c>
      <c r="AN581" s="518"/>
      <c r="AO581" s="520"/>
      <c r="AP581" s="516"/>
      <c r="AQ581" s="520"/>
      <c r="AR581" s="516"/>
      <c r="AS581" s="520"/>
      <c r="AT581" s="516"/>
      <c r="AU581" s="520"/>
      <c r="AV581" s="506">
        <f t="shared" si="251"/>
        <v>0</v>
      </c>
      <c r="AW581" s="511">
        <f t="shared" si="252"/>
        <v>0</v>
      </c>
      <c r="AX581" s="508">
        <f t="shared" si="253"/>
        <v>0</v>
      </c>
      <c r="AY581" s="512">
        <f t="shared" si="254"/>
        <v>0</v>
      </c>
      <c r="AZ581" s="513">
        <f t="shared" si="255"/>
        <v>5103.3366666666661</v>
      </c>
      <c r="BA581" s="508">
        <f t="shared" si="256"/>
        <v>4497.7977777777778</v>
      </c>
    </row>
    <row r="582" spans="1:53">
      <c r="A582" s="597" t="s">
        <v>533</v>
      </c>
      <c r="B582" s="595" t="s">
        <v>601</v>
      </c>
      <c r="C582" s="639"/>
      <c r="D582" s="663">
        <v>225308</v>
      </c>
      <c r="E582" s="661">
        <v>8</v>
      </c>
      <c r="F582" s="514" t="s">
        <v>41</v>
      </c>
      <c r="G582" s="515" t="s">
        <v>41</v>
      </c>
      <c r="H582" s="516">
        <v>71262</v>
      </c>
      <c r="I582" s="519">
        <v>64060</v>
      </c>
      <c r="J582" s="516">
        <v>16884</v>
      </c>
      <c r="K582" s="519">
        <v>13908</v>
      </c>
      <c r="L582" s="516">
        <v>10374</v>
      </c>
      <c r="M582" s="519">
        <v>11849</v>
      </c>
      <c r="N582" s="516">
        <v>69310</v>
      </c>
      <c r="O582" s="519">
        <v>66918</v>
      </c>
      <c r="P582" s="506">
        <f t="shared" si="239"/>
        <v>167830</v>
      </c>
      <c r="Q582" s="507">
        <f t="shared" si="240"/>
        <v>5594.333333333333</v>
      </c>
      <c r="R582" s="508">
        <f t="shared" si="241"/>
        <v>156735</v>
      </c>
      <c r="S582" s="509">
        <f t="shared" si="242"/>
        <v>5224.5</v>
      </c>
      <c r="T582" s="516">
        <v>14924</v>
      </c>
      <c r="U582" s="519">
        <v>15539</v>
      </c>
      <c r="V582" s="506">
        <f t="shared" si="243"/>
        <v>167830</v>
      </c>
      <c r="W582" s="510">
        <f t="shared" si="244"/>
        <v>156735</v>
      </c>
      <c r="X582" s="517">
        <v>41616</v>
      </c>
      <c r="Y582" s="519">
        <v>57548</v>
      </c>
      <c r="Z582" s="516">
        <v>46944</v>
      </c>
      <c r="AA582" s="519">
        <v>62064</v>
      </c>
      <c r="AB582" s="516">
        <v>35156</v>
      </c>
      <c r="AC582" s="519">
        <v>55031</v>
      </c>
      <c r="AD582" s="516">
        <v>89595</v>
      </c>
      <c r="AE582" s="519">
        <v>73990</v>
      </c>
      <c r="AF582" s="506">
        <f t="shared" si="245"/>
        <v>213311</v>
      </c>
      <c r="AG582" s="507">
        <f t="shared" si="246"/>
        <v>237.01222222222222</v>
      </c>
      <c r="AH582" s="508">
        <f t="shared" si="247"/>
        <v>248633</v>
      </c>
      <c r="AI582" s="508">
        <f t="shared" si="248"/>
        <v>276.25888888888886</v>
      </c>
      <c r="AJ582" s="516"/>
      <c r="AK582" s="519"/>
      <c r="AL582" s="506">
        <f t="shared" si="249"/>
        <v>0</v>
      </c>
      <c r="AM582" s="509">
        <f t="shared" si="250"/>
        <v>0</v>
      </c>
      <c r="AN582" s="518"/>
      <c r="AO582" s="520"/>
      <c r="AP582" s="516"/>
      <c r="AQ582" s="520"/>
      <c r="AR582" s="516"/>
      <c r="AS582" s="520"/>
      <c r="AT582" s="516"/>
      <c r="AU582" s="520"/>
      <c r="AV582" s="506">
        <f t="shared" si="251"/>
        <v>0</v>
      </c>
      <c r="AW582" s="511">
        <f t="shared" si="252"/>
        <v>0</v>
      </c>
      <c r="AX582" s="508">
        <f t="shared" si="253"/>
        <v>0</v>
      </c>
      <c r="AY582" s="512">
        <f t="shared" si="254"/>
        <v>0</v>
      </c>
      <c r="AZ582" s="513">
        <f t="shared" si="255"/>
        <v>5831.3455555555556</v>
      </c>
      <c r="BA582" s="508">
        <f t="shared" si="256"/>
        <v>5500.7588888888886</v>
      </c>
    </row>
    <row r="583" spans="1:53">
      <c r="A583" s="597" t="s">
        <v>533</v>
      </c>
      <c r="B583" s="641" t="s">
        <v>602</v>
      </c>
      <c r="C583" s="668"/>
      <c r="D583" s="663">
        <v>229355</v>
      </c>
      <c r="E583" s="671">
        <v>8</v>
      </c>
      <c r="F583" s="514" t="s">
        <v>41</v>
      </c>
      <c r="G583" s="515" t="s">
        <v>41</v>
      </c>
      <c r="H583" s="516">
        <v>115038</v>
      </c>
      <c r="I583" s="519">
        <v>102619</v>
      </c>
      <c r="J583" s="516">
        <v>19629</v>
      </c>
      <c r="K583" s="519">
        <v>25907</v>
      </c>
      <c r="L583" s="516">
        <v>8570</v>
      </c>
      <c r="M583" s="519">
        <v>7572</v>
      </c>
      <c r="N583" s="516">
        <v>116545</v>
      </c>
      <c r="O583" s="519">
        <v>103382</v>
      </c>
      <c r="P583" s="506">
        <f t="shared" si="239"/>
        <v>259782</v>
      </c>
      <c r="Q583" s="507">
        <f t="shared" si="240"/>
        <v>8659.4</v>
      </c>
      <c r="R583" s="508">
        <f t="shared" si="241"/>
        <v>239480</v>
      </c>
      <c r="S583" s="509">
        <f t="shared" si="242"/>
        <v>7982.666666666667</v>
      </c>
      <c r="T583" s="516">
        <v>15229</v>
      </c>
      <c r="U583" s="519">
        <v>8381</v>
      </c>
      <c r="V583" s="506">
        <f t="shared" si="243"/>
        <v>259782</v>
      </c>
      <c r="W583" s="510">
        <f t="shared" si="244"/>
        <v>239480</v>
      </c>
      <c r="X583" s="517">
        <v>69876</v>
      </c>
      <c r="Y583" s="519">
        <v>57762</v>
      </c>
      <c r="Z583" s="516">
        <v>71986</v>
      </c>
      <c r="AA583" s="519">
        <v>66862</v>
      </c>
      <c r="AB583" s="516">
        <v>68230</v>
      </c>
      <c r="AC583" s="519">
        <v>69153</v>
      </c>
      <c r="AD583" s="516">
        <v>64346</v>
      </c>
      <c r="AE583" s="519">
        <v>78968</v>
      </c>
      <c r="AF583" s="506">
        <f t="shared" si="245"/>
        <v>274438</v>
      </c>
      <c r="AG583" s="507">
        <f t="shared" si="246"/>
        <v>304.93111111111114</v>
      </c>
      <c r="AH583" s="508">
        <f t="shared" si="247"/>
        <v>272745</v>
      </c>
      <c r="AI583" s="508">
        <f t="shared" si="248"/>
        <v>303.05</v>
      </c>
      <c r="AJ583" s="516"/>
      <c r="AK583" s="519"/>
      <c r="AL583" s="506">
        <f t="shared" si="249"/>
        <v>0</v>
      </c>
      <c r="AM583" s="509">
        <f t="shared" si="250"/>
        <v>0</v>
      </c>
      <c r="AN583" s="518"/>
      <c r="AO583" s="520"/>
      <c r="AP583" s="516"/>
      <c r="AQ583" s="520"/>
      <c r="AR583" s="516"/>
      <c r="AS583" s="520"/>
      <c r="AT583" s="516"/>
      <c r="AU583" s="520"/>
      <c r="AV583" s="506">
        <f t="shared" si="251"/>
        <v>0</v>
      </c>
      <c r="AW583" s="511">
        <f t="shared" si="252"/>
        <v>0</v>
      </c>
      <c r="AX583" s="508">
        <f t="shared" si="253"/>
        <v>0</v>
      </c>
      <c r="AY583" s="512">
        <f t="shared" si="254"/>
        <v>0</v>
      </c>
      <c r="AZ583" s="513">
        <f t="shared" si="255"/>
        <v>8964.3311111111107</v>
      </c>
      <c r="BA583" s="508">
        <f t="shared" si="256"/>
        <v>8285.7166666666672</v>
      </c>
    </row>
    <row r="584" spans="1:53">
      <c r="A584" s="597" t="s">
        <v>533</v>
      </c>
      <c r="B584" s="641" t="s">
        <v>603</v>
      </c>
      <c r="C584" s="668"/>
      <c r="D584" s="663">
        <v>222567</v>
      </c>
      <c r="E584" s="671">
        <v>9</v>
      </c>
      <c r="F584" s="514" t="s">
        <v>41</v>
      </c>
      <c r="G584" s="515" t="s">
        <v>41</v>
      </c>
      <c r="H584" s="516">
        <v>44996</v>
      </c>
      <c r="I584" s="519">
        <v>42179</v>
      </c>
      <c r="J584" s="516">
        <v>18141</v>
      </c>
      <c r="K584" s="519">
        <v>16911</v>
      </c>
      <c r="L584" s="516">
        <v>0</v>
      </c>
      <c r="M584" s="519">
        <v>0</v>
      </c>
      <c r="N584" s="516">
        <v>43441</v>
      </c>
      <c r="O584" s="519">
        <v>42695</v>
      </c>
      <c r="P584" s="506">
        <f t="shared" si="239"/>
        <v>106578</v>
      </c>
      <c r="Q584" s="507">
        <f t="shared" si="240"/>
        <v>3552.6</v>
      </c>
      <c r="R584" s="508">
        <f t="shared" si="241"/>
        <v>101785</v>
      </c>
      <c r="S584" s="509">
        <f t="shared" si="242"/>
        <v>3392.8333333333335</v>
      </c>
      <c r="T584" s="516">
        <v>12255</v>
      </c>
      <c r="U584" s="519">
        <v>11508</v>
      </c>
      <c r="V584" s="506">
        <f t="shared" si="243"/>
        <v>106578</v>
      </c>
      <c r="W584" s="510">
        <f t="shared" si="244"/>
        <v>101785</v>
      </c>
      <c r="X584" s="517">
        <v>24522</v>
      </c>
      <c r="Y584" s="519">
        <v>19831</v>
      </c>
      <c r="Z584" s="516">
        <v>21176</v>
      </c>
      <c r="AA584" s="519">
        <v>25324</v>
      </c>
      <c r="AB584" s="516">
        <v>23235</v>
      </c>
      <c r="AC584" s="519">
        <v>26131</v>
      </c>
      <c r="AD584" s="516">
        <v>27749</v>
      </c>
      <c r="AE584" s="519">
        <v>23439</v>
      </c>
      <c r="AF584" s="506">
        <f t="shared" si="245"/>
        <v>96682</v>
      </c>
      <c r="AG584" s="507">
        <f t="shared" si="246"/>
        <v>107.42444444444445</v>
      </c>
      <c r="AH584" s="508">
        <f t="shared" si="247"/>
        <v>94725</v>
      </c>
      <c r="AI584" s="508">
        <f t="shared" si="248"/>
        <v>105.25</v>
      </c>
      <c r="AJ584" s="516"/>
      <c r="AK584" s="519"/>
      <c r="AL584" s="506">
        <f t="shared" si="249"/>
        <v>0</v>
      </c>
      <c r="AM584" s="509">
        <f t="shared" si="250"/>
        <v>0</v>
      </c>
      <c r="AN584" s="518"/>
      <c r="AO584" s="520"/>
      <c r="AP584" s="516"/>
      <c r="AQ584" s="520"/>
      <c r="AR584" s="516"/>
      <c r="AS584" s="520"/>
      <c r="AT584" s="516"/>
      <c r="AU584" s="520"/>
      <c r="AV584" s="506">
        <f t="shared" si="251"/>
        <v>0</v>
      </c>
      <c r="AW584" s="511">
        <f t="shared" si="252"/>
        <v>0</v>
      </c>
      <c r="AX584" s="508">
        <f t="shared" si="253"/>
        <v>0</v>
      </c>
      <c r="AY584" s="512">
        <f t="shared" si="254"/>
        <v>0</v>
      </c>
      <c r="AZ584" s="513">
        <f t="shared" si="255"/>
        <v>3660.0244444444443</v>
      </c>
      <c r="BA584" s="508">
        <f t="shared" si="256"/>
        <v>3498.0833333333335</v>
      </c>
    </row>
    <row r="585" spans="1:53">
      <c r="A585" s="597" t="s">
        <v>533</v>
      </c>
      <c r="B585" s="641" t="s">
        <v>604</v>
      </c>
      <c r="C585" s="668"/>
      <c r="D585" s="663">
        <v>222822</v>
      </c>
      <c r="E585" s="671">
        <v>9</v>
      </c>
      <c r="F585" s="514" t="s">
        <v>41</v>
      </c>
      <c r="G585" s="515" t="s">
        <v>41</v>
      </c>
      <c r="H585" s="516">
        <v>49314</v>
      </c>
      <c r="I585" s="519">
        <v>45965</v>
      </c>
      <c r="J585" s="516">
        <v>9073</v>
      </c>
      <c r="K585" s="519">
        <v>8750</v>
      </c>
      <c r="L585" s="516">
        <v>3779</v>
      </c>
      <c r="M585" s="519">
        <v>4132</v>
      </c>
      <c r="N585" s="516">
        <v>51730</v>
      </c>
      <c r="O585" s="519">
        <v>47271</v>
      </c>
      <c r="P585" s="506">
        <f t="shared" si="239"/>
        <v>113896</v>
      </c>
      <c r="Q585" s="507">
        <f t="shared" si="240"/>
        <v>3796.5333333333333</v>
      </c>
      <c r="R585" s="508">
        <f t="shared" si="241"/>
        <v>106118</v>
      </c>
      <c r="S585" s="509">
        <f t="shared" si="242"/>
        <v>3537.2666666666669</v>
      </c>
      <c r="T585" s="516">
        <v>13855</v>
      </c>
      <c r="U585" s="519">
        <v>12958</v>
      </c>
      <c r="V585" s="506">
        <f t="shared" si="243"/>
        <v>113896</v>
      </c>
      <c r="W585" s="510">
        <f t="shared" si="244"/>
        <v>106118</v>
      </c>
      <c r="X585" s="517">
        <v>83343</v>
      </c>
      <c r="Y585" s="519">
        <v>70202</v>
      </c>
      <c r="Z585" s="516">
        <v>30693</v>
      </c>
      <c r="AA585" s="519">
        <v>34791</v>
      </c>
      <c r="AB585" s="516">
        <v>74856</v>
      </c>
      <c r="AC585" s="519">
        <v>75173</v>
      </c>
      <c r="AD585" s="516">
        <v>29087</v>
      </c>
      <c r="AE585" s="519">
        <v>31650</v>
      </c>
      <c r="AF585" s="506">
        <f t="shared" si="245"/>
        <v>217979</v>
      </c>
      <c r="AG585" s="507">
        <f t="shared" si="246"/>
        <v>242.19888888888889</v>
      </c>
      <c r="AH585" s="508">
        <f t="shared" si="247"/>
        <v>211816</v>
      </c>
      <c r="AI585" s="508">
        <f t="shared" si="248"/>
        <v>235.35111111111112</v>
      </c>
      <c r="AJ585" s="516"/>
      <c r="AK585" s="519"/>
      <c r="AL585" s="506">
        <f t="shared" si="249"/>
        <v>0</v>
      </c>
      <c r="AM585" s="509">
        <f t="shared" si="250"/>
        <v>0</v>
      </c>
      <c r="AN585" s="518"/>
      <c r="AO585" s="520"/>
      <c r="AP585" s="516"/>
      <c r="AQ585" s="520"/>
      <c r="AR585" s="516"/>
      <c r="AS585" s="520"/>
      <c r="AT585" s="516"/>
      <c r="AU585" s="520"/>
      <c r="AV585" s="506">
        <f t="shared" si="251"/>
        <v>0</v>
      </c>
      <c r="AW585" s="511">
        <f t="shared" si="252"/>
        <v>0</v>
      </c>
      <c r="AX585" s="508">
        <f t="shared" si="253"/>
        <v>0</v>
      </c>
      <c r="AY585" s="512">
        <f t="shared" si="254"/>
        <v>0</v>
      </c>
      <c r="AZ585" s="513">
        <f t="shared" si="255"/>
        <v>4038.7322222222224</v>
      </c>
      <c r="BA585" s="508">
        <f t="shared" si="256"/>
        <v>3772.617777777778</v>
      </c>
    </row>
    <row r="586" spans="1:53">
      <c r="A586" s="597" t="s">
        <v>533</v>
      </c>
      <c r="B586" s="649" t="s">
        <v>605</v>
      </c>
      <c r="C586" s="649"/>
      <c r="D586" s="663">
        <v>223773</v>
      </c>
      <c r="E586" s="671">
        <v>9</v>
      </c>
      <c r="F586" s="514" t="s">
        <v>41</v>
      </c>
      <c r="G586" s="515" t="s">
        <v>41</v>
      </c>
      <c r="H586" s="516">
        <v>45892</v>
      </c>
      <c r="I586" s="519">
        <v>40766</v>
      </c>
      <c r="J586" s="516">
        <v>16092</v>
      </c>
      <c r="K586" s="519">
        <v>21245</v>
      </c>
      <c r="L586" s="516">
        <v>7338</v>
      </c>
      <c r="M586" s="519">
        <v>0</v>
      </c>
      <c r="N586" s="516">
        <v>42646</v>
      </c>
      <c r="O586" s="519">
        <v>39274</v>
      </c>
      <c r="P586" s="506">
        <f t="shared" si="239"/>
        <v>111968</v>
      </c>
      <c r="Q586" s="507">
        <f t="shared" si="240"/>
        <v>3732.2666666666669</v>
      </c>
      <c r="R586" s="508">
        <f t="shared" si="241"/>
        <v>101285</v>
      </c>
      <c r="S586" s="509">
        <f t="shared" si="242"/>
        <v>3376.1666666666665</v>
      </c>
      <c r="T586" s="516">
        <v>13130</v>
      </c>
      <c r="U586" s="519">
        <v>10858</v>
      </c>
      <c r="V586" s="506">
        <f t="shared" si="243"/>
        <v>111968</v>
      </c>
      <c r="W586" s="510">
        <f t="shared" si="244"/>
        <v>101285</v>
      </c>
      <c r="X586" s="517">
        <v>48657</v>
      </c>
      <c r="Y586" s="519">
        <v>40669</v>
      </c>
      <c r="Z586" s="516">
        <v>67531</v>
      </c>
      <c r="AA586" s="519">
        <v>56103</v>
      </c>
      <c r="AB586" s="516">
        <v>37573</v>
      </c>
      <c r="AC586" s="519">
        <v>57375</v>
      </c>
      <c r="AD586" s="516">
        <v>52978</v>
      </c>
      <c r="AE586" s="519">
        <v>47897</v>
      </c>
      <c r="AF586" s="506">
        <f t="shared" si="245"/>
        <v>206739</v>
      </c>
      <c r="AG586" s="507">
        <f t="shared" si="246"/>
        <v>229.71</v>
      </c>
      <c r="AH586" s="508">
        <f t="shared" si="247"/>
        <v>202044</v>
      </c>
      <c r="AI586" s="508">
        <f t="shared" si="248"/>
        <v>224.49333333333334</v>
      </c>
      <c r="AJ586" s="516"/>
      <c r="AK586" s="519"/>
      <c r="AL586" s="506">
        <f t="shared" si="249"/>
        <v>0</v>
      </c>
      <c r="AM586" s="509">
        <f t="shared" si="250"/>
        <v>0</v>
      </c>
      <c r="AN586" s="518"/>
      <c r="AO586" s="520"/>
      <c r="AP586" s="516"/>
      <c r="AQ586" s="520"/>
      <c r="AR586" s="516"/>
      <c r="AS586" s="520"/>
      <c r="AT586" s="516"/>
      <c r="AU586" s="520"/>
      <c r="AV586" s="506">
        <f t="shared" si="251"/>
        <v>0</v>
      </c>
      <c r="AW586" s="511">
        <f t="shared" si="252"/>
        <v>0</v>
      </c>
      <c r="AX586" s="508">
        <f t="shared" si="253"/>
        <v>0</v>
      </c>
      <c r="AY586" s="512">
        <f t="shared" si="254"/>
        <v>0</v>
      </c>
      <c r="AZ586" s="513">
        <f t="shared" si="255"/>
        <v>3961.9766666666669</v>
      </c>
      <c r="BA586" s="508">
        <f t="shared" si="256"/>
        <v>3600.66</v>
      </c>
    </row>
    <row r="587" spans="1:53">
      <c r="A587" s="597" t="s">
        <v>533</v>
      </c>
      <c r="B587" s="641" t="s">
        <v>606</v>
      </c>
      <c r="C587" s="668"/>
      <c r="D587" s="663">
        <v>223898</v>
      </c>
      <c r="E587" s="671">
        <v>9</v>
      </c>
      <c r="F587" s="514" t="s">
        <v>41</v>
      </c>
      <c r="G587" s="515" t="s">
        <v>41</v>
      </c>
      <c r="H587" s="516">
        <v>42604</v>
      </c>
      <c r="I587" s="519">
        <v>38904</v>
      </c>
      <c r="J587" s="516">
        <v>7171</v>
      </c>
      <c r="K587" s="519">
        <v>6020</v>
      </c>
      <c r="L587" s="516">
        <v>2693</v>
      </c>
      <c r="M587" s="519">
        <v>2242</v>
      </c>
      <c r="N587" s="516">
        <v>42100</v>
      </c>
      <c r="O587" s="519">
        <v>36793</v>
      </c>
      <c r="P587" s="506">
        <f t="shared" si="239"/>
        <v>94568</v>
      </c>
      <c r="Q587" s="507">
        <f t="shared" si="240"/>
        <v>3152.2666666666669</v>
      </c>
      <c r="R587" s="508">
        <f t="shared" si="241"/>
        <v>83959</v>
      </c>
      <c r="S587" s="509">
        <f t="shared" si="242"/>
        <v>2798.6333333333332</v>
      </c>
      <c r="T587" s="516">
        <v>7241</v>
      </c>
      <c r="U587" s="519">
        <v>6498</v>
      </c>
      <c r="V587" s="506">
        <f t="shared" si="243"/>
        <v>94568</v>
      </c>
      <c r="W587" s="510">
        <f t="shared" si="244"/>
        <v>83959</v>
      </c>
      <c r="X587" s="517">
        <v>1900</v>
      </c>
      <c r="Y587" s="519">
        <v>1730</v>
      </c>
      <c r="Z587" s="516">
        <v>1850</v>
      </c>
      <c r="AA587" s="519">
        <v>9240</v>
      </c>
      <c r="AB587" s="516">
        <v>608</v>
      </c>
      <c r="AC587" s="519">
        <v>3346</v>
      </c>
      <c r="AD587" s="516">
        <v>1828</v>
      </c>
      <c r="AE587" s="519">
        <v>8064</v>
      </c>
      <c r="AF587" s="506">
        <f t="shared" si="245"/>
        <v>6186</v>
      </c>
      <c r="AG587" s="507">
        <f t="shared" si="246"/>
        <v>6.8733333333333331</v>
      </c>
      <c r="AH587" s="508">
        <f t="shared" si="247"/>
        <v>22380</v>
      </c>
      <c r="AI587" s="508">
        <f t="shared" si="248"/>
        <v>24.866666666666667</v>
      </c>
      <c r="AJ587" s="516"/>
      <c r="AK587" s="519"/>
      <c r="AL587" s="506">
        <f t="shared" si="249"/>
        <v>0</v>
      </c>
      <c r="AM587" s="509">
        <f t="shared" si="250"/>
        <v>0</v>
      </c>
      <c r="AN587" s="518"/>
      <c r="AO587" s="520"/>
      <c r="AP587" s="516"/>
      <c r="AQ587" s="520"/>
      <c r="AR587" s="516"/>
      <c r="AS587" s="520"/>
      <c r="AT587" s="516"/>
      <c r="AU587" s="520"/>
      <c r="AV587" s="506">
        <f t="shared" si="251"/>
        <v>0</v>
      </c>
      <c r="AW587" s="511">
        <f t="shared" si="252"/>
        <v>0</v>
      </c>
      <c r="AX587" s="508">
        <f t="shared" si="253"/>
        <v>0</v>
      </c>
      <c r="AY587" s="512">
        <f t="shared" si="254"/>
        <v>0</v>
      </c>
      <c r="AZ587" s="513">
        <f t="shared" si="255"/>
        <v>3159.1400000000003</v>
      </c>
      <c r="BA587" s="508">
        <f t="shared" si="256"/>
        <v>2823.5</v>
      </c>
    </row>
    <row r="588" spans="1:53">
      <c r="A588" s="597" t="s">
        <v>533</v>
      </c>
      <c r="B588" s="641" t="s">
        <v>607</v>
      </c>
      <c r="C588" s="668"/>
      <c r="D588" s="663">
        <v>223320</v>
      </c>
      <c r="E588" s="671">
        <v>9</v>
      </c>
      <c r="F588" s="514" t="s">
        <v>41</v>
      </c>
      <c r="G588" s="515" t="s">
        <v>41</v>
      </c>
      <c r="H588" s="516">
        <v>34519</v>
      </c>
      <c r="I588" s="519">
        <v>30336</v>
      </c>
      <c r="J588" s="516">
        <v>9754</v>
      </c>
      <c r="K588" s="519">
        <v>7661</v>
      </c>
      <c r="L588" s="516">
        <v>3006</v>
      </c>
      <c r="M588" s="519">
        <v>2389</v>
      </c>
      <c r="N588" s="516">
        <v>32337</v>
      </c>
      <c r="O588" s="519">
        <v>30488</v>
      </c>
      <c r="P588" s="506">
        <f t="shared" si="239"/>
        <v>79616</v>
      </c>
      <c r="Q588" s="507">
        <f t="shared" si="240"/>
        <v>2653.8666666666668</v>
      </c>
      <c r="R588" s="508">
        <f t="shared" si="241"/>
        <v>70874</v>
      </c>
      <c r="S588" s="509">
        <f t="shared" si="242"/>
        <v>2362.4666666666667</v>
      </c>
      <c r="T588" s="516">
        <v>14910</v>
      </c>
      <c r="U588" s="519">
        <v>15334</v>
      </c>
      <c r="V588" s="506">
        <f t="shared" si="243"/>
        <v>79616</v>
      </c>
      <c r="W588" s="510">
        <f t="shared" si="244"/>
        <v>70874</v>
      </c>
      <c r="X588" s="517">
        <v>39911</v>
      </c>
      <c r="Y588" s="519">
        <v>65541</v>
      </c>
      <c r="Z588" s="516">
        <v>67854</v>
      </c>
      <c r="AA588" s="519">
        <v>91375</v>
      </c>
      <c r="AB588" s="516">
        <v>82344</v>
      </c>
      <c r="AC588" s="519">
        <v>86943</v>
      </c>
      <c r="AD588" s="516">
        <v>65765</v>
      </c>
      <c r="AE588" s="519">
        <v>52579</v>
      </c>
      <c r="AF588" s="506">
        <f t="shared" si="245"/>
        <v>255874</v>
      </c>
      <c r="AG588" s="507">
        <f t="shared" si="246"/>
        <v>284.30444444444447</v>
      </c>
      <c r="AH588" s="508">
        <f t="shared" si="247"/>
        <v>296438</v>
      </c>
      <c r="AI588" s="508">
        <f t="shared" si="248"/>
        <v>329.37555555555554</v>
      </c>
      <c r="AJ588" s="516"/>
      <c r="AK588" s="519"/>
      <c r="AL588" s="506">
        <f t="shared" si="249"/>
        <v>0</v>
      </c>
      <c r="AM588" s="509">
        <f t="shared" si="250"/>
        <v>0</v>
      </c>
      <c r="AN588" s="518"/>
      <c r="AO588" s="520"/>
      <c r="AP588" s="516"/>
      <c r="AQ588" s="520"/>
      <c r="AR588" s="516"/>
      <c r="AS588" s="520"/>
      <c r="AT588" s="516"/>
      <c r="AU588" s="520"/>
      <c r="AV588" s="506">
        <f t="shared" si="251"/>
        <v>0</v>
      </c>
      <c r="AW588" s="511">
        <f t="shared" si="252"/>
        <v>0</v>
      </c>
      <c r="AX588" s="508">
        <f t="shared" si="253"/>
        <v>0</v>
      </c>
      <c r="AY588" s="512">
        <f t="shared" si="254"/>
        <v>0</v>
      </c>
      <c r="AZ588" s="513">
        <f t="shared" si="255"/>
        <v>2938.1711111111113</v>
      </c>
      <c r="BA588" s="508">
        <f t="shared" si="256"/>
        <v>2691.8422222222221</v>
      </c>
    </row>
    <row r="589" spans="1:53">
      <c r="A589" s="597" t="s">
        <v>533</v>
      </c>
      <c r="B589" s="641" t="s">
        <v>608</v>
      </c>
      <c r="C589" s="668"/>
      <c r="D589" s="663">
        <v>226408</v>
      </c>
      <c r="E589" s="671">
        <v>9</v>
      </c>
      <c r="F589" s="514" t="s">
        <v>41</v>
      </c>
      <c r="G589" s="515" t="s">
        <v>41</v>
      </c>
      <c r="H589" s="516">
        <v>36112</v>
      </c>
      <c r="I589" s="519">
        <v>34440</v>
      </c>
      <c r="J589" s="516">
        <v>9727</v>
      </c>
      <c r="K589" s="519">
        <v>9005</v>
      </c>
      <c r="L589" s="516">
        <v>7532</v>
      </c>
      <c r="M589" s="519">
        <v>6715</v>
      </c>
      <c r="N589" s="516">
        <v>33935</v>
      </c>
      <c r="O589" s="519">
        <v>32222</v>
      </c>
      <c r="P589" s="506">
        <f t="shared" si="239"/>
        <v>87306</v>
      </c>
      <c r="Q589" s="507">
        <f t="shared" si="240"/>
        <v>2910.2</v>
      </c>
      <c r="R589" s="508">
        <f t="shared" si="241"/>
        <v>82382</v>
      </c>
      <c r="S589" s="509">
        <f t="shared" si="242"/>
        <v>2746.0666666666666</v>
      </c>
      <c r="T589" s="516">
        <v>8066</v>
      </c>
      <c r="U589" s="519">
        <v>9708</v>
      </c>
      <c r="V589" s="506">
        <f t="shared" si="243"/>
        <v>87306</v>
      </c>
      <c r="W589" s="510">
        <f t="shared" si="244"/>
        <v>82382</v>
      </c>
      <c r="X589" s="517">
        <v>53328</v>
      </c>
      <c r="Y589" s="519">
        <v>46303</v>
      </c>
      <c r="Z589" s="516">
        <v>36974</v>
      </c>
      <c r="AA589" s="519">
        <v>29761</v>
      </c>
      <c r="AB589" s="516">
        <v>52758</v>
      </c>
      <c r="AC589" s="519">
        <v>42814</v>
      </c>
      <c r="AD589" s="516">
        <v>48765</v>
      </c>
      <c r="AE589" s="519">
        <v>38606</v>
      </c>
      <c r="AF589" s="506">
        <f t="shared" si="245"/>
        <v>191825</v>
      </c>
      <c r="AG589" s="507">
        <f t="shared" si="246"/>
        <v>213.13888888888889</v>
      </c>
      <c r="AH589" s="508">
        <f t="shared" si="247"/>
        <v>157484</v>
      </c>
      <c r="AI589" s="508">
        <f t="shared" si="248"/>
        <v>174.98222222222222</v>
      </c>
      <c r="AJ589" s="516"/>
      <c r="AK589" s="519"/>
      <c r="AL589" s="506">
        <f t="shared" si="249"/>
        <v>0</v>
      </c>
      <c r="AM589" s="509">
        <f t="shared" si="250"/>
        <v>0</v>
      </c>
      <c r="AN589" s="518"/>
      <c r="AO589" s="520"/>
      <c r="AP589" s="516"/>
      <c r="AQ589" s="520"/>
      <c r="AR589" s="516"/>
      <c r="AS589" s="520"/>
      <c r="AT589" s="516"/>
      <c r="AU589" s="520"/>
      <c r="AV589" s="506">
        <f t="shared" si="251"/>
        <v>0</v>
      </c>
      <c r="AW589" s="511">
        <f t="shared" si="252"/>
        <v>0</v>
      </c>
      <c r="AX589" s="508">
        <f t="shared" si="253"/>
        <v>0</v>
      </c>
      <c r="AY589" s="512">
        <f t="shared" si="254"/>
        <v>0</v>
      </c>
      <c r="AZ589" s="513">
        <f t="shared" si="255"/>
        <v>3123.3388888888885</v>
      </c>
      <c r="BA589" s="508">
        <f t="shared" si="256"/>
        <v>2921.048888888889</v>
      </c>
    </row>
    <row r="590" spans="1:53">
      <c r="A590" s="597" t="s">
        <v>533</v>
      </c>
      <c r="B590" s="641" t="s">
        <v>609</v>
      </c>
      <c r="C590" s="668"/>
      <c r="D590" s="663">
        <v>225070</v>
      </c>
      <c r="E590" s="671">
        <v>9</v>
      </c>
      <c r="F590" s="514" t="s">
        <v>41</v>
      </c>
      <c r="G590" s="515" t="s">
        <v>41</v>
      </c>
      <c r="H590" s="516">
        <v>51354</v>
      </c>
      <c r="I590" s="519">
        <v>47270</v>
      </c>
      <c r="J590" s="516">
        <v>10067</v>
      </c>
      <c r="K590" s="519">
        <v>9020</v>
      </c>
      <c r="L590" s="516">
        <v>3889</v>
      </c>
      <c r="M590" s="519">
        <v>3864</v>
      </c>
      <c r="N590" s="516">
        <v>51032</v>
      </c>
      <c r="O590" s="519">
        <v>45327</v>
      </c>
      <c r="P590" s="506">
        <f t="shared" si="239"/>
        <v>116342</v>
      </c>
      <c r="Q590" s="507">
        <f t="shared" si="240"/>
        <v>3878.0666666666666</v>
      </c>
      <c r="R590" s="508">
        <f t="shared" si="241"/>
        <v>105481</v>
      </c>
      <c r="S590" s="509">
        <f t="shared" si="242"/>
        <v>3516.0333333333333</v>
      </c>
      <c r="T590" s="516">
        <v>5826</v>
      </c>
      <c r="U590" s="519">
        <v>6124</v>
      </c>
      <c r="V590" s="506">
        <f t="shared" si="243"/>
        <v>116342</v>
      </c>
      <c r="W590" s="510">
        <f t="shared" si="244"/>
        <v>105481</v>
      </c>
      <c r="X590" s="517">
        <v>14465</v>
      </c>
      <c r="Y590" s="519">
        <v>30536</v>
      </c>
      <c r="Z590" s="516">
        <v>22040</v>
      </c>
      <c r="AA590" s="519">
        <v>19752</v>
      </c>
      <c r="AB590" s="516">
        <v>23955</v>
      </c>
      <c r="AC590" s="519">
        <v>27717</v>
      </c>
      <c r="AD590" s="516">
        <v>17833</v>
      </c>
      <c r="AE590" s="519">
        <v>13882</v>
      </c>
      <c r="AF590" s="506">
        <f t="shared" si="245"/>
        <v>78293</v>
      </c>
      <c r="AG590" s="507">
        <f t="shared" si="246"/>
        <v>86.992222222222225</v>
      </c>
      <c r="AH590" s="508">
        <f t="shared" si="247"/>
        <v>91887</v>
      </c>
      <c r="AI590" s="508">
        <f t="shared" si="248"/>
        <v>102.09666666666666</v>
      </c>
      <c r="AJ590" s="516"/>
      <c r="AK590" s="519"/>
      <c r="AL590" s="506">
        <f t="shared" si="249"/>
        <v>0</v>
      </c>
      <c r="AM590" s="509">
        <f t="shared" si="250"/>
        <v>0</v>
      </c>
      <c r="AN590" s="518"/>
      <c r="AO590" s="520"/>
      <c r="AP590" s="516"/>
      <c r="AQ590" s="520"/>
      <c r="AR590" s="516"/>
      <c r="AS590" s="520"/>
      <c r="AT590" s="516"/>
      <c r="AU590" s="520"/>
      <c r="AV590" s="506">
        <f t="shared" si="251"/>
        <v>0</v>
      </c>
      <c r="AW590" s="511">
        <f t="shared" si="252"/>
        <v>0</v>
      </c>
      <c r="AX590" s="508">
        <f t="shared" si="253"/>
        <v>0</v>
      </c>
      <c r="AY590" s="512">
        <f t="shared" si="254"/>
        <v>0</v>
      </c>
      <c r="AZ590" s="513">
        <f t="shared" si="255"/>
        <v>3965.0588888888888</v>
      </c>
      <c r="BA590" s="508">
        <f t="shared" si="256"/>
        <v>3618.13</v>
      </c>
    </row>
    <row r="591" spans="1:53">
      <c r="A591" s="594" t="s">
        <v>533</v>
      </c>
      <c r="B591" s="641" t="s">
        <v>610</v>
      </c>
      <c r="C591" s="668"/>
      <c r="D591" s="663">
        <v>225371</v>
      </c>
      <c r="E591" s="671">
        <v>9</v>
      </c>
      <c r="F591" s="514" t="s">
        <v>41</v>
      </c>
      <c r="G591" s="515" t="s">
        <v>41</v>
      </c>
      <c r="H591" s="516">
        <v>41045</v>
      </c>
      <c r="I591" s="519">
        <v>40589</v>
      </c>
      <c r="J591" s="516">
        <v>11526</v>
      </c>
      <c r="K591" s="519">
        <v>11042</v>
      </c>
      <c r="L591" s="516">
        <v>2760</v>
      </c>
      <c r="M591" s="519">
        <v>2570</v>
      </c>
      <c r="N591" s="516">
        <v>39309</v>
      </c>
      <c r="O591" s="519">
        <v>39595</v>
      </c>
      <c r="P591" s="506">
        <f t="shared" si="239"/>
        <v>94640</v>
      </c>
      <c r="Q591" s="507">
        <f t="shared" si="240"/>
        <v>3154.6666666666665</v>
      </c>
      <c r="R591" s="508">
        <f t="shared" si="241"/>
        <v>93796</v>
      </c>
      <c r="S591" s="509">
        <f t="shared" si="242"/>
        <v>3126.5333333333333</v>
      </c>
      <c r="T591" s="516">
        <v>9522</v>
      </c>
      <c r="U591" s="519">
        <v>9460</v>
      </c>
      <c r="V591" s="506">
        <f t="shared" si="243"/>
        <v>94640</v>
      </c>
      <c r="W591" s="510">
        <f t="shared" si="244"/>
        <v>93796</v>
      </c>
      <c r="X591" s="517">
        <v>15980</v>
      </c>
      <c r="Y591" s="519">
        <v>22341</v>
      </c>
      <c r="Z591" s="516">
        <v>15366</v>
      </c>
      <c r="AA591" s="519">
        <v>16733</v>
      </c>
      <c r="AB591" s="516">
        <v>8992</v>
      </c>
      <c r="AC591" s="519">
        <v>15767</v>
      </c>
      <c r="AD591" s="516">
        <v>12814</v>
      </c>
      <c r="AE591" s="519">
        <v>19476</v>
      </c>
      <c r="AF591" s="506">
        <f t="shared" si="245"/>
        <v>53152</v>
      </c>
      <c r="AG591" s="507">
        <f t="shared" si="246"/>
        <v>59.05777777777778</v>
      </c>
      <c r="AH591" s="508">
        <f t="shared" si="247"/>
        <v>74317</v>
      </c>
      <c r="AI591" s="508">
        <f t="shared" si="248"/>
        <v>82.574444444444438</v>
      </c>
      <c r="AJ591" s="516"/>
      <c r="AK591" s="519"/>
      <c r="AL591" s="506">
        <f t="shared" si="249"/>
        <v>0</v>
      </c>
      <c r="AM591" s="509">
        <f t="shared" si="250"/>
        <v>0</v>
      </c>
      <c r="AN591" s="518"/>
      <c r="AO591" s="520"/>
      <c r="AP591" s="516"/>
      <c r="AQ591" s="520"/>
      <c r="AR591" s="516"/>
      <c r="AS591" s="520"/>
      <c r="AT591" s="516"/>
      <c r="AU591" s="520"/>
      <c r="AV591" s="506">
        <f t="shared" si="251"/>
        <v>0</v>
      </c>
      <c r="AW591" s="511">
        <f t="shared" si="252"/>
        <v>0</v>
      </c>
      <c r="AX591" s="508">
        <f t="shared" si="253"/>
        <v>0</v>
      </c>
      <c r="AY591" s="512">
        <f t="shared" si="254"/>
        <v>0</v>
      </c>
      <c r="AZ591" s="513">
        <f t="shared" si="255"/>
        <v>3213.7244444444441</v>
      </c>
      <c r="BA591" s="508">
        <f t="shared" si="256"/>
        <v>3209.1077777777778</v>
      </c>
    </row>
    <row r="592" spans="1:53">
      <c r="A592" s="594" t="s">
        <v>533</v>
      </c>
      <c r="B592" s="651" t="s">
        <v>611</v>
      </c>
      <c r="C592" s="651"/>
      <c r="D592" s="663">
        <v>225520</v>
      </c>
      <c r="E592" s="671">
        <v>9</v>
      </c>
      <c r="F592" s="514" t="s">
        <v>41</v>
      </c>
      <c r="G592" s="515" t="s">
        <v>41</v>
      </c>
      <c r="H592" s="516">
        <v>39148</v>
      </c>
      <c r="I592" s="519">
        <v>36024</v>
      </c>
      <c r="J592" s="516">
        <v>7114</v>
      </c>
      <c r="K592" s="519">
        <v>6073</v>
      </c>
      <c r="L592" s="516">
        <v>3086</v>
      </c>
      <c r="M592" s="519">
        <v>2414</v>
      </c>
      <c r="N592" s="516">
        <v>37689</v>
      </c>
      <c r="O592" s="519">
        <v>36339</v>
      </c>
      <c r="P592" s="506">
        <f t="shared" si="239"/>
        <v>87037</v>
      </c>
      <c r="Q592" s="507">
        <f t="shared" si="240"/>
        <v>2901.2333333333331</v>
      </c>
      <c r="R592" s="508">
        <f t="shared" si="241"/>
        <v>80850</v>
      </c>
      <c r="S592" s="509">
        <f t="shared" si="242"/>
        <v>2695</v>
      </c>
      <c r="T592" s="516">
        <v>13864</v>
      </c>
      <c r="U592" s="519">
        <v>15363</v>
      </c>
      <c r="V592" s="506">
        <f t="shared" si="243"/>
        <v>87037</v>
      </c>
      <c r="W592" s="510">
        <f t="shared" si="244"/>
        <v>80850</v>
      </c>
      <c r="X592" s="517">
        <v>220723</v>
      </c>
      <c r="Y592" s="519">
        <v>152001</v>
      </c>
      <c r="Z592" s="516">
        <v>215667</v>
      </c>
      <c r="AA592" s="519">
        <v>158222</v>
      </c>
      <c r="AB592" s="516">
        <v>199639</v>
      </c>
      <c r="AC592" s="519">
        <v>172275</v>
      </c>
      <c r="AD592" s="516">
        <v>135182</v>
      </c>
      <c r="AE592" s="519">
        <v>156967</v>
      </c>
      <c r="AF592" s="506">
        <f t="shared" si="245"/>
        <v>771211</v>
      </c>
      <c r="AG592" s="507">
        <f t="shared" si="246"/>
        <v>856.90111111111116</v>
      </c>
      <c r="AH592" s="508">
        <f t="shared" si="247"/>
        <v>639465</v>
      </c>
      <c r="AI592" s="508">
        <f t="shared" si="248"/>
        <v>710.51666666666665</v>
      </c>
      <c r="AJ592" s="516"/>
      <c r="AK592" s="519"/>
      <c r="AL592" s="506">
        <f t="shared" si="249"/>
        <v>0</v>
      </c>
      <c r="AM592" s="509">
        <f t="shared" si="250"/>
        <v>0</v>
      </c>
      <c r="AN592" s="518"/>
      <c r="AO592" s="520"/>
      <c r="AP592" s="516"/>
      <c r="AQ592" s="520"/>
      <c r="AR592" s="516"/>
      <c r="AS592" s="520"/>
      <c r="AT592" s="516"/>
      <c r="AU592" s="520"/>
      <c r="AV592" s="506">
        <f t="shared" si="251"/>
        <v>0</v>
      </c>
      <c r="AW592" s="511">
        <f t="shared" si="252"/>
        <v>0</v>
      </c>
      <c r="AX592" s="508">
        <f t="shared" si="253"/>
        <v>0</v>
      </c>
      <c r="AY592" s="512">
        <f t="shared" si="254"/>
        <v>0</v>
      </c>
      <c r="AZ592" s="513">
        <f t="shared" si="255"/>
        <v>3758.1344444444444</v>
      </c>
      <c r="BA592" s="508">
        <f t="shared" si="256"/>
        <v>3405.5166666666664</v>
      </c>
    </row>
    <row r="593" spans="1:53">
      <c r="A593" s="594" t="s">
        <v>533</v>
      </c>
      <c r="B593" s="641" t="s">
        <v>612</v>
      </c>
      <c r="C593" s="653"/>
      <c r="D593" s="667">
        <v>441760</v>
      </c>
      <c r="E593" s="672">
        <v>9</v>
      </c>
      <c r="F593" s="514" t="s">
        <v>41</v>
      </c>
      <c r="G593" s="515" t="s">
        <v>41</v>
      </c>
      <c r="H593" s="516">
        <v>29152</v>
      </c>
      <c r="I593" s="519">
        <v>26870</v>
      </c>
      <c r="J593" s="516">
        <v>2561</v>
      </c>
      <c r="K593" s="519">
        <v>2273</v>
      </c>
      <c r="L593" s="516">
        <v>1683</v>
      </c>
      <c r="M593" s="519">
        <v>1662</v>
      </c>
      <c r="N593" s="516">
        <v>30984</v>
      </c>
      <c r="O593" s="519">
        <v>28553</v>
      </c>
      <c r="P593" s="506">
        <f t="shared" si="239"/>
        <v>64380</v>
      </c>
      <c r="Q593" s="507">
        <f t="shared" si="240"/>
        <v>2146</v>
      </c>
      <c r="R593" s="508">
        <f t="shared" si="241"/>
        <v>59358</v>
      </c>
      <c r="S593" s="509">
        <f t="shared" si="242"/>
        <v>1978.6</v>
      </c>
      <c r="T593" s="516">
        <v>1310</v>
      </c>
      <c r="U593" s="519">
        <v>1058</v>
      </c>
      <c r="V593" s="506">
        <f t="shared" si="243"/>
        <v>64380</v>
      </c>
      <c r="W593" s="510">
        <f t="shared" si="244"/>
        <v>59358</v>
      </c>
      <c r="X593" s="517">
        <v>27288</v>
      </c>
      <c r="Y593" s="519">
        <v>23149</v>
      </c>
      <c r="Z593" s="516">
        <v>27133</v>
      </c>
      <c r="AA593" s="519">
        <v>26021</v>
      </c>
      <c r="AB593" s="516">
        <v>33816</v>
      </c>
      <c r="AC593" s="519">
        <v>29386</v>
      </c>
      <c r="AD593" s="516">
        <v>35254</v>
      </c>
      <c r="AE593" s="519">
        <v>42880</v>
      </c>
      <c r="AF593" s="506">
        <f t="shared" si="245"/>
        <v>123491</v>
      </c>
      <c r="AG593" s="507">
        <f t="shared" si="246"/>
        <v>137.21222222222221</v>
      </c>
      <c r="AH593" s="508">
        <f t="shared" si="247"/>
        <v>121436</v>
      </c>
      <c r="AI593" s="508">
        <f t="shared" si="248"/>
        <v>134.92888888888888</v>
      </c>
      <c r="AJ593" s="516"/>
      <c r="AK593" s="519"/>
      <c r="AL593" s="506">
        <f t="shared" si="249"/>
        <v>0</v>
      </c>
      <c r="AM593" s="509">
        <f t="shared" si="250"/>
        <v>0</v>
      </c>
      <c r="AN593" s="518"/>
      <c r="AO593" s="520"/>
      <c r="AP593" s="516"/>
      <c r="AQ593" s="520"/>
      <c r="AR593" s="516"/>
      <c r="AS593" s="520"/>
      <c r="AT593" s="516"/>
      <c r="AU593" s="520"/>
      <c r="AV593" s="506">
        <f t="shared" si="251"/>
        <v>0</v>
      </c>
      <c r="AW593" s="511">
        <f t="shared" si="252"/>
        <v>0</v>
      </c>
      <c r="AX593" s="508">
        <f t="shared" si="253"/>
        <v>0</v>
      </c>
      <c r="AY593" s="512">
        <f t="shared" si="254"/>
        <v>0</v>
      </c>
      <c r="AZ593" s="513">
        <f t="shared" si="255"/>
        <v>2283.2122222222224</v>
      </c>
      <c r="BA593" s="508">
        <f t="shared" si="256"/>
        <v>2113.528888888889</v>
      </c>
    </row>
    <row r="594" spans="1:53">
      <c r="A594" s="594" t="s">
        <v>533</v>
      </c>
      <c r="B594" s="641" t="s">
        <v>630</v>
      </c>
      <c r="C594" s="670" t="s">
        <v>651</v>
      </c>
      <c r="D594" s="667">
        <v>226116</v>
      </c>
      <c r="E594" s="673">
        <v>9</v>
      </c>
      <c r="F594" s="514" t="s">
        <v>41</v>
      </c>
      <c r="G594" s="515" t="s">
        <v>41</v>
      </c>
      <c r="H594" s="516">
        <v>24710</v>
      </c>
      <c r="I594" s="519">
        <v>24987</v>
      </c>
      <c r="J594" s="516">
        <v>8495</v>
      </c>
      <c r="K594" s="519">
        <v>8681</v>
      </c>
      <c r="L594" s="516">
        <v>3143</v>
      </c>
      <c r="M594" s="519">
        <v>4534</v>
      </c>
      <c r="N594" s="516">
        <v>22917</v>
      </c>
      <c r="O594" s="519">
        <v>23547</v>
      </c>
      <c r="P594" s="506">
        <f t="shared" si="239"/>
        <v>59265</v>
      </c>
      <c r="Q594" s="507">
        <f t="shared" si="240"/>
        <v>1975.5</v>
      </c>
      <c r="R594" s="508">
        <f t="shared" si="241"/>
        <v>61749</v>
      </c>
      <c r="S594" s="509">
        <f t="shared" si="242"/>
        <v>2058.3000000000002</v>
      </c>
      <c r="T594" s="516">
        <v>2050</v>
      </c>
      <c r="U594" s="519">
        <v>2051</v>
      </c>
      <c r="V594" s="506">
        <f t="shared" si="243"/>
        <v>59265</v>
      </c>
      <c r="W594" s="510">
        <f t="shared" si="244"/>
        <v>61749</v>
      </c>
      <c r="X594" s="517">
        <v>79181</v>
      </c>
      <c r="Y594" s="519">
        <v>85340</v>
      </c>
      <c r="Z594" s="516">
        <v>68240</v>
      </c>
      <c r="AA594" s="519">
        <v>57968</v>
      </c>
      <c r="AB594" s="516">
        <v>53712</v>
      </c>
      <c r="AC594" s="519">
        <v>85216</v>
      </c>
      <c r="AD594" s="516">
        <v>97248</v>
      </c>
      <c r="AE594" s="519">
        <v>81824</v>
      </c>
      <c r="AF594" s="506">
        <f t="shared" si="245"/>
        <v>298381</v>
      </c>
      <c r="AG594" s="507">
        <f t="shared" si="246"/>
        <v>331.53444444444443</v>
      </c>
      <c r="AH594" s="508">
        <f t="shared" si="247"/>
        <v>310348</v>
      </c>
      <c r="AI594" s="508">
        <f t="shared" si="248"/>
        <v>344.83111111111111</v>
      </c>
      <c r="AJ594" s="516"/>
      <c r="AK594" s="519"/>
      <c r="AL594" s="506">
        <f t="shared" si="249"/>
        <v>0</v>
      </c>
      <c r="AM594" s="509">
        <f t="shared" si="250"/>
        <v>0</v>
      </c>
      <c r="AN594" s="518"/>
      <c r="AO594" s="520"/>
      <c r="AP594" s="516"/>
      <c r="AQ594" s="520"/>
      <c r="AR594" s="516"/>
      <c r="AS594" s="520"/>
      <c r="AT594" s="516"/>
      <c r="AU594" s="520"/>
      <c r="AV594" s="506">
        <f t="shared" si="251"/>
        <v>0</v>
      </c>
      <c r="AW594" s="511">
        <f t="shared" si="252"/>
        <v>0</v>
      </c>
      <c r="AX594" s="508">
        <f t="shared" si="253"/>
        <v>0</v>
      </c>
      <c r="AY594" s="512">
        <f t="shared" si="254"/>
        <v>0</v>
      </c>
      <c r="AZ594" s="513">
        <f t="shared" si="255"/>
        <v>2307.0344444444445</v>
      </c>
      <c r="BA594" s="508">
        <f t="shared" si="256"/>
        <v>2403.1311111111113</v>
      </c>
    </row>
    <row r="595" spans="1:53">
      <c r="A595" s="594" t="s">
        <v>533</v>
      </c>
      <c r="B595" s="641" t="s">
        <v>613</v>
      </c>
      <c r="C595" s="668"/>
      <c r="D595" s="663">
        <v>226204</v>
      </c>
      <c r="E595" s="671">
        <v>9</v>
      </c>
      <c r="F595" s="514" t="s">
        <v>41</v>
      </c>
      <c r="G595" s="515" t="s">
        <v>41</v>
      </c>
      <c r="H595" s="516">
        <v>59665</v>
      </c>
      <c r="I595" s="519">
        <v>54138</v>
      </c>
      <c r="J595" s="516">
        <v>23896</v>
      </c>
      <c r="K595" s="519">
        <v>20018</v>
      </c>
      <c r="L595" s="516">
        <v>3482</v>
      </c>
      <c r="M595" s="519">
        <v>2729</v>
      </c>
      <c r="N595" s="516">
        <v>53085</v>
      </c>
      <c r="O595" s="519">
        <v>50018</v>
      </c>
      <c r="P595" s="506">
        <f t="shared" si="239"/>
        <v>140128</v>
      </c>
      <c r="Q595" s="507">
        <f t="shared" si="240"/>
        <v>4670.9333333333334</v>
      </c>
      <c r="R595" s="508">
        <f t="shared" si="241"/>
        <v>126903</v>
      </c>
      <c r="S595" s="509">
        <f t="shared" si="242"/>
        <v>4230.1000000000004</v>
      </c>
      <c r="T595" s="516">
        <v>6801</v>
      </c>
      <c r="U595" s="519">
        <v>9643</v>
      </c>
      <c r="V595" s="506">
        <f t="shared" si="243"/>
        <v>140128</v>
      </c>
      <c r="W595" s="510">
        <f t="shared" si="244"/>
        <v>126903</v>
      </c>
      <c r="X595" s="517">
        <v>37158</v>
      </c>
      <c r="Y595" s="519">
        <v>20557</v>
      </c>
      <c r="Z595" s="516">
        <v>28407</v>
      </c>
      <c r="AA595" s="519">
        <v>21350</v>
      </c>
      <c r="AB595" s="516">
        <v>23643</v>
      </c>
      <c r="AC595" s="519">
        <v>17850</v>
      </c>
      <c r="AD595" s="516">
        <v>25718</v>
      </c>
      <c r="AE595" s="519">
        <v>26603</v>
      </c>
      <c r="AF595" s="506">
        <f t="shared" si="245"/>
        <v>114926</v>
      </c>
      <c r="AG595" s="507">
        <f t="shared" si="246"/>
        <v>127.69555555555556</v>
      </c>
      <c r="AH595" s="508">
        <f t="shared" si="247"/>
        <v>86360</v>
      </c>
      <c r="AI595" s="508">
        <f t="shared" si="248"/>
        <v>95.955555555555549</v>
      </c>
      <c r="AJ595" s="516"/>
      <c r="AK595" s="519"/>
      <c r="AL595" s="506">
        <f t="shared" si="249"/>
        <v>0</v>
      </c>
      <c r="AM595" s="509">
        <f t="shared" si="250"/>
        <v>0</v>
      </c>
      <c r="AN595" s="518"/>
      <c r="AO595" s="520"/>
      <c r="AP595" s="516"/>
      <c r="AQ595" s="520"/>
      <c r="AR595" s="516"/>
      <c r="AS595" s="520"/>
      <c r="AT595" s="516"/>
      <c r="AU595" s="520"/>
      <c r="AV595" s="506">
        <f t="shared" si="251"/>
        <v>0</v>
      </c>
      <c r="AW595" s="511">
        <f t="shared" si="252"/>
        <v>0</v>
      </c>
      <c r="AX595" s="508">
        <f t="shared" si="253"/>
        <v>0</v>
      </c>
      <c r="AY595" s="512">
        <f t="shared" si="254"/>
        <v>0</v>
      </c>
      <c r="AZ595" s="513">
        <f t="shared" si="255"/>
        <v>4798.6288888888894</v>
      </c>
      <c r="BA595" s="508">
        <f t="shared" si="256"/>
        <v>4326.0555555555557</v>
      </c>
    </row>
    <row r="596" spans="1:53">
      <c r="A596" s="594" t="s">
        <v>533</v>
      </c>
      <c r="B596" s="649" t="s">
        <v>614</v>
      </c>
      <c r="C596" s="649"/>
      <c r="D596" s="663">
        <v>226930</v>
      </c>
      <c r="E596" s="671">
        <v>9</v>
      </c>
      <c r="F596" s="514" t="s">
        <v>41</v>
      </c>
      <c r="G596" s="515" t="s">
        <v>41</v>
      </c>
      <c r="H596" s="516">
        <v>59502</v>
      </c>
      <c r="I596" s="519">
        <v>58036</v>
      </c>
      <c r="J596" s="516">
        <v>18861</v>
      </c>
      <c r="K596" s="519">
        <v>26299</v>
      </c>
      <c r="L596" s="516">
        <v>8092</v>
      </c>
      <c r="M596" s="519">
        <v>0</v>
      </c>
      <c r="N596" s="516">
        <v>60037</v>
      </c>
      <c r="O596" s="519">
        <v>56870</v>
      </c>
      <c r="P596" s="506">
        <f t="shared" si="239"/>
        <v>146492</v>
      </c>
      <c r="Q596" s="507">
        <f t="shared" si="240"/>
        <v>4883.0666666666666</v>
      </c>
      <c r="R596" s="508">
        <f t="shared" si="241"/>
        <v>141205</v>
      </c>
      <c r="S596" s="509">
        <f t="shared" si="242"/>
        <v>4706.833333333333</v>
      </c>
      <c r="T596" s="516">
        <v>7832</v>
      </c>
      <c r="U596" s="519">
        <v>9700</v>
      </c>
      <c r="V596" s="506">
        <f t="shared" si="243"/>
        <v>146492</v>
      </c>
      <c r="W596" s="510">
        <f t="shared" si="244"/>
        <v>141205</v>
      </c>
      <c r="X596" s="517">
        <v>25427</v>
      </c>
      <c r="Y596" s="519">
        <v>21474</v>
      </c>
      <c r="Z596" s="516">
        <v>26246</v>
      </c>
      <c r="AA596" s="519">
        <v>34906</v>
      </c>
      <c r="AB596" s="516">
        <v>35671</v>
      </c>
      <c r="AC596" s="519">
        <v>26101</v>
      </c>
      <c r="AD596" s="516">
        <v>34257</v>
      </c>
      <c r="AE596" s="519">
        <v>32599</v>
      </c>
      <c r="AF596" s="506">
        <f t="shared" si="245"/>
        <v>121601</v>
      </c>
      <c r="AG596" s="507">
        <f t="shared" si="246"/>
        <v>135.11222222222221</v>
      </c>
      <c r="AH596" s="508">
        <f t="shared" si="247"/>
        <v>115080</v>
      </c>
      <c r="AI596" s="508">
        <f t="shared" si="248"/>
        <v>127.86666666666666</v>
      </c>
      <c r="AJ596" s="516"/>
      <c r="AK596" s="519"/>
      <c r="AL596" s="506">
        <f t="shared" si="249"/>
        <v>0</v>
      </c>
      <c r="AM596" s="509">
        <f t="shared" si="250"/>
        <v>0</v>
      </c>
      <c r="AN596" s="518"/>
      <c r="AO596" s="520"/>
      <c r="AP596" s="516"/>
      <c r="AQ596" s="520"/>
      <c r="AR596" s="516"/>
      <c r="AS596" s="520"/>
      <c r="AT596" s="516"/>
      <c r="AU596" s="520"/>
      <c r="AV596" s="506">
        <f t="shared" si="251"/>
        <v>0</v>
      </c>
      <c r="AW596" s="511">
        <f t="shared" si="252"/>
        <v>0</v>
      </c>
      <c r="AX596" s="508">
        <f t="shared" si="253"/>
        <v>0</v>
      </c>
      <c r="AY596" s="512">
        <f t="shared" si="254"/>
        <v>0</v>
      </c>
      <c r="AZ596" s="513">
        <f t="shared" si="255"/>
        <v>5018.1788888888887</v>
      </c>
      <c r="BA596" s="508">
        <f t="shared" si="256"/>
        <v>4834.7</v>
      </c>
    </row>
    <row r="597" spans="1:53">
      <c r="A597" s="594" t="s">
        <v>533</v>
      </c>
      <c r="B597" s="595" t="s">
        <v>615</v>
      </c>
      <c r="C597" s="639"/>
      <c r="D597" s="663">
        <v>227225</v>
      </c>
      <c r="E597" s="661">
        <v>9</v>
      </c>
      <c r="F597" s="514" t="s">
        <v>41</v>
      </c>
      <c r="G597" s="515" t="s">
        <v>41</v>
      </c>
      <c r="H597" s="516">
        <v>30175</v>
      </c>
      <c r="I597" s="519">
        <v>31558</v>
      </c>
      <c r="J597" s="516">
        <v>6783</v>
      </c>
      <c r="K597" s="519">
        <v>5728</v>
      </c>
      <c r="L597" s="516">
        <v>0</v>
      </c>
      <c r="M597" s="519">
        <v>0</v>
      </c>
      <c r="N597" s="516">
        <v>35644</v>
      </c>
      <c r="O597" s="519">
        <v>33767</v>
      </c>
      <c r="P597" s="506">
        <f t="shared" si="239"/>
        <v>72602</v>
      </c>
      <c r="Q597" s="507">
        <f t="shared" si="240"/>
        <v>2420.0666666666666</v>
      </c>
      <c r="R597" s="508">
        <f t="shared" si="241"/>
        <v>71053</v>
      </c>
      <c r="S597" s="509">
        <f t="shared" si="242"/>
        <v>2368.4333333333334</v>
      </c>
      <c r="T597" s="516">
        <v>5886</v>
      </c>
      <c r="U597" s="519">
        <v>5934</v>
      </c>
      <c r="V597" s="506">
        <f t="shared" si="243"/>
        <v>72602</v>
      </c>
      <c r="W597" s="510">
        <f t="shared" si="244"/>
        <v>71053</v>
      </c>
      <c r="X597" s="517">
        <v>8942</v>
      </c>
      <c r="Y597" s="519">
        <v>7603</v>
      </c>
      <c r="Z597" s="516">
        <v>7869</v>
      </c>
      <c r="AA597" s="519">
        <v>11226</v>
      </c>
      <c r="AB597" s="516">
        <v>7228</v>
      </c>
      <c r="AC597" s="519">
        <v>6775</v>
      </c>
      <c r="AD597" s="516">
        <v>8308</v>
      </c>
      <c r="AE597" s="519">
        <v>3661</v>
      </c>
      <c r="AF597" s="506">
        <f t="shared" si="245"/>
        <v>32347</v>
      </c>
      <c r="AG597" s="507">
        <f t="shared" si="246"/>
        <v>35.941111111111113</v>
      </c>
      <c r="AH597" s="508">
        <f t="shared" si="247"/>
        <v>29265</v>
      </c>
      <c r="AI597" s="508">
        <f t="shared" si="248"/>
        <v>32.516666666666666</v>
      </c>
      <c r="AJ597" s="516"/>
      <c r="AK597" s="519"/>
      <c r="AL597" s="506">
        <f t="shared" si="249"/>
        <v>0</v>
      </c>
      <c r="AM597" s="509">
        <f t="shared" si="250"/>
        <v>0</v>
      </c>
      <c r="AN597" s="518"/>
      <c r="AO597" s="520"/>
      <c r="AP597" s="516"/>
      <c r="AQ597" s="520"/>
      <c r="AR597" s="516"/>
      <c r="AS597" s="520"/>
      <c r="AT597" s="516"/>
      <c r="AU597" s="520"/>
      <c r="AV597" s="506">
        <f t="shared" si="251"/>
        <v>0</v>
      </c>
      <c r="AW597" s="511">
        <f t="shared" si="252"/>
        <v>0</v>
      </c>
      <c r="AX597" s="508">
        <f t="shared" si="253"/>
        <v>0</v>
      </c>
      <c r="AY597" s="512">
        <f t="shared" si="254"/>
        <v>0</v>
      </c>
      <c r="AZ597" s="513">
        <f t="shared" si="255"/>
        <v>2456.0077777777778</v>
      </c>
      <c r="BA597" s="508">
        <f t="shared" si="256"/>
        <v>2400.9500000000003</v>
      </c>
    </row>
    <row r="598" spans="1:53">
      <c r="A598" s="594" t="s">
        <v>533</v>
      </c>
      <c r="B598" s="641" t="s">
        <v>616</v>
      </c>
      <c r="C598" s="668"/>
      <c r="D598" s="663">
        <v>227304</v>
      </c>
      <c r="E598" s="671">
        <v>9</v>
      </c>
      <c r="F598" s="514" t="s">
        <v>41</v>
      </c>
      <c r="G598" s="515" t="s">
        <v>41</v>
      </c>
      <c r="H598" s="516">
        <v>43419</v>
      </c>
      <c r="I598" s="519">
        <v>39644</v>
      </c>
      <c r="J598" s="516">
        <v>7383</v>
      </c>
      <c r="K598" s="519">
        <v>7411</v>
      </c>
      <c r="L598" s="516">
        <v>4854</v>
      </c>
      <c r="M598" s="519">
        <v>5157</v>
      </c>
      <c r="N598" s="516">
        <v>43112</v>
      </c>
      <c r="O598" s="519">
        <v>41428</v>
      </c>
      <c r="P598" s="506">
        <f t="shared" si="239"/>
        <v>98768</v>
      </c>
      <c r="Q598" s="507">
        <f t="shared" si="240"/>
        <v>3292.2666666666669</v>
      </c>
      <c r="R598" s="508">
        <f t="shared" si="241"/>
        <v>93640</v>
      </c>
      <c r="S598" s="509">
        <f t="shared" si="242"/>
        <v>3121.3333333333335</v>
      </c>
      <c r="T598" s="516">
        <v>10092</v>
      </c>
      <c r="U598" s="519">
        <v>10932</v>
      </c>
      <c r="V598" s="506">
        <f t="shared" si="243"/>
        <v>98768</v>
      </c>
      <c r="W598" s="510">
        <f t="shared" si="244"/>
        <v>93640</v>
      </c>
      <c r="X598" s="517">
        <v>66361</v>
      </c>
      <c r="Y598" s="519">
        <v>87062</v>
      </c>
      <c r="Z598" s="516">
        <v>87615</v>
      </c>
      <c r="AA598" s="519">
        <v>69155</v>
      </c>
      <c r="AB598" s="516">
        <v>80000</v>
      </c>
      <c r="AC598" s="519">
        <v>76886</v>
      </c>
      <c r="AD598" s="516">
        <v>88040</v>
      </c>
      <c r="AE598" s="519">
        <v>75192</v>
      </c>
      <c r="AF598" s="506">
        <f t="shared" si="245"/>
        <v>322016</v>
      </c>
      <c r="AG598" s="507">
        <f t="shared" si="246"/>
        <v>357.79555555555555</v>
      </c>
      <c r="AH598" s="508">
        <f t="shared" si="247"/>
        <v>308295</v>
      </c>
      <c r="AI598" s="508">
        <f t="shared" si="248"/>
        <v>342.55</v>
      </c>
      <c r="AJ598" s="516"/>
      <c r="AK598" s="519"/>
      <c r="AL598" s="506">
        <f t="shared" si="249"/>
        <v>0</v>
      </c>
      <c r="AM598" s="509">
        <f t="shared" si="250"/>
        <v>0</v>
      </c>
      <c r="AN598" s="518"/>
      <c r="AO598" s="520"/>
      <c r="AP598" s="516"/>
      <c r="AQ598" s="520"/>
      <c r="AR598" s="516"/>
      <c r="AS598" s="520"/>
      <c r="AT598" s="516"/>
      <c r="AU598" s="520"/>
      <c r="AV598" s="506">
        <f t="shared" si="251"/>
        <v>0</v>
      </c>
      <c r="AW598" s="511">
        <f t="shared" si="252"/>
        <v>0</v>
      </c>
      <c r="AX598" s="508">
        <f t="shared" si="253"/>
        <v>0</v>
      </c>
      <c r="AY598" s="512">
        <f t="shared" si="254"/>
        <v>0</v>
      </c>
      <c r="AZ598" s="513">
        <f t="shared" si="255"/>
        <v>3650.0622222222223</v>
      </c>
      <c r="BA598" s="508">
        <f t="shared" si="256"/>
        <v>3463.8833333333337</v>
      </c>
    </row>
    <row r="599" spans="1:53">
      <c r="A599" s="594" t="s">
        <v>533</v>
      </c>
      <c r="B599" s="641" t="s">
        <v>617</v>
      </c>
      <c r="C599" s="668"/>
      <c r="D599" s="663">
        <v>227401</v>
      </c>
      <c r="E599" s="671">
        <v>9</v>
      </c>
      <c r="F599" s="514" t="s">
        <v>41</v>
      </c>
      <c r="G599" s="515" t="s">
        <v>41</v>
      </c>
      <c r="H599" s="516">
        <v>55180</v>
      </c>
      <c r="I599" s="519">
        <v>54685</v>
      </c>
      <c r="J599" s="516">
        <v>19534</v>
      </c>
      <c r="K599" s="519">
        <v>9909</v>
      </c>
      <c r="L599" s="516">
        <v>0</v>
      </c>
      <c r="M599" s="519">
        <v>4176</v>
      </c>
      <c r="N599" s="516">
        <v>57170</v>
      </c>
      <c r="O599" s="519">
        <v>52700</v>
      </c>
      <c r="P599" s="506">
        <f t="shared" si="239"/>
        <v>131884</v>
      </c>
      <c r="Q599" s="507">
        <f t="shared" si="240"/>
        <v>4396.1333333333332</v>
      </c>
      <c r="R599" s="508">
        <f t="shared" si="241"/>
        <v>121470</v>
      </c>
      <c r="S599" s="509">
        <f t="shared" si="242"/>
        <v>4049</v>
      </c>
      <c r="T599" s="516">
        <v>12465</v>
      </c>
      <c r="U599" s="519">
        <v>12380</v>
      </c>
      <c r="V599" s="506">
        <f t="shared" si="243"/>
        <v>131884</v>
      </c>
      <c r="W599" s="510">
        <f t="shared" si="244"/>
        <v>121470</v>
      </c>
      <c r="X599" s="517">
        <v>12188</v>
      </c>
      <c r="Y599" s="519">
        <v>20160</v>
      </c>
      <c r="Z599" s="516">
        <v>14789</v>
      </c>
      <c r="AA599" s="519">
        <v>28023</v>
      </c>
      <c r="AB599" s="516">
        <v>18928</v>
      </c>
      <c r="AC599" s="519">
        <v>12471</v>
      </c>
      <c r="AD599" s="516">
        <v>37412</v>
      </c>
      <c r="AE599" s="519">
        <v>18601</v>
      </c>
      <c r="AF599" s="506">
        <f t="shared" si="245"/>
        <v>83317</v>
      </c>
      <c r="AG599" s="507">
        <f t="shared" si="246"/>
        <v>92.574444444444438</v>
      </c>
      <c r="AH599" s="508">
        <f t="shared" si="247"/>
        <v>79255</v>
      </c>
      <c r="AI599" s="508">
        <f t="shared" si="248"/>
        <v>88.061111111111117</v>
      </c>
      <c r="AJ599" s="516"/>
      <c r="AK599" s="519"/>
      <c r="AL599" s="506">
        <f t="shared" si="249"/>
        <v>0</v>
      </c>
      <c r="AM599" s="509">
        <f t="shared" si="250"/>
        <v>0</v>
      </c>
      <c r="AN599" s="518"/>
      <c r="AO599" s="520"/>
      <c r="AP599" s="516"/>
      <c r="AQ599" s="520"/>
      <c r="AR599" s="516"/>
      <c r="AS599" s="520"/>
      <c r="AT599" s="516"/>
      <c r="AU599" s="520"/>
      <c r="AV599" s="506">
        <f t="shared" si="251"/>
        <v>0</v>
      </c>
      <c r="AW599" s="511">
        <f t="shared" si="252"/>
        <v>0</v>
      </c>
      <c r="AX599" s="508">
        <f t="shared" si="253"/>
        <v>0</v>
      </c>
      <c r="AY599" s="512">
        <f t="shared" si="254"/>
        <v>0</v>
      </c>
      <c r="AZ599" s="513">
        <f t="shared" si="255"/>
        <v>4488.7077777777777</v>
      </c>
      <c r="BA599" s="508">
        <f t="shared" si="256"/>
        <v>4137.0611111111111</v>
      </c>
    </row>
    <row r="600" spans="1:53">
      <c r="A600" s="594" t="s">
        <v>533</v>
      </c>
      <c r="B600" s="641" t="s">
        <v>618</v>
      </c>
      <c r="C600" s="668"/>
      <c r="D600" s="663">
        <v>228316</v>
      </c>
      <c r="E600" s="671">
        <v>9</v>
      </c>
      <c r="F600" s="514" t="s">
        <v>41</v>
      </c>
      <c r="G600" s="515" t="s">
        <v>41</v>
      </c>
      <c r="H600" s="516">
        <v>50408</v>
      </c>
      <c r="I600" s="519">
        <v>44321</v>
      </c>
      <c r="J600" s="516">
        <v>8129</v>
      </c>
      <c r="K600" s="519">
        <v>6943</v>
      </c>
      <c r="L600" s="516">
        <v>4232</v>
      </c>
      <c r="M600" s="519">
        <v>3398</v>
      </c>
      <c r="N600" s="516">
        <v>48836</v>
      </c>
      <c r="O600" s="519">
        <v>49884</v>
      </c>
      <c r="P600" s="506">
        <f t="shared" si="239"/>
        <v>111605</v>
      </c>
      <c r="Q600" s="507">
        <f t="shared" si="240"/>
        <v>3720.1666666666665</v>
      </c>
      <c r="R600" s="508">
        <f t="shared" si="241"/>
        <v>104546</v>
      </c>
      <c r="S600" s="509">
        <f t="shared" si="242"/>
        <v>3484.8666666666668</v>
      </c>
      <c r="T600" s="516">
        <v>14657</v>
      </c>
      <c r="U600" s="519">
        <v>15590</v>
      </c>
      <c r="V600" s="506">
        <f t="shared" si="243"/>
        <v>111605</v>
      </c>
      <c r="W600" s="510">
        <f t="shared" si="244"/>
        <v>104546</v>
      </c>
      <c r="X600" s="517">
        <v>64752</v>
      </c>
      <c r="Y600" s="519">
        <v>23806</v>
      </c>
      <c r="Z600" s="516">
        <v>14625</v>
      </c>
      <c r="AA600" s="519">
        <v>46101</v>
      </c>
      <c r="AB600" s="516">
        <v>41572</v>
      </c>
      <c r="AC600" s="519">
        <v>33059</v>
      </c>
      <c r="AD600" s="516">
        <v>17092</v>
      </c>
      <c r="AE600" s="519">
        <v>31338</v>
      </c>
      <c r="AF600" s="506">
        <f t="shared" si="245"/>
        <v>138041</v>
      </c>
      <c r="AG600" s="507">
        <f t="shared" si="246"/>
        <v>153.37888888888889</v>
      </c>
      <c r="AH600" s="508">
        <f t="shared" si="247"/>
        <v>134304</v>
      </c>
      <c r="AI600" s="508">
        <f t="shared" si="248"/>
        <v>149.22666666666666</v>
      </c>
      <c r="AJ600" s="516"/>
      <c r="AK600" s="519"/>
      <c r="AL600" s="506">
        <f t="shared" si="249"/>
        <v>0</v>
      </c>
      <c r="AM600" s="509">
        <f t="shared" si="250"/>
        <v>0</v>
      </c>
      <c r="AN600" s="518"/>
      <c r="AO600" s="520"/>
      <c r="AP600" s="516"/>
      <c r="AQ600" s="520"/>
      <c r="AR600" s="516"/>
      <c r="AS600" s="520"/>
      <c r="AT600" s="516"/>
      <c r="AU600" s="520"/>
      <c r="AV600" s="506">
        <f t="shared" si="251"/>
        <v>0</v>
      </c>
      <c r="AW600" s="511">
        <f t="shared" si="252"/>
        <v>0</v>
      </c>
      <c r="AX600" s="508">
        <f t="shared" si="253"/>
        <v>0</v>
      </c>
      <c r="AY600" s="512">
        <f t="shared" si="254"/>
        <v>0</v>
      </c>
      <c r="AZ600" s="513">
        <f t="shared" si="255"/>
        <v>3873.5455555555554</v>
      </c>
      <c r="BA600" s="508">
        <f t="shared" si="256"/>
        <v>3634.0933333333332</v>
      </c>
    </row>
    <row r="601" spans="1:53">
      <c r="A601" s="594" t="s">
        <v>533</v>
      </c>
      <c r="B601" s="641" t="s">
        <v>619</v>
      </c>
      <c r="C601" s="668"/>
      <c r="D601" s="663">
        <v>228608</v>
      </c>
      <c r="E601" s="671">
        <v>9</v>
      </c>
      <c r="F601" s="514" t="s">
        <v>41</v>
      </c>
      <c r="G601" s="515" t="s">
        <v>41</v>
      </c>
      <c r="H601" s="516">
        <v>51775</v>
      </c>
      <c r="I601" s="519">
        <v>49675</v>
      </c>
      <c r="J601" s="516">
        <v>14930</v>
      </c>
      <c r="K601" s="519">
        <v>13686</v>
      </c>
      <c r="L601" s="516">
        <v>0</v>
      </c>
      <c r="M601" s="519">
        <v>0</v>
      </c>
      <c r="N601" s="516">
        <v>54852</v>
      </c>
      <c r="O601" s="519">
        <v>50271</v>
      </c>
      <c r="P601" s="506">
        <f t="shared" si="239"/>
        <v>121557</v>
      </c>
      <c r="Q601" s="507">
        <f t="shared" si="240"/>
        <v>4051.9</v>
      </c>
      <c r="R601" s="508">
        <f t="shared" si="241"/>
        <v>113632</v>
      </c>
      <c r="S601" s="509">
        <f t="shared" si="242"/>
        <v>3787.7333333333331</v>
      </c>
      <c r="T601" s="516">
        <v>12763</v>
      </c>
      <c r="U601" s="519">
        <v>11775</v>
      </c>
      <c r="V601" s="506">
        <f t="shared" si="243"/>
        <v>121557</v>
      </c>
      <c r="W601" s="510">
        <f t="shared" si="244"/>
        <v>113632</v>
      </c>
      <c r="X601" s="517">
        <v>24479</v>
      </c>
      <c r="Y601" s="519">
        <v>19647</v>
      </c>
      <c r="Z601" s="516">
        <v>31314</v>
      </c>
      <c r="AA601" s="519">
        <v>33426</v>
      </c>
      <c r="AB601" s="516">
        <v>25699</v>
      </c>
      <c r="AC601" s="519">
        <v>38309</v>
      </c>
      <c r="AD601" s="516">
        <v>40675</v>
      </c>
      <c r="AE601" s="519">
        <v>32318</v>
      </c>
      <c r="AF601" s="506">
        <f t="shared" si="245"/>
        <v>122167</v>
      </c>
      <c r="AG601" s="507">
        <f t="shared" si="246"/>
        <v>135.74111111111111</v>
      </c>
      <c r="AH601" s="508">
        <f t="shared" si="247"/>
        <v>123700</v>
      </c>
      <c r="AI601" s="508">
        <f t="shared" si="248"/>
        <v>137.44444444444446</v>
      </c>
      <c r="AJ601" s="516"/>
      <c r="AK601" s="519"/>
      <c r="AL601" s="506">
        <f t="shared" si="249"/>
        <v>0</v>
      </c>
      <c r="AM601" s="509">
        <f t="shared" si="250"/>
        <v>0</v>
      </c>
      <c r="AN601" s="518"/>
      <c r="AO601" s="520"/>
      <c r="AP601" s="516"/>
      <c r="AQ601" s="520"/>
      <c r="AR601" s="516"/>
      <c r="AS601" s="520"/>
      <c r="AT601" s="516"/>
      <c r="AU601" s="520"/>
      <c r="AV601" s="506">
        <f t="shared" si="251"/>
        <v>0</v>
      </c>
      <c r="AW601" s="511">
        <f t="shared" si="252"/>
        <v>0</v>
      </c>
      <c r="AX601" s="508">
        <f t="shared" si="253"/>
        <v>0</v>
      </c>
      <c r="AY601" s="512">
        <f t="shared" si="254"/>
        <v>0</v>
      </c>
      <c r="AZ601" s="513">
        <f t="shared" si="255"/>
        <v>4187.6411111111111</v>
      </c>
      <c r="BA601" s="508">
        <f t="shared" si="256"/>
        <v>3925.1777777777775</v>
      </c>
    </row>
    <row r="602" spans="1:53">
      <c r="A602" s="594" t="s">
        <v>533</v>
      </c>
      <c r="B602" s="641" t="s">
        <v>620</v>
      </c>
      <c r="C602" s="668"/>
      <c r="D602" s="663">
        <v>228699</v>
      </c>
      <c r="E602" s="671">
        <v>9</v>
      </c>
      <c r="F602" s="514" t="s">
        <v>41</v>
      </c>
      <c r="G602" s="515" t="s">
        <v>41</v>
      </c>
      <c r="H602" s="516">
        <v>34706</v>
      </c>
      <c r="I602" s="519">
        <v>34811</v>
      </c>
      <c r="J602" s="516">
        <v>10735</v>
      </c>
      <c r="K602" s="519">
        <v>8389</v>
      </c>
      <c r="L602" s="516">
        <v>2038</v>
      </c>
      <c r="M602" s="519">
        <v>0</v>
      </c>
      <c r="N602" s="516">
        <v>40008</v>
      </c>
      <c r="O602" s="519">
        <v>34348</v>
      </c>
      <c r="P602" s="506">
        <f t="shared" si="239"/>
        <v>87487</v>
      </c>
      <c r="Q602" s="507">
        <f t="shared" si="240"/>
        <v>2916.2333333333331</v>
      </c>
      <c r="R602" s="508">
        <f t="shared" si="241"/>
        <v>77548</v>
      </c>
      <c r="S602" s="509">
        <f t="shared" si="242"/>
        <v>2584.9333333333334</v>
      </c>
      <c r="T602" s="516">
        <v>11333</v>
      </c>
      <c r="U602" s="519">
        <v>12273</v>
      </c>
      <c r="V602" s="506">
        <f t="shared" si="243"/>
        <v>87487</v>
      </c>
      <c r="W602" s="510">
        <f t="shared" si="244"/>
        <v>77548</v>
      </c>
      <c r="X602" s="517">
        <v>98110</v>
      </c>
      <c r="Y602" s="519">
        <v>97504</v>
      </c>
      <c r="Z602" s="516">
        <v>98478</v>
      </c>
      <c r="AA602" s="519">
        <v>90332</v>
      </c>
      <c r="AB602" s="516">
        <v>72392</v>
      </c>
      <c r="AC602" s="519">
        <v>58958</v>
      </c>
      <c r="AD602" s="516">
        <v>105394</v>
      </c>
      <c r="AE602" s="519">
        <v>68737</v>
      </c>
      <c r="AF602" s="506">
        <f t="shared" si="245"/>
        <v>374374</v>
      </c>
      <c r="AG602" s="507">
        <f t="shared" si="246"/>
        <v>415.9711111111111</v>
      </c>
      <c r="AH602" s="508">
        <f t="shared" si="247"/>
        <v>315531</v>
      </c>
      <c r="AI602" s="508">
        <f t="shared" si="248"/>
        <v>350.59</v>
      </c>
      <c r="AJ602" s="516"/>
      <c r="AK602" s="519"/>
      <c r="AL602" s="506">
        <f t="shared" si="249"/>
        <v>0</v>
      </c>
      <c r="AM602" s="509">
        <f t="shared" si="250"/>
        <v>0</v>
      </c>
      <c r="AN602" s="518"/>
      <c r="AO602" s="520"/>
      <c r="AP602" s="516"/>
      <c r="AQ602" s="520"/>
      <c r="AR602" s="516"/>
      <c r="AS602" s="520"/>
      <c r="AT602" s="516"/>
      <c r="AU602" s="520"/>
      <c r="AV602" s="506">
        <f t="shared" si="251"/>
        <v>0</v>
      </c>
      <c r="AW602" s="511">
        <f t="shared" si="252"/>
        <v>0</v>
      </c>
      <c r="AX602" s="508">
        <f t="shared" si="253"/>
        <v>0</v>
      </c>
      <c r="AY602" s="512">
        <f t="shared" si="254"/>
        <v>0</v>
      </c>
      <c r="AZ602" s="513">
        <f t="shared" si="255"/>
        <v>3332.2044444444441</v>
      </c>
      <c r="BA602" s="508">
        <f t="shared" si="256"/>
        <v>2935.5233333333335</v>
      </c>
    </row>
    <row r="603" spans="1:53">
      <c r="A603" s="594" t="s">
        <v>533</v>
      </c>
      <c r="B603" s="641" t="s">
        <v>621</v>
      </c>
      <c r="C603" s="639"/>
      <c r="D603" s="663">
        <v>229319</v>
      </c>
      <c r="E603" s="671">
        <v>9</v>
      </c>
      <c r="F603" s="514" t="s">
        <v>41</v>
      </c>
      <c r="G603" s="515" t="s">
        <v>41</v>
      </c>
      <c r="H603" s="516">
        <v>46121</v>
      </c>
      <c r="I603" s="519">
        <v>42120</v>
      </c>
      <c r="J603" s="516">
        <v>32274</v>
      </c>
      <c r="K603" s="519">
        <v>28125</v>
      </c>
      <c r="L603" s="516">
        <v>0</v>
      </c>
      <c r="M603" s="519">
        <v>0</v>
      </c>
      <c r="N603" s="516">
        <v>51996</v>
      </c>
      <c r="O603" s="519">
        <v>50505</v>
      </c>
      <c r="P603" s="506">
        <f t="shared" si="239"/>
        <v>130391</v>
      </c>
      <c r="Q603" s="507">
        <f t="shared" si="240"/>
        <v>4346.3666666666668</v>
      </c>
      <c r="R603" s="508">
        <f t="shared" si="241"/>
        <v>120750</v>
      </c>
      <c r="S603" s="509">
        <f t="shared" si="242"/>
        <v>4025</v>
      </c>
      <c r="T603" s="516">
        <v>12569</v>
      </c>
      <c r="U603" s="519">
        <v>11440</v>
      </c>
      <c r="V603" s="506">
        <f t="shared" si="243"/>
        <v>130391</v>
      </c>
      <c r="W603" s="510">
        <f t="shared" si="244"/>
        <v>120750</v>
      </c>
      <c r="X603" s="517">
        <v>18603</v>
      </c>
      <c r="Y603" s="519">
        <v>21534</v>
      </c>
      <c r="Z603" s="516">
        <v>23102</v>
      </c>
      <c r="AA603" s="519">
        <v>54185</v>
      </c>
      <c r="AB603" s="516">
        <v>15184</v>
      </c>
      <c r="AC603" s="519">
        <v>20228</v>
      </c>
      <c r="AD603" s="516">
        <v>33008</v>
      </c>
      <c r="AE603" s="519">
        <v>37965</v>
      </c>
      <c r="AF603" s="506">
        <f t="shared" si="245"/>
        <v>89897</v>
      </c>
      <c r="AG603" s="507">
        <f t="shared" si="246"/>
        <v>99.885555555555555</v>
      </c>
      <c r="AH603" s="508">
        <f t="shared" si="247"/>
        <v>133912</v>
      </c>
      <c r="AI603" s="508">
        <f t="shared" si="248"/>
        <v>148.79111111111112</v>
      </c>
      <c r="AJ603" s="516"/>
      <c r="AK603" s="519"/>
      <c r="AL603" s="506">
        <f t="shared" si="249"/>
        <v>0</v>
      </c>
      <c r="AM603" s="509">
        <f t="shared" si="250"/>
        <v>0</v>
      </c>
      <c r="AN603" s="518"/>
      <c r="AO603" s="520"/>
      <c r="AP603" s="516"/>
      <c r="AQ603" s="520"/>
      <c r="AR603" s="516"/>
      <c r="AS603" s="520"/>
      <c r="AT603" s="516"/>
      <c r="AU603" s="520"/>
      <c r="AV603" s="506">
        <f t="shared" si="251"/>
        <v>0</v>
      </c>
      <c r="AW603" s="511">
        <f t="shared" si="252"/>
        <v>0</v>
      </c>
      <c r="AX603" s="508">
        <f t="shared" si="253"/>
        <v>0</v>
      </c>
      <c r="AY603" s="512">
        <f t="shared" si="254"/>
        <v>0</v>
      </c>
      <c r="AZ603" s="513">
        <f t="shared" si="255"/>
        <v>4446.2522222222224</v>
      </c>
      <c r="BA603" s="508">
        <f t="shared" si="256"/>
        <v>4173.7911111111107</v>
      </c>
    </row>
    <row r="604" spans="1:53">
      <c r="A604" s="594" t="s">
        <v>533</v>
      </c>
      <c r="B604" s="641" t="s">
        <v>622</v>
      </c>
      <c r="C604" s="653"/>
      <c r="D604" s="667">
        <v>229504</v>
      </c>
      <c r="E604" s="672">
        <v>9</v>
      </c>
      <c r="F604" s="514" t="s">
        <v>41</v>
      </c>
      <c r="G604" s="515" t="s">
        <v>41</v>
      </c>
      <c r="H604" s="516">
        <v>29097</v>
      </c>
      <c r="I604" s="519">
        <v>28647</v>
      </c>
      <c r="J604" s="516">
        <v>5183</v>
      </c>
      <c r="K604" s="519">
        <v>4437</v>
      </c>
      <c r="L604" s="516">
        <v>5631</v>
      </c>
      <c r="M604" s="519">
        <v>5412</v>
      </c>
      <c r="N604" s="516">
        <v>27668</v>
      </c>
      <c r="O604" s="519">
        <v>26792</v>
      </c>
      <c r="P604" s="506">
        <f t="shared" si="239"/>
        <v>67579</v>
      </c>
      <c r="Q604" s="507">
        <f t="shared" si="240"/>
        <v>2252.6333333333332</v>
      </c>
      <c r="R604" s="508">
        <f t="shared" si="241"/>
        <v>65288</v>
      </c>
      <c r="S604" s="509">
        <f t="shared" si="242"/>
        <v>2176.2666666666669</v>
      </c>
      <c r="T604" s="516">
        <v>4750</v>
      </c>
      <c r="U604" s="519">
        <v>4879</v>
      </c>
      <c r="V604" s="506">
        <f t="shared" si="243"/>
        <v>67579</v>
      </c>
      <c r="W604" s="510">
        <f t="shared" si="244"/>
        <v>65288</v>
      </c>
      <c r="X604" s="517">
        <v>115567</v>
      </c>
      <c r="Y604" s="519">
        <v>49399</v>
      </c>
      <c r="Z604" s="516">
        <v>81514</v>
      </c>
      <c r="AA604" s="519">
        <v>37725</v>
      </c>
      <c r="AB604" s="516">
        <v>80695</v>
      </c>
      <c r="AC604" s="519">
        <v>30659</v>
      </c>
      <c r="AD604" s="516">
        <v>67010</v>
      </c>
      <c r="AE604" s="519">
        <v>63520</v>
      </c>
      <c r="AF604" s="506">
        <f t="shared" si="245"/>
        <v>344786</v>
      </c>
      <c r="AG604" s="507">
        <f t="shared" si="246"/>
        <v>383.09555555555556</v>
      </c>
      <c r="AH604" s="508">
        <f t="shared" si="247"/>
        <v>181303</v>
      </c>
      <c r="AI604" s="508">
        <f t="shared" si="248"/>
        <v>201.44777777777779</v>
      </c>
      <c r="AJ604" s="516"/>
      <c r="AK604" s="519"/>
      <c r="AL604" s="506">
        <f t="shared" si="249"/>
        <v>0</v>
      </c>
      <c r="AM604" s="509">
        <f t="shared" si="250"/>
        <v>0</v>
      </c>
      <c r="AN604" s="518"/>
      <c r="AO604" s="520"/>
      <c r="AP604" s="516"/>
      <c r="AQ604" s="520"/>
      <c r="AR604" s="516"/>
      <c r="AS604" s="520"/>
      <c r="AT604" s="516"/>
      <c r="AU604" s="520"/>
      <c r="AV604" s="506">
        <f t="shared" si="251"/>
        <v>0</v>
      </c>
      <c r="AW604" s="511">
        <f t="shared" si="252"/>
        <v>0</v>
      </c>
      <c r="AX604" s="508">
        <f t="shared" si="253"/>
        <v>0</v>
      </c>
      <c r="AY604" s="512">
        <f t="shared" si="254"/>
        <v>0</v>
      </c>
      <c r="AZ604" s="513">
        <f t="shared" si="255"/>
        <v>2635.7288888888888</v>
      </c>
      <c r="BA604" s="508">
        <f t="shared" si="256"/>
        <v>2377.7144444444448</v>
      </c>
    </row>
    <row r="605" spans="1:53">
      <c r="A605" s="594" t="s">
        <v>533</v>
      </c>
      <c r="B605" s="641" t="s">
        <v>623</v>
      </c>
      <c r="C605" s="668"/>
      <c r="D605" s="663">
        <v>229540</v>
      </c>
      <c r="E605" s="671">
        <v>9</v>
      </c>
      <c r="F605" s="514" t="s">
        <v>41</v>
      </c>
      <c r="G605" s="515" t="s">
        <v>41</v>
      </c>
      <c r="H605" s="516">
        <v>36419</v>
      </c>
      <c r="I605" s="519">
        <v>36447</v>
      </c>
      <c r="J605" s="516">
        <v>11591</v>
      </c>
      <c r="K605" s="519">
        <v>9994</v>
      </c>
      <c r="L605" s="516">
        <v>0</v>
      </c>
      <c r="M605" s="519">
        <v>0</v>
      </c>
      <c r="N605" s="516">
        <v>37972</v>
      </c>
      <c r="O605" s="519">
        <v>36068</v>
      </c>
      <c r="P605" s="506">
        <f t="shared" si="239"/>
        <v>85982</v>
      </c>
      <c r="Q605" s="507">
        <f t="shared" si="240"/>
        <v>2866.0666666666666</v>
      </c>
      <c r="R605" s="508">
        <f t="shared" si="241"/>
        <v>82509</v>
      </c>
      <c r="S605" s="509">
        <f t="shared" si="242"/>
        <v>2750.3</v>
      </c>
      <c r="T605" s="516">
        <v>4305</v>
      </c>
      <c r="U605" s="519">
        <v>4948</v>
      </c>
      <c r="V605" s="506">
        <f t="shared" si="243"/>
        <v>85982</v>
      </c>
      <c r="W605" s="510">
        <f t="shared" si="244"/>
        <v>82509</v>
      </c>
      <c r="X605" s="517">
        <v>63662</v>
      </c>
      <c r="Y605" s="519">
        <v>38286</v>
      </c>
      <c r="Z605" s="516">
        <v>43590</v>
      </c>
      <c r="AA605" s="519">
        <v>30715</v>
      </c>
      <c r="AB605" s="516">
        <v>54037</v>
      </c>
      <c r="AC605" s="519">
        <v>31139</v>
      </c>
      <c r="AD605" s="516">
        <v>30631</v>
      </c>
      <c r="AE605" s="519">
        <v>50562</v>
      </c>
      <c r="AF605" s="506">
        <f t="shared" si="245"/>
        <v>191920</v>
      </c>
      <c r="AG605" s="507">
        <f t="shared" si="246"/>
        <v>213.24444444444444</v>
      </c>
      <c r="AH605" s="508">
        <f t="shared" si="247"/>
        <v>150702</v>
      </c>
      <c r="AI605" s="508">
        <f t="shared" si="248"/>
        <v>167.44666666666666</v>
      </c>
      <c r="AJ605" s="516"/>
      <c r="AK605" s="519"/>
      <c r="AL605" s="506">
        <f t="shared" si="249"/>
        <v>0</v>
      </c>
      <c r="AM605" s="509">
        <f t="shared" si="250"/>
        <v>0</v>
      </c>
      <c r="AN605" s="518"/>
      <c r="AO605" s="520"/>
      <c r="AP605" s="516"/>
      <c r="AQ605" s="520"/>
      <c r="AR605" s="516"/>
      <c r="AS605" s="520"/>
      <c r="AT605" s="516"/>
      <c r="AU605" s="520"/>
      <c r="AV605" s="506">
        <f t="shared" si="251"/>
        <v>0</v>
      </c>
      <c r="AW605" s="511">
        <f t="shared" si="252"/>
        <v>0</v>
      </c>
      <c r="AX605" s="508">
        <f t="shared" si="253"/>
        <v>0</v>
      </c>
      <c r="AY605" s="512">
        <f t="shared" si="254"/>
        <v>0</v>
      </c>
      <c r="AZ605" s="513">
        <f t="shared" si="255"/>
        <v>3079.3111111111111</v>
      </c>
      <c r="BA605" s="508">
        <f t="shared" si="256"/>
        <v>2917.7466666666669</v>
      </c>
    </row>
    <row r="606" spans="1:53">
      <c r="A606" s="594" t="s">
        <v>533</v>
      </c>
      <c r="B606" s="641" t="s">
        <v>624</v>
      </c>
      <c r="C606" s="668"/>
      <c r="D606" s="663">
        <v>229799</v>
      </c>
      <c r="E606" s="671">
        <v>9</v>
      </c>
      <c r="F606" s="514" t="s">
        <v>41</v>
      </c>
      <c r="G606" s="515" t="s">
        <v>41</v>
      </c>
      <c r="H606" s="516">
        <v>49452</v>
      </c>
      <c r="I606" s="519">
        <v>48298</v>
      </c>
      <c r="J606" s="516">
        <v>8529</v>
      </c>
      <c r="K606" s="519">
        <v>7287</v>
      </c>
      <c r="L606" s="516">
        <v>4770</v>
      </c>
      <c r="M606" s="519">
        <v>5019</v>
      </c>
      <c r="N606" s="516">
        <v>52346</v>
      </c>
      <c r="O606" s="519">
        <v>52039</v>
      </c>
      <c r="P606" s="506">
        <f t="shared" si="239"/>
        <v>115097</v>
      </c>
      <c r="Q606" s="507">
        <f t="shared" si="240"/>
        <v>3836.5666666666666</v>
      </c>
      <c r="R606" s="508">
        <f t="shared" si="241"/>
        <v>112643</v>
      </c>
      <c r="S606" s="509">
        <f t="shared" si="242"/>
        <v>3754.7666666666669</v>
      </c>
      <c r="T606" s="516">
        <v>7563</v>
      </c>
      <c r="U606" s="519">
        <v>8355</v>
      </c>
      <c r="V606" s="506">
        <f t="shared" si="243"/>
        <v>115097</v>
      </c>
      <c r="W606" s="510">
        <f t="shared" si="244"/>
        <v>112643</v>
      </c>
      <c r="X606" s="517">
        <v>38867</v>
      </c>
      <c r="Y606" s="519">
        <v>44781</v>
      </c>
      <c r="Z606" s="516">
        <v>41503</v>
      </c>
      <c r="AA606" s="519">
        <v>31773</v>
      </c>
      <c r="AB606" s="516">
        <v>22689</v>
      </c>
      <c r="AC606" s="519">
        <v>27407</v>
      </c>
      <c r="AD606" s="516">
        <v>67648</v>
      </c>
      <c r="AE606" s="519">
        <v>61744</v>
      </c>
      <c r="AF606" s="506">
        <f t="shared" si="245"/>
        <v>170707</v>
      </c>
      <c r="AG606" s="507">
        <f t="shared" si="246"/>
        <v>189.67444444444445</v>
      </c>
      <c r="AH606" s="508">
        <f t="shared" si="247"/>
        <v>165705</v>
      </c>
      <c r="AI606" s="508">
        <f t="shared" si="248"/>
        <v>184.11666666666667</v>
      </c>
      <c r="AJ606" s="516"/>
      <c r="AK606" s="519"/>
      <c r="AL606" s="506">
        <f t="shared" si="249"/>
        <v>0</v>
      </c>
      <c r="AM606" s="509">
        <f t="shared" si="250"/>
        <v>0</v>
      </c>
      <c r="AN606" s="518"/>
      <c r="AO606" s="520"/>
      <c r="AP606" s="516"/>
      <c r="AQ606" s="520"/>
      <c r="AR606" s="516"/>
      <c r="AS606" s="520"/>
      <c r="AT606" s="516"/>
      <c r="AU606" s="520"/>
      <c r="AV606" s="506">
        <f t="shared" si="251"/>
        <v>0</v>
      </c>
      <c r="AW606" s="511">
        <f t="shared" si="252"/>
        <v>0</v>
      </c>
      <c r="AX606" s="508">
        <f t="shared" si="253"/>
        <v>0</v>
      </c>
      <c r="AY606" s="512">
        <f t="shared" si="254"/>
        <v>0</v>
      </c>
      <c r="AZ606" s="513">
        <f t="shared" si="255"/>
        <v>4026.241111111111</v>
      </c>
      <c r="BA606" s="508">
        <f t="shared" si="256"/>
        <v>3938.8833333333337</v>
      </c>
    </row>
    <row r="607" spans="1:53">
      <c r="A607" s="594" t="s">
        <v>533</v>
      </c>
      <c r="B607" s="641" t="s">
        <v>625</v>
      </c>
      <c r="C607" s="668"/>
      <c r="D607" s="663">
        <v>229841</v>
      </c>
      <c r="E607" s="671">
        <v>9</v>
      </c>
      <c r="F607" s="514" t="s">
        <v>41</v>
      </c>
      <c r="G607" s="515" t="s">
        <v>41</v>
      </c>
      <c r="H607" s="516">
        <v>62408</v>
      </c>
      <c r="I607" s="519">
        <v>62253</v>
      </c>
      <c r="J607" s="516">
        <v>13918</v>
      </c>
      <c r="K607" s="519">
        <v>12994</v>
      </c>
      <c r="L607" s="516">
        <v>6525</v>
      </c>
      <c r="M607" s="519">
        <v>6713</v>
      </c>
      <c r="N607" s="516">
        <v>64170</v>
      </c>
      <c r="O607" s="519">
        <v>66069</v>
      </c>
      <c r="P607" s="506">
        <f t="shared" si="239"/>
        <v>147021</v>
      </c>
      <c r="Q607" s="507">
        <f t="shared" si="240"/>
        <v>4900.7</v>
      </c>
      <c r="R607" s="508">
        <f t="shared" si="241"/>
        <v>148029</v>
      </c>
      <c r="S607" s="509">
        <f t="shared" si="242"/>
        <v>4934.3</v>
      </c>
      <c r="T607" s="516">
        <v>8090</v>
      </c>
      <c r="U607" s="519">
        <v>8677</v>
      </c>
      <c r="V607" s="506">
        <f t="shared" si="243"/>
        <v>147021</v>
      </c>
      <c r="W607" s="510">
        <f t="shared" si="244"/>
        <v>148029</v>
      </c>
      <c r="X607" s="517">
        <v>9360</v>
      </c>
      <c r="Y607" s="519">
        <v>9872</v>
      </c>
      <c r="Z607" s="516">
        <v>4824</v>
      </c>
      <c r="AA607" s="519">
        <v>7593</v>
      </c>
      <c r="AB607" s="516">
        <v>13930</v>
      </c>
      <c r="AC607" s="519">
        <v>11020</v>
      </c>
      <c r="AD607" s="516">
        <v>7454</v>
      </c>
      <c r="AE607" s="519">
        <v>11674</v>
      </c>
      <c r="AF607" s="506">
        <f t="shared" si="245"/>
        <v>35568</v>
      </c>
      <c r="AG607" s="507">
        <f t="shared" si="246"/>
        <v>39.520000000000003</v>
      </c>
      <c r="AH607" s="508">
        <f t="shared" si="247"/>
        <v>40159</v>
      </c>
      <c r="AI607" s="508">
        <f t="shared" si="248"/>
        <v>44.621111111111112</v>
      </c>
      <c r="AJ607" s="516"/>
      <c r="AK607" s="519"/>
      <c r="AL607" s="506">
        <f t="shared" si="249"/>
        <v>0</v>
      </c>
      <c r="AM607" s="509">
        <f t="shared" si="250"/>
        <v>0</v>
      </c>
      <c r="AN607" s="518"/>
      <c r="AO607" s="520"/>
      <c r="AP607" s="516"/>
      <c r="AQ607" s="520"/>
      <c r="AR607" s="516"/>
      <c r="AS607" s="520"/>
      <c r="AT607" s="516"/>
      <c r="AU607" s="520"/>
      <c r="AV607" s="506">
        <f t="shared" si="251"/>
        <v>0</v>
      </c>
      <c r="AW607" s="511">
        <f t="shared" si="252"/>
        <v>0</v>
      </c>
      <c r="AX607" s="508">
        <f t="shared" si="253"/>
        <v>0</v>
      </c>
      <c r="AY607" s="512">
        <f t="shared" si="254"/>
        <v>0</v>
      </c>
      <c r="AZ607" s="513">
        <f t="shared" si="255"/>
        <v>4940.22</v>
      </c>
      <c r="BA607" s="508">
        <f t="shared" si="256"/>
        <v>4978.9211111111117</v>
      </c>
    </row>
    <row r="608" spans="1:53">
      <c r="A608" s="594" t="s">
        <v>533</v>
      </c>
      <c r="B608" s="641" t="s">
        <v>626</v>
      </c>
      <c r="C608" s="668"/>
      <c r="D608" s="663">
        <v>223922</v>
      </c>
      <c r="E608" s="671">
        <v>10</v>
      </c>
      <c r="F608" s="514" t="s">
        <v>41</v>
      </c>
      <c r="G608" s="515" t="s">
        <v>41</v>
      </c>
      <c r="H608" s="516">
        <v>15450</v>
      </c>
      <c r="I608" s="519">
        <v>14059</v>
      </c>
      <c r="J608" s="516">
        <v>3282</v>
      </c>
      <c r="K608" s="519">
        <v>2558</v>
      </c>
      <c r="L608" s="516">
        <v>1606</v>
      </c>
      <c r="M608" s="519">
        <v>1309</v>
      </c>
      <c r="N608" s="516">
        <v>14358</v>
      </c>
      <c r="O608" s="519">
        <v>12820</v>
      </c>
      <c r="P608" s="506">
        <f t="shared" si="239"/>
        <v>34696</v>
      </c>
      <c r="Q608" s="507">
        <f t="shared" si="240"/>
        <v>1156.5333333333333</v>
      </c>
      <c r="R608" s="508">
        <f t="shared" si="241"/>
        <v>30746</v>
      </c>
      <c r="S608" s="509">
        <f t="shared" si="242"/>
        <v>1024.8666666666666</v>
      </c>
      <c r="T608" s="516">
        <v>4409</v>
      </c>
      <c r="U608" s="519">
        <v>4521</v>
      </c>
      <c r="V608" s="506">
        <f t="shared" si="243"/>
        <v>34696</v>
      </c>
      <c r="W608" s="510">
        <f t="shared" si="244"/>
        <v>30746</v>
      </c>
      <c r="X608" s="517">
        <v>5602</v>
      </c>
      <c r="Y608" s="519">
        <v>5338</v>
      </c>
      <c r="Z608" s="516">
        <v>2425</v>
      </c>
      <c r="AA608" s="519">
        <v>2380</v>
      </c>
      <c r="AB608" s="516">
        <v>3360</v>
      </c>
      <c r="AC608" s="519">
        <v>1015</v>
      </c>
      <c r="AD608" s="516">
        <v>5576</v>
      </c>
      <c r="AE608" s="519">
        <v>4265</v>
      </c>
      <c r="AF608" s="506">
        <f t="shared" si="245"/>
        <v>16963</v>
      </c>
      <c r="AG608" s="507">
        <f t="shared" si="246"/>
        <v>18.847777777777779</v>
      </c>
      <c r="AH608" s="508">
        <f t="shared" si="247"/>
        <v>12998</v>
      </c>
      <c r="AI608" s="508">
        <f t="shared" si="248"/>
        <v>14.442222222222222</v>
      </c>
      <c r="AJ608" s="516"/>
      <c r="AK608" s="519"/>
      <c r="AL608" s="506">
        <f t="shared" si="249"/>
        <v>0</v>
      </c>
      <c r="AM608" s="509">
        <f t="shared" si="250"/>
        <v>0</v>
      </c>
      <c r="AN608" s="518"/>
      <c r="AO608" s="520"/>
      <c r="AP608" s="516"/>
      <c r="AQ608" s="520"/>
      <c r="AR608" s="516"/>
      <c r="AS608" s="520"/>
      <c r="AT608" s="516"/>
      <c r="AU608" s="520"/>
      <c r="AV608" s="506">
        <f t="shared" si="251"/>
        <v>0</v>
      </c>
      <c r="AW608" s="511">
        <f t="shared" si="252"/>
        <v>0</v>
      </c>
      <c r="AX608" s="508">
        <f t="shared" si="253"/>
        <v>0</v>
      </c>
      <c r="AY608" s="512">
        <f t="shared" si="254"/>
        <v>0</v>
      </c>
      <c r="AZ608" s="513">
        <f t="shared" si="255"/>
        <v>1175.3811111111111</v>
      </c>
      <c r="BA608" s="508">
        <f t="shared" si="256"/>
        <v>1039.3088888888888</v>
      </c>
    </row>
    <row r="609" spans="1:53">
      <c r="A609" s="594" t="s">
        <v>533</v>
      </c>
      <c r="B609" s="641" t="s">
        <v>627</v>
      </c>
      <c r="C609" s="668"/>
      <c r="D609" s="663">
        <v>224891</v>
      </c>
      <c r="E609" s="671">
        <v>10</v>
      </c>
      <c r="F609" s="514" t="s">
        <v>41</v>
      </c>
      <c r="G609" s="515" t="s">
        <v>41</v>
      </c>
      <c r="H609" s="516">
        <v>10368</v>
      </c>
      <c r="I609" s="519">
        <v>9349</v>
      </c>
      <c r="J609" s="516">
        <v>2021</v>
      </c>
      <c r="K609" s="519">
        <v>1459</v>
      </c>
      <c r="L609" s="516">
        <v>562</v>
      </c>
      <c r="M609" s="519">
        <v>446</v>
      </c>
      <c r="N609" s="516">
        <v>9561</v>
      </c>
      <c r="O609" s="519">
        <v>10735</v>
      </c>
      <c r="P609" s="506">
        <f t="shared" ref="P609:P672" si="257">SUM(H609,J609,L609,N609)</f>
        <v>22512</v>
      </c>
      <c r="Q609" s="507">
        <f t="shared" ref="Q609:Q672" si="258">+P609/30</f>
        <v>750.4</v>
      </c>
      <c r="R609" s="508">
        <f t="shared" ref="R609:R672" si="259">SUM(I609,K609,M609,O609)</f>
        <v>21989</v>
      </c>
      <c r="S609" s="509">
        <f t="shared" ref="S609:S672" si="260">+R609/30</f>
        <v>732.9666666666667</v>
      </c>
      <c r="T609" s="516">
        <v>3126</v>
      </c>
      <c r="U609" s="519">
        <v>4119</v>
      </c>
      <c r="V609" s="506">
        <f t="shared" ref="V609:V672" si="261">IF(ISBLANK(T609),0,P609)</f>
        <v>22512</v>
      </c>
      <c r="W609" s="510">
        <f t="shared" ref="W609:W672" si="262">IF(ISBLANK(U609),0,R609)</f>
        <v>21989</v>
      </c>
      <c r="X609" s="517">
        <v>14818</v>
      </c>
      <c r="Y609" s="519">
        <v>20402</v>
      </c>
      <c r="Z609" s="516">
        <v>25796</v>
      </c>
      <c r="AA609" s="519">
        <v>20380</v>
      </c>
      <c r="AB609" s="516">
        <v>31127</v>
      </c>
      <c r="AC609" s="519">
        <v>20062</v>
      </c>
      <c r="AD609" s="516">
        <v>31418</v>
      </c>
      <c r="AE609" s="519">
        <v>21579</v>
      </c>
      <c r="AF609" s="506">
        <f t="shared" ref="AF609:AF672" si="263">SUM(X609,Z609,AB609,AD609)</f>
        <v>103159</v>
      </c>
      <c r="AG609" s="507">
        <f t="shared" ref="AG609:AG672" si="264">+AF609/900</f>
        <v>114.62111111111111</v>
      </c>
      <c r="AH609" s="508">
        <f t="shared" ref="AH609:AH672" si="265">SUM(Y609,AA609,AC609,AE609)</f>
        <v>82423</v>
      </c>
      <c r="AI609" s="508">
        <f t="shared" ref="AI609:AI672" si="266">+AH609/900</f>
        <v>91.581111111111113</v>
      </c>
      <c r="AJ609" s="516"/>
      <c r="AK609" s="519"/>
      <c r="AL609" s="506">
        <f t="shared" ref="AL609:AL672" si="267">IF(ISBLANK(AJ609),0,AF609)</f>
        <v>0</v>
      </c>
      <c r="AM609" s="509">
        <f t="shared" ref="AM609:AM672" si="268">IF(ISBLANK(AK609),0,AH609)</f>
        <v>0</v>
      </c>
      <c r="AN609" s="518"/>
      <c r="AO609" s="520"/>
      <c r="AP609" s="516"/>
      <c r="AQ609" s="520"/>
      <c r="AR609" s="516"/>
      <c r="AS609" s="520"/>
      <c r="AT609" s="516"/>
      <c r="AU609" s="520"/>
      <c r="AV609" s="506">
        <f t="shared" ref="AV609:AV672" si="269">SUM(AN609,AP609,AR609,AT609)</f>
        <v>0</v>
      </c>
      <c r="AW609" s="511">
        <f t="shared" ref="AW609:AW672" si="270">+AV609/24</f>
        <v>0</v>
      </c>
      <c r="AX609" s="508">
        <f t="shared" ref="AX609:AX672" si="271">SUM(AO609,AQ609,AS609,AU609)</f>
        <v>0</v>
      </c>
      <c r="AY609" s="512">
        <f t="shared" ref="AY609:AY672" si="272">+AX609/24</f>
        <v>0</v>
      </c>
      <c r="AZ609" s="513">
        <f t="shared" ref="AZ609:AZ672" si="273">SUM(Q609,AG609,AW609)</f>
        <v>865.02111111111105</v>
      </c>
      <c r="BA609" s="508">
        <f t="shared" ref="BA609:BA672" si="274">SUM(S609,AI609,AY609)</f>
        <v>824.54777777777781</v>
      </c>
    </row>
    <row r="610" spans="1:53">
      <c r="A610" s="594" t="s">
        <v>533</v>
      </c>
      <c r="B610" s="641" t="s">
        <v>628</v>
      </c>
      <c r="C610" s="668"/>
      <c r="D610" s="663">
        <v>224961</v>
      </c>
      <c r="E610" s="671">
        <v>10</v>
      </c>
      <c r="F610" s="514" t="s">
        <v>41</v>
      </c>
      <c r="G610" s="515" t="s">
        <v>41</v>
      </c>
      <c r="H610" s="516">
        <v>21048</v>
      </c>
      <c r="I610" s="519">
        <v>19746</v>
      </c>
      <c r="J610" s="516">
        <v>4600</v>
      </c>
      <c r="K610" s="519">
        <v>4579</v>
      </c>
      <c r="L610" s="516">
        <v>3411</v>
      </c>
      <c r="M610" s="519">
        <v>3749</v>
      </c>
      <c r="N610" s="516">
        <v>18833</v>
      </c>
      <c r="O610" s="519">
        <v>17918</v>
      </c>
      <c r="P610" s="506">
        <f t="shared" si="257"/>
        <v>47892</v>
      </c>
      <c r="Q610" s="507">
        <f t="shared" si="258"/>
        <v>1596.4</v>
      </c>
      <c r="R610" s="508">
        <f t="shared" si="259"/>
        <v>45992</v>
      </c>
      <c r="S610" s="509">
        <f t="shared" si="260"/>
        <v>1533.0666666666666</v>
      </c>
      <c r="T610" s="516">
        <v>2272</v>
      </c>
      <c r="U610" s="519">
        <v>2677</v>
      </c>
      <c r="V610" s="506">
        <f t="shared" si="261"/>
        <v>47892</v>
      </c>
      <c r="W610" s="510">
        <f t="shared" si="262"/>
        <v>45992</v>
      </c>
      <c r="X610" s="517">
        <v>7218</v>
      </c>
      <c r="Y610" s="519">
        <v>3464</v>
      </c>
      <c r="Z610" s="516">
        <v>352</v>
      </c>
      <c r="AA610" s="519">
        <v>1632</v>
      </c>
      <c r="AB610" s="516">
        <v>1426</v>
      </c>
      <c r="AC610" s="519">
        <v>0</v>
      </c>
      <c r="AD610" s="516">
        <v>5416</v>
      </c>
      <c r="AE610" s="519">
        <v>1838</v>
      </c>
      <c r="AF610" s="506">
        <f t="shared" si="263"/>
        <v>14412</v>
      </c>
      <c r="AG610" s="507">
        <f t="shared" si="264"/>
        <v>16.013333333333332</v>
      </c>
      <c r="AH610" s="508">
        <f t="shared" si="265"/>
        <v>6934</v>
      </c>
      <c r="AI610" s="508">
        <f t="shared" si="266"/>
        <v>7.7044444444444444</v>
      </c>
      <c r="AJ610" s="516"/>
      <c r="AK610" s="519"/>
      <c r="AL610" s="506">
        <f t="shared" si="267"/>
        <v>0</v>
      </c>
      <c r="AM610" s="509">
        <f t="shared" si="268"/>
        <v>0</v>
      </c>
      <c r="AN610" s="518"/>
      <c r="AO610" s="520"/>
      <c r="AP610" s="516"/>
      <c r="AQ610" s="520"/>
      <c r="AR610" s="516"/>
      <c r="AS610" s="520"/>
      <c r="AT610" s="516"/>
      <c r="AU610" s="520"/>
      <c r="AV610" s="506">
        <f t="shared" si="269"/>
        <v>0</v>
      </c>
      <c r="AW610" s="511">
        <f t="shared" si="270"/>
        <v>0</v>
      </c>
      <c r="AX610" s="508">
        <f t="shared" si="271"/>
        <v>0</v>
      </c>
      <c r="AY610" s="512">
        <f t="shared" si="272"/>
        <v>0</v>
      </c>
      <c r="AZ610" s="513">
        <f t="shared" si="273"/>
        <v>1612.4133333333334</v>
      </c>
      <c r="BA610" s="508">
        <f t="shared" si="274"/>
        <v>1540.7711111111109</v>
      </c>
    </row>
    <row r="611" spans="1:53">
      <c r="A611" s="594" t="s">
        <v>533</v>
      </c>
      <c r="B611" s="641" t="s">
        <v>629</v>
      </c>
      <c r="C611" s="653"/>
      <c r="D611" s="667">
        <v>226107</v>
      </c>
      <c r="E611" s="672">
        <v>10</v>
      </c>
      <c r="F611" s="514" t="s">
        <v>41</v>
      </c>
      <c r="G611" s="515" t="s">
        <v>41</v>
      </c>
      <c r="H611" s="516">
        <v>23859</v>
      </c>
      <c r="I611" s="519">
        <v>21669</v>
      </c>
      <c r="J611" s="516">
        <v>7301</v>
      </c>
      <c r="K611" s="519">
        <v>6563</v>
      </c>
      <c r="L611" s="516">
        <v>0</v>
      </c>
      <c r="M611" s="519">
        <v>0</v>
      </c>
      <c r="N611" s="516">
        <v>24866</v>
      </c>
      <c r="O611" s="519">
        <v>23618</v>
      </c>
      <c r="P611" s="506">
        <f t="shared" si="257"/>
        <v>56026</v>
      </c>
      <c r="Q611" s="507">
        <f t="shared" si="258"/>
        <v>1867.5333333333333</v>
      </c>
      <c r="R611" s="508">
        <f t="shared" si="259"/>
        <v>51850</v>
      </c>
      <c r="S611" s="509">
        <f t="shared" si="260"/>
        <v>1728.3333333333333</v>
      </c>
      <c r="T611" s="516">
        <v>3496</v>
      </c>
      <c r="U611" s="519">
        <v>4364</v>
      </c>
      <c r="V611" s="506">
        <f t="shared" si="261"/>
        <v>56026</v>
      </c>
      <c r="W611" s="510">
        <f t="shared" si="262"/>
        <v>51850</v>
      </c>
      <c r="X611" s="517">
        <v>3710</v>
      </c>
      <c r="Y611" s="519">
        <v>2234</v>
      </c>
      <c r="Z611" s="516">
        <v>6264</v>
      </c>
      <c r="AA611" s="519">
        <v>1716</v>
      </c>
      <c r="AB611" s="516">
        <v>9748</v>
      </c>
      <c r="AC611" s="519">
        <v>616</v>
      </c>
      <c r="AD611" s="516">
        <v>5570</v>
      </c>
      <c r="AE611" s="519">
        <v>2060</v>
      </c>
      <c r="AF611" s="506">
        <f t="shared" si="263"/>
        <v>25292</v>
      </c>
      <c r="AG611" s="507">
        <f t="shared" si="264"/>
        <v>28.102222222222224</v>
      </c>
      <c r="AH611" s="508">
        <f t="shared" si="265"/>
        <v>6626</v>
      </c>
      <c r="AI611" s="508">
        <f t="shared" si="266"/>
        <v>7.362222222222222</v>
      </c>
      <c r="AJ611" s="516"/>
      <c r="AK611" s="519"/>
      <c r="AL611" s="506">
        <f t="shared" si="267"/>
        <v>0</v>
      </c>
      <c r="AM611" s="509">
        <f t="shared" si="268"/>
        <v>0</v>
      </c>
      <c r="AN611" s="518"/>
      <c r="AO611" s="520"/>
      <c r="AP611" s="516"/>
      <c r="AQ611" s="520"/>
      <c r="AR611" s="516"/>
      <c r="AS611" s="520"/>
      <c r="AT611" s="516"/>
      <c r="AU611" s="520"/>
      <c r="AV611" s="506">
        <f t="shared" si="269"/>
        <v>0</v>
      </c>
      <c r="AW611" s="511">
        <f t="shared" si="270"/>
        <v>0</v>
      </c>
      <c r="AX611" s="508">
        <f t="shared" si="271"/>
        <v>0</v>
      </c>
      <c r="AY611" s="512">
        <f t="shared" si="272"/>
        <v>0</v>
      </c>
      <c r="AZ611" s="513">
        <f t="shared" si="273"/>
        <v>1895.6355555555556</v>
      </c>
      <c r="BA611" s="508">
        <f t="shared" si="274"/>
        <v>1735.6955555555555</v>
      </c>
    </row>
    <row r="612" spans="1:53">
      <c r="A612" s="594" t="s">
        <v>533</v>
      </c>
      <c r="B612" s="654" t="s">
        <v>631</v>
      </c>
      <c r="C612" s="654"/>
      <c r="D612" s="662" t="s">
        <v>632</v>
      </c>
      <c r="E612" s="672">
        <v>10</v>
      </c>
      <c r="F612" s="514" t="s">
        <v>41</v>
      </c>
      <c r="G612" s="515" t="s">
        <v>41</v>
      </c>
      <c r="H612" s="516">
        <v>7011</v>
      </c>
      <c r="I612" s="519">
        <v>4347</v>
      </c>
      <c r="J612" s="516">
        <v>608</v>
      </c>
      <c r="K612" s="519">
        <v>784</v>
      </c>
      <c r="L612" s="516">
        <v>0</v>
      </c>
      <c r="M612" s="519">
        <v>0</v>
      </c>
      <c r="N612" s="516">
        <v>6307</v>
      </c>
      <c r="O612" s="519">
        <v>4923</v>
      </c>
      <c r="P612" s="506">
        <f t="shared" si="257"/>
        <v>13926</v>
      </c>
      <c r="Q612" s="507">
        <f t="shared" si="258"/>
        <v>464.2</v>
      </c>
      <c r="R612" s="508">
        <f t="shared" si="259"/>
        <v>10054</v>
      </c>
      <c r="S612" s="509">
        <f t="shared" si="260"/>
        <v>335.13333333333333</v>
      </c>
      <c r="T612" s="516">
        <v>13</v>
      </c>
      <c r="U612" s="519">
        <v>0</v>
      </c>
      <c r="V612" s="506">
        <f t="shared" si="261"/>
        <v>13926</v>
      </c>
      <c r="W612" s="510">
        <f t="shared" si="262"/>
        <v>10054</v>
      </c>
      <c r="X612" s="517">
        <v>14184</v>
      </c>
      <c r="Y612" s="519">
        <v>15160</v>
      </c>
      <c r="Z612" s="516">
        <v>17464</v>
      </c>
      <c r="AA612" s="519">
        <v>12288</v>
      </c>
      <c r="AB612" s="516">
        <v>19808</v>
      </c>
      <c r="AC612" s="519">
        <v>8960</v>
      </c>
      <c r="AD612" s="516">
        <v>14280</v>
      </c>
      <c r="AE612" s="519">
        <v>8248</v>
      </c>
      <c r="AF612" s="506">
        <f t="shared" si="263"/>
        <v>65736</v>
      </c>
      <c r="AG612" s="507">
        <f t="shared" si="264"/>
        <v>73.040000000000006</v>
      </c>
      <c r="AH612" s="508">
        <f t="shared" si="265"/>
        <v>44656</v>
      </c>
      <c r="AI612" s="508">
        <f t="shared" si="266"/>
        <v>49.617777777777775</v>
      </c>
      <c r="AJ612" s="516"/>
      <c r="AK612" s="519"/>
      <c r="AL612" s="506">
        <f t="shared" si="267"/>
        <v>0</v>
      </c>
      <c r="AM612" s="509">
        <f t="shared" si="268"/>
        <v>0</v>
      </c>
      <c r="AN612" s="518"/>
      <c r="AO612" s="520"/>
      <c r="AP612" s="516"/>
      <c r="AQ612" s="520"/>
      <c r="AR612" s="516"/>
      <c r="AS612" s="520"/>
      <c r="AT612" s="516"/>
      <c r="AU612" s="520"/>
      <c r="AV612" s="506">
        <f t="shared" si="269"/>
        <v>0</v>
      </c>
      <c r="AW612" s="511">
        <f t="shared" si="270"/>
        <v>0</v>
      </c>
      <c r="AX612" s="508">
        <f t="shared" si="271"/>
        <v>0</v>
      </c>
      <c r="AY612" s="512">
        <f t="shared" si="272"/>
        <v>0</v>
      </c>
      <c r="AZ612" s="513">
        <f t="shared" si="273"/>
        <v>537.24</v>
      </c>
      <c r="BA612" s="508">
        <f t="shared" si="274"/>
        <v>384.75111111111107</v>
      </c>
    </row>
    <row r="613" spans="1:53">
      <c r="A613" s="594" t="s">
        <v>533</v>
      </c>
      <c r="B613" s="641" t="s">
        <v>633</v>
      </c>
      <c r="C613" s="668"/>
      <c r="D613" s="663">
        <v>227386</v>
      </c>
      <c r="E613" s="671">
        <v>10</v>
      </c>
      <c r="F613" s="514" t="s">
        <v>41</v>
      </c>
      <c r="G613" s="515" t="s">
        <v>41</v>
      </c>
      <c r="H613" s="516">
        <v>21103</v>
      </c>
      <c r="I613" s="519">
        <v>23217</v>
      </c>
      <c r="J613" s="516">
        <v>3884</v>
      </c>
      <c r="K613" s="519">
        <v>3474</v>
      </c>
      <c r="L613" s="516">
        <v>1652</v>
      </c>
      <c r="M613" s="519">
        <v>1720</v>
      </c>
      <c r="N613" s="516">
        <v>24407</v>
      </c>
      <c r="O613" s="519">
        <v>25475</v>
      </c>
      <c r="P613" s="506">
        <f t="shared" si="257"/>
        <v>51046</v>
      </c>
      <c r="Q613" s="507">
        <f t="shared" si="258"/>
        <v>1701.5333333333333</v>
      </c>
      <c r="R613" s="508">
        <f t="shared" si="259"/>
        <v>53886</v>
      </c>
      <c r="S613" s="509">
        <f t="shared" si="260"/>
        <v>1796.2</v>
      </c>
      <c r="T613" s="516">
        <v>4557</v>
      </c>
      <c r="U613" s="519">
        <v>4716</v>
      </c>
      <c r="V613" s="506">
        <f t="shared" si="261"/>
        <v>51046</v>
      </c>
      <c r="W613" s="510">
        <f t="shared" si="262"/>
        <v>53886</v>
      </c>
      <c r="X613" s="517">
        <v>11636</v>
      </c>
      <c r="Y613" s="519">
        <v>10491</v>
      </c>
      <c r="Z613" s="516">
        <v>4801</v>
      </c>
      <c r="AA613" s="519">
        <v>8811</v>
      </c>
      <c r="AB613" s="516">
        <v>16276</v>
      </c>
      <c r="AC613" s="519">
        <v>7199</v>
      </c>
      <c r="AD613" s="516">
        <v>7011</v>
      </c>
      <c r="AE613" s="519">
        <v>13957</v>
      </c>
      <c r="AF613" s="506">
        <f t="shared" si="263"/>
        <v>39724</v>
      </c>
      <c r="AG613" s="507">
        <f t="shared" si="264"/>
        <v>44.137777777777778</v>
      </c>
      <c r="AH613" s="508">
        <f t="shared" si="265"/>
        <v>40458</v>
      </c>
      <c r="AI613" s="508">
        <f t="shared" si="266"/>
        <v>44.953333333333333</v>
      </c>
      <c r="AJ613" s="516"/>
      <c r="AK613" s="519"/>
      <c r="AL613" s="506">
        <f t="shared" si="267"/>
        <v>0</v>
      </c>
      <c r="AM613" s="509">
        <f t="shared" si="268"/>
        <v>0</v>
      </c>
      <c r="AN613" s="518"/>
      <c r="AO613" s="520"/>
      <c r="AP613" s="516"/>
      <c r="AQ613" s="520"/>
      <c r="AR613" s="516"/>
      <c r="AS613" s="520"/>
      <c r="AT613" s="516"/>
      <c r="AU613" s="520"/>
      <c r="AV613" s="506">
        <f t="shared" si="269"/>
        <v>0</v>
      </c>
      <c r="AW613" s="511">
        <f t="shared" si="270"/>
        <v>0</v>
      </c>
      <c r="AX613" s="508">
        <f t="shared" si="271"/>
        <v>0</v>
      </c>
      <c r="AY613" s="512">
        <f t="shared" si="272"/>
        <v>0</v>
      </c>
      <c r="AZ613" s="513">
        <f t="shared" si="273"/>
        <v>1745.671111111111</v>
      </c>
      <c r="BA613" s="508">
        <f t="shared" si="274"/>
        <v>1841.1533333333334</v>
      </c>
    </row>
    <row r="614" spans="1:53">
      <c r="A614" s="594" t="s">
        <v>533</v>
      </c>
      <c r="B614" s="641" t="s">
        <v>634</v>
      </c>
      <c r="C614" s="668"/>
      <c r="D614" s="663">
        <v>227687</v>
      </c>
      <c r="E614" s="671">
        <v>10</v>
      </c>
      <c r="F614" s="514" t="s">
        <v>41</v>
      </c>
      <c r="G614" s="515" t="s">
        <v>41</v>
      </c>
      <c r="H614" s="516">
        <v>13281</v>
      </c>
      <c r="I614" s="519">
        <v>16285</v>
      </c>
      <c r="J614" s="516">
        <v>3013</v>
      </c>
      <c r="K614" s="519">
        <v>3662</v>
      </c>
      <c r="L614" s="516">
        <v>720</v>
      </c>
      <c r="M614" s="519">
        <v>1126</v>
      </c>
      <c r="N614" s="516">
        <v>17826</v>
      </c>
      <c r="O614" s="519">
        <v>19687</v>
      </c>
      <c r="P614" s="506">
        <f t="shared" si="257"/>
        <v>34840</v>
      </c>
      <c r="Q614" s="507">
        <f t="shared" si="258"/>
        <v>1161.3333333333333</v>
      </c>
      <c r="R614" s="508">
        <f t="shared" si="259"/>
        <v>40760</v>
      </c>
      <c r="S614" s="509">
        <f t="shared" si="260"/>
        <v>1358.6666666666667</v>
      </c>
      <c r="T614" s="516">
        <v>4096</v>
      </c>
      <c r="U614" s="519">
        <v>5401</v>
      </c>
      <c r="V614" s="506">
        <f t="shared" si="261"/>
        <v>34840</v>
      </c>
      <c r="W614" s="510">
        <f t="shared" si="262"/>
        <v>40760</v>
      </c>
      <c r="X614" s="517">
        <v>1235</v>
      </c>
      <c r="Y614" s="519">
        <v>2480</v>
      </c>
      <c r="Z614" s="516">
        <v>4892</v>
      </c>
      <c r="AA614" s="519">
        <v>1105</v>
      </c>
      <c r="AB614" s="516">
        <v>1552</v>
      </c>
      <c r="AC614" s="519">
        <v>4880</v>
      </c>
      <c r="AD614" s="516">
        <v>756</v>
      </c>
      <c r="AE614" s="519">
        <v>7368</v>
      </c>
      <c r="AF614" s="506">
        <f t="shared" si="263"/>
        <v>8435</v>
      </c>
      <c r="AG614" s="507">
        <f t="shared" si="264"/>
        <v>9.3722222222222218</v>
      </c>
      <c r="AH614" s="508">
        <f t="shared" si="265"/>
        <v>15833</v>
      </c>
      <c r="AI614" s="508">
        <f t="shared" si="266"/>
        <v>17.592222222222222</v>
      </c>
      <c r="AJ614" s="516"/>
      <c r="AK614" s="519"/>
      <c r="AL614" s="506">
        <f t="shared" si="267"/>
        <v>0</v>
      </c>
      <c r="AM614" s="509">
        <f t="shared" si="268"/>
        <v>0</v>
      </c>
      <c r="AN614" s="518"/>
      <c r="AO614" s="520"/>
      <c r="AP614" s="516"/>
      <c r="AQ614" s="520"/>
      <c r="AR614" s="516"/>
      <c r="AS614" s="520"/>
      <c r="AT614" s="516"/>
      <c r="AU614" s="520"/>
      <c r="AV614" s="506">
        <f t="shared" si="269"/>
        <v>0</v>
      </c>
      <c r="AW614" s="511">
        <f t="shared" si="270"/>
        <v>0</v>
      </c>
      <c r="AX614" s="508">
        <f t="shared" si="271"/>
        <v>0</v>
      </c>
      <c r="AY614" s="512">
        <f t="shared" si="272"/>
        <v>0</v>
      </c>
      <c r="AZ614" s="513">
        <f t="shared" si="273"/>
        <v>1170.7055555555555</v>
      </c>
      <c r="BA614" s="508">
        <f t="shared" si="274"/>
        <v>1376.258888888889</v>
      </c>
    </row>
    <row r="615" spans="1:53">
      <c r="A615" s="594" t="s">
        <v>533</v>
      </c>
      <c r="B615" s="656" t="s">
        <v>635</v>
      </c>
      <c r="C615" s="656"/>
      <c r="D615" s="663">
        <v>382911</v>
      </c>
      <c r="E615" s="671">
        <v>10</v>
      </c>
      <c r="F615" s="514" t="s">
        <v>41</v>
      </c>
      <c r="G615" s="515" t="s">
        <v>41</v>
      </c>
      <c r="H615" s="516">
        <v>1056</v>
      </c>
      <c r="I615" s="519">
        <v>1357</v>
      </c>
      <c r="J615" s="516">
        <v>27</v>
      </c>
      <c r="K615" s="519">
        <v>36</v>
      </c>
      <c r="L615" s="516">
        <v>21</v>
      </c>
      <c r="M615" s="519">
        <v>3</v>
      </c>
      <c r="N615" s="516">
        <v>1615</v>
      </c>
      <c r="O615" s="519">
        <v>1548</v>
      </c>
      <c r="P615" s="506">
        <f t="shared" si="257"/>
        <v>2719</v>
      </c>
      <c r="Q615" s="507">
        <f t="shared" si="258"/>
        <v>90.63333333333334</v>
      </c>
      <c r="R615" s="508">
        <f t="shared" si="259"/>
        <v>2944</v>
      </c>
      <c r="S615" s="509">
        <f t="shared" si="260"/>
        <v>98.13333333333334</v>
      </c>
      <c r="T615" s="516">
        <v>66</v>
      </c>
      <c r="U615" s="519">
        <v>0</v>
      </c>
      <c r="V615" s="506">
        <f t="shared" si="261"/>
        <v>2719</v>
      </c>
      <c r="W615" s="510">
        <f t="shared" si="262"/>
        <v>2944</v>
      </c>
      <c r="X615" s="517"/>
      <c r="Y615" s="519"/>
      <c r="Z615" s="516"/>
      <c r="AA615" s="519"/>
      <c r="AB615" s="516"/>
      <c r="AC615" s="519"/>
      <c r="AD615" s="516"/>
      <c r="AE615" s="519"/>
      <c r="AF615" s="506">
        <f t="shared" si="263"/>
        <v>0</v>
      </c>
      <c r="AG615" s="507">
        <f t="shared" si="264"/>
        <v>0</v>
      </c>
      <c r="AH615" s="508">
        <f t="shared" si="265"/>
        <v>0</v>
      </c>
      <c r="AI615" s="508">
        <f t="shared" si="266"/>
        <v>0</v>
      </c>
      <c r="AJ615" s="516"/>
      <c r="AK615" s="519"/>
      <c r="AL615" s="506">
        <f t="shared" si="267"/>
        <v>0</v>
      </c>
      <c r="AM615" s="509">
        <f t="shared" si="268"/>
        <v>0</v>
      </c>
      <c r="AN615" s="518"/>
      <c r="AO615" s="520"/>
      <c r="AP615" s="516"/>
      <c r="AQ615" s="520"/>
      <c r="AR615" s="516"/>
      <c r="AS615" s="520"/>
      <c r="AT615" s="516"/>
      <c r="AU615" s="520"/>
      <c r="AV615" s="506">
        <f t="shared" si="269"/>
        <v>0</v>
      </c>
      <c r="AW615" s="511">
        <f t="shared" si="270"/>
        <v>0</v>
      </c>
      <c r="AX615" s="508">
        <f t="shared" si="271"/>
        <v>0</v>
      </c>
      <c r="AY615" s="512">
        <f t="shared" si="272"/>
        <v>0</v>
      </c>
      <c r="AZ615" s="513">
        <f t="shared" si="273"/>
        <v>90.63333333333334</v>
      </c>
      <c r="BA615" s="508">
        <f t="shared" si="274"/>
        <v>98.13333333333334</v>
      </c>
    </row>
    <row r="616" spans="1:53">
      <c r="A616" s="594" t="s">
        <v>533</v>
      </c>
      <c r="B616" s="641" t="s">
        <v>636</v>
      </c>
      <c r="C616" s="668"/>
      <c r="D616" s="663">
        <v>408394</v>
      </c>
      <c r="E616" s="671">
        <v>10</v>
      </c>
      <c r="F616" s="514" t="s">
        <v>41</v>
      </c>
      <c r="G616" s="515" t="s">
        <v>41</v>
      </c>
      <c r="H616" s="516">
        <v>8519</v>
      </c>
      <c r="I616" s="519">
        <v>7037</v>
      </c>
      <c r="J616" s="516">
        <v>5577</v>
      </c>
      <c r="K616" s="519">
        <v>4869</v>
      </c>
      <c r="L616" s="516">
        <v>0</v>
      </c>
      <c r="M616" s="519">
        <v>0</v>
      </c>
      <c r="N616" s="516">
        <v>7361</v>
      </c>
      <c r="O616" s="519">
        <v>6961</v>
      </c>
      <c r="P616" s="506">
        <f t="shared" si="257"/>
        <v>21457</v>
      </c>
      <c r="Q616" s="507">
        <f t="shared" si="258"/>
        <v>715.23333333333335</v>
      </c>
      <c r="R616" s="508">
        <f t="shared" si="259"/>
        <v>18867</v>
      </c>
      <c r="S616" s="509">
        <f t="shared" si="260"/>
        <v>628.9</v>
      </c>
      <c r="T616" s="516">
        <v>1945</v>
      </c>
      <c r="U616" s="519">
        <v>1901</v>
      </c>
      <c r="V616" s="506">
        <f t="shared" si="261"/>
        <v>21457</v>
      </c>
      <c r="W616" s="510">
        <f t="shared" si="262"/>
        <v>18867</v>
      </c>
      <c r="X616" s="517">
        <v>4664</v>
      </c>
      <c r="Y616" s="519">
        <v>4184</v>
      </c>
      <c r="Z616" s="516">
        <v>8816</v>
      </c>
      <c r="AA616" s="519">
        <v>6216</v>
      </c>
      <c r="AB616" s="516">
        <v>4812</v>
      </c>
      <c r="AC616" s="519">
        <v>7206</v>
      </c>
      <c r="AD616" s="516">
        <v>3254</v>
      </c>
      <c r="AE616" s="519">
        <v>4859</v>
      </c>
      <c r="AF616" s="506">
        <f t="shared" si="263"/>
        <v>21546</v>
      </c>
      <c r="AG616" s="507">
        <f t="shared" si="264"/>
        <v>23.94</v>
      </c>
      <c r="AH616" s="508">
        <f t="shared" si="265"/>
        <v>22465</v>
      </c>
      <c r="AI616" s="508">
        <f t="shared" si="266"/>
        <v>24.961111111111112</v>
      </c>
      <c r="AJ616" s="516"/>
      <c r="AK616" s="519"/>
      <c r="AL616" s="506">
        <f t="shared" si="267"/>
        <v>0</v>
      </c>
      <c r="AM616" s="509">
        <f t="shared" si="268"/>
        <v>0</v>
      </c>
      <c r="AN616" s="518"/>
      <c r="AO616" s="520"/>
      <c r="AP616" s="516"/>
      <c r="AQ616" s="520"/>
      <c r="AR616" s="516"/>
      <c r="AS616" s="520"/>
      <c r="AT616" s="516"/>
      <c r="AU616" s="520"/>
      <c r="AV616" s="506">
        <f t="shared" si="269"/>
        <v>0</v>
      </c>
      <c r="AW616" s="511">
        <f t="shared" si="270"/>
        <v>0</v>
      </c>
      <c r="AX616" s="508">
        <f t="shared" si="271"/>
        <v>0</v>
      </c>
      <c r="AY616" s="512">
        <f t="shared" si="272"/>
        <v>0</v>
      </c>
      <c r="AZ616" s="513">
        <f t="shared" si="273"/>
        <v>739.1733333333334</v>
      </c>
      <c r="BA616" s="508">
        <f t="shared" si="274"/>
        <v>653.86111111111109</v>
      </c>
    </row>
    <row r="617" spans="1:53">
      <c r="A617" s="594" t="s">
        <v>533</v>
      </c>
      <c r="B617" s="641" t="s">
        <v>637</v>
      </c>
      <c r="C617" s="653"/>
      <c r="D617" s="667">
        <v>229328</v>
      </c>
      <c r="E617" s="672">
        <v>10</v>
      </c>
      <c r="F617" s="514" t="s">
        <v>41</v>
      </c>
      <c r="G617" s="515" t="s">
        <v>41</v>
      </c>
      <c r="H617" s="516">
        <v>9998</v>
      </c>
      <c r="I617" s="519">
        <v>8866</v>
      </c>
      <c r="J617" s="516">
        <v>6966</v>
      </c>
      <c r="K617" s="519">
        <v>6651</v>
      </c>
      <c r="L617" s="516">
        <v>0</v>
      </c>
      <c r="M617" s="519">
        <v>0</v>
      </c>
      <c r="N617" s="516">
        <v>8244</v>
      </c>
      <c r="O617" s="519">
        <v>8078</v>
      </c>
      <c r="P617" s="506">
        <f t="shared" si="257"/>
        <v>25208</v>
      </c>
      <c r="Q617" s="507">
        <f t="shared" si="258"/>
        <v>840.26666666666665</v>
      </c>
      <c r="R617" s="508">
        <f t="shared" si="259"/>
        <v>23595</v>
      </c>
      <c r="S617" s="509">
        <f t="shared" si="260"/>
        <v>786.5</v>
      </c>
      <c r="T617" s="516">
        <v>1671</v>
      </c>
      <c r="U617" s="519">
        <v>381</v>
      </c>
      <c r="V617" s="506">
        <f t="shared" si="261"/>
        <v>25208</v>
      </c>
      <c r="W617" s="510">
        <f t="shared" si="262"/>
        <v>23595</v>
      </c>
      <c r="X617" s="517">
        <v>1326</v>
      </c>
      <c r="Y617" s="519">
        <v>9980</v>
      </c>
      <c r="Z617" s="516">
        <v>2680</v>
      </c>
      <c r="AA617" s="519">
        <v>8544</v>
      </c>
      <c r="AB617" s="516">
        <v>1680</v>
      </c>
      <c r="AC617" s="519">
        <v>12996</v>
      </c>
      <c r="AD617" s="516">
        <v>3806</v>
      </c>
      <c r="AE617" s="519">
        <v>8336</v>
      </c>
      <c r="AF617" s="506">
        <f t="shared" si="263"/>
        <v>9492</v>
      </c>
      <c r="AG617" s="507">
        <f t="shared" si="264"/>
        <v>10.546666666666667</v>
      </c>
      <c r="AH617" s="508">
        <f t="shared" si="265"/>
        <v>39856</v>
      </c>
      <c r="AI617" s="508">
        <f t="shared" si="266"/>
        <v>44.284444444444446</v>
      </c>
      <c r="AJ617" s="516"/>
      <c r="AK617" s="519"/>
      <c r="AL617" s="506">
        <f t="shared" si="267"/>
        <v>0</v>
      </c>
      <c r="AM617" s="509">
        <f t="shared" si="268"/>
        <v>0</v>
      </c>
      <c r="AN617" s="518"/>
      <c r="AO617" s="520"/>
      <c r="AP617" s="516"/>
      <c r="AQ617" s="520"/>
      <c r="AR617" s="516"/>
      <c r="AS617" s="520"/>
      <c r="AT617" s="516"/>
      <c r="AU617" s="520"/>
      <c r="AV617" s="506">
        <f t="shared" si="269"/>
        <v>0</v>
      </c>
      <c r="AW617" s="511">
        <f t="shared" si="270"/>
        <v>0</v>
      </c>
      <c r="AX617" s="508">
        <f t="shared" si="271"/>
        <v>0</v>
      </c>
      <c r="AY617" s="512">
        <f t="shared" si="272"/>
        <v>0</v>
      </c>
      <c r="AZ617" s="513">
        <f t="shared" si="273"/>
        <v>850.81333333333328</v>
      </c>
      <c r="BA617" s="508">
        <f t="shared" si="274"/>
        <v>830.78444444444449</v>
      </c>
    </row>
    <row r="618" spans="1:53">
      <c r="A618" s="594" t="s">
        <v>533</v>
      </c>
      <c r="B618" s="641" t="s">
        <v>638</v>
      </c>
      <c r="C618" s="668"/>
      <c r="D618" s="663">
        <v>229832</v>
      </c>
      <c r="E618" s="671">
        <v>10</v>
      </c>
      <c r="F618" s="514" t="s">
        <v>41</v>
      </c>
      <c r="G618" s="515" t="s">
        <v>41</v>
      </c>
      <c r="H618" s="516">
        <v>18588</v>
      </c>
      <c r="I618" s="519">
        <v>18418</v>
      </c>
      <c r="J618" s="516">
        <v>6757</v>
      </c>
      <c r="K618" s="519">
        <v>8321</v>
      </c>
      <c r="L618" s="516">
        <v>2025</v>
      </c>
      <c r="M618" s="519">
        <v>2290</v>
      </c>
      <c r="N618" s="516">
        <v>19091</v>
      </c>
      <c r="O618" s="519">
        <v>17958</v>
      </c>
      <c r="P618" s="506">
        <f t="shared" si="257"/>
        <v>46461</v>
      </c>
      <c r="Q618" s="507">
        <f t="shared" si="258"/>
        <v>1548.7</v>
      </c>
      <c r="R618" s="508">
        <f t="shared" si="259"/>
        <v>46987</v>
      </c>
      <c r="S618" s="509">
        <f t="shared" si="260"/>
        <v>1566.2333333333333</v>
      </c>
      <c r="T618" s="516">
        <v>7647</v>
      </c>
      <c r="U618" s="519">
        <v>8280</v>
      </c>
      <c r="V618" s="506">
        <f t="shared" si="261"/>
        <v>46461</v>
      </c>
      <c r="W618" s="510">
        <f t="shared" si="262"/>
        <v>46987</v>
      </c>
      <c r="X618" s="517">
        <v>55834</v>
      </c>
      <c r="Y618" s="519">
        <v>39988</v>
      </c>
      <c r="Z618" s="516">
        <v>43685</v>
      </c>
      <c r="AA618" s="519">
        <v>42642</v>
      </c>
      <c r="AB618" s="516">
        <v>25964</v>
      </c>
      <c r="AC618" s="519">
        <v>20974</v>
      </c>
      <c r="AD618" s="617">
        <v>51524</v>
      </c>
      <c r="AE618" s="618">
        <v>47085</v>
      </c>
      <c r="AF618" s="506">
        <f t="shared" si="263"/>
        <v>177007</v>
      </c>
      <c r="AG618" s="507">
        <f t="shared" si="264"/>
        <v>196.67444444444445</v>
      </c>
      <c r="AH618" s="508">
        <f t="shared" si="265"/>
        <v>150689</v>
      </c>
      <c r="AI618" s="508">
        <f t="shared" si="266"/>
        <v>167.43222222222221</v>
      </c>
      <c r="AJ618" s="516"/>
      <c r="AK618" s="519"/>
      <c r="AL618" s="506">
        <f t="shared" si="267"/>
        <v>0</v>
      </c>
      <c r="AM618" s="509">
        <f t="shared" si="268"/>
        <v>0</v>
      </c>
      <c r="AN618" s="518"/>
      <c r="AO618" s="520"/>
      <c r="AP618" s="516"/>
      <c r="AQ618" s="520"/>
      <c r="AR618" s="516"/>
      <c r="AS618" s="520"/>
      <c r="AT618" s="516"/>
      <c r="AU618" s="520"/>
      <c r="AV618" s="506">
        <f t="shared" si="269"/>
        <v>0</v>
      </c>
      <c r="AW618" s="511">
        <f t="shared" si="270"/>
        <v>0</v>
      </c>
      <c r="AX618" s="508">
        <f t="shared" si="271"/>
        <v>0</v>
      </c>
      <c r="AY618" s="512">
        <f t="shared" si="272"/>
        <v>0</v>
      </c>
      <c r="AZ618" s="513">
        <f t="shared" si="273"/>
        <v>1745.3744444444444</v>
      </c>
      <c r="BA618" s="508">
        <f t="shared" si="274"/>
        <v>1733.6655555555556</v>
      </c>
    </row>
    <row r="619" spans="1:53">
      <c r="A619" s="594" t="s">
        <v>533</v>
      </c>
      <c r="B619" s="647" t="s">
        <v>643</v>
      </c>
      <c r="C619" s="648"/>
      <c r="D619" s="597"/>
      <c r="E619" s="659">
        <v>11</v>
      </c>
      <c r="F619" s="514" t="s">
        <v>41</v>
      </c>
      <c r="G619" s="515" t="s">
        <v>41</v>
      </c>
      <c r="H619" s="750">
        <v>479137</v>
      </c>
      <c r="I619" s="660">
        <f>SUM(I613+I617)</f>
        <v>32083</v>
      </c>
      <c r="J619" s="750">
        <v>137973</v>
      </c>
      <c r="K619" s="660">
        <f>SUM(K613+K617)</f>
        <v>10125</v>
      </c>
      <c r="L619" s="750">
        <v>48900</v>
      </c>
      <c r="M619" s="660">
        <f>SUM(M613+M617)</f>
        <v>1720</v>
      </c>
      <c r="N619" s="750">
        <v>461195</v>
      </c>
      <c r="O619" s="660">
        <f>SUM(O613+O617)</f>
        <v>33553</v>
      </c>
      <c r="P619" s="506">
        <f t="shared" si="257"/>
        <v>1127205</v>
      </c>
      <c r="Q619" s="507">
        <f t="shared" si="258"/>
        <v>37573.5</v>
      </c>
      <c r="R619" s="508">
        <f t="shared" si="259"/>
        <v>77481</v>
      </c>
      <c r="S619" s="509">
        <f t="shared" si="260"/>
        <v>2582.6999999999998</v>
      </c>
      <c r="T619" s="750">
        <v>88153</v>
      </c>
      <c r="U619" s="660">
        <f>SUM(U613+U617)</f>
        <v>5097</v>
      </c>
      <c r="V619" s="506">
        <f t="shared" si="261"/>
        <v>1127205</v>
      </c>
      <c r="W619" s="510">
        <f t="shared" si="262"/>
        <v>77481</v>
      </c>
      <c r="X619" s="757">
        <v>415762</v>
      </c>
      <c r="Y619" s="660">
        <f>SUM(Y613+Y617)</f>
        <v>20471</v>
      </c>
      <c r="Z619" s="750">
        <v>375817</v>
      </c>
      <c r="AA619" s="660">
        <f>SUM(AA613+AA617)</f>
        <v>17355</v>
      </c>
      <c r="AB619" s="750">
        <v>330320</v>
      </c>
      <c r="AC619" s="660">
        <f>SUM(AC613+AC617)</f>
        <v>20195</v>
      </c>
      <c r="AD619" s="658">
        <v>549655</v>
      </c>
      <c r="AE619" s="760">
        <f>SUM(AE613+AE617)</f>
        <v>22293</v>
      </c>
      <c r="AF619" s="506">
        <f t="shared" si="263"/>
        <v>1671554</v>
      </c>
      <c r="AG619" s="507">
        <f t="shared" si="264"/>
        <v>1857.2822222222221</v>
      </c>
      <c r="AH619" s="508">
        <f t="shared" si="265"/>
        <v>80314</v>
      </c>
      <c r="AI619" s="508">
        <f t="shared" si="266"/>
        <v>89.237777777777779</v>
      </c>
      <c r="AJ619" s="516"/>
      <c r="AK619" s="519"/>
      <c r="AL619" s="506">
        <f t="shared" si="267"/>
        <v>0</v>
      </c>
      <c r="AM619" s="509">
        <f t="shared" si="268"/>
        <v>0</v>
      </c>
      <c r="AN619" s="518"/>
      <c r="AO619" s="520"/>
      <c r="AP619" s="516"/>
      <c r="AQ619" s="520"/>
      <c r="AR619" s="516"/>
      <c r="AS619" s="520"/>
      <c r="AT619" s="516"/>
      <c r="AU619" s="520"/>
      <c r="AV619" s="506">
        <f t="shared" si="269"/>
        <v>0</v>
      </c>
      <c r="AW619" s="511">
        <f t="shared" si="270"/>
        <v>0</v>
      </c>
      <c r="AX619" s="508">
        <f t="shared" si="271"/>
        <v>0</v>
      </c>
      <c r="AY619" s="512">
        <f t="shared" si="272"/>
        <v>0</v>
      </c>
      <c r="AZ619" s="513">
        <f t="shared" si="273"/>
        <v>39430.782222222224</v>
      </c>
      <c r="BA619" s="508">
        <f t="shared" si="274"/>
        <v>2671.9377777777777</v>
      </c>
    </row>
    <row r="620" spans="1:53">
      <c r="A620" s="594" t="s">
        <v>533</v>
      </c>
      <c r="B620" s="643" t="s">
        <v>645</v>
      </c>
      <c r="C620" s="644"/>
      <c r="D620" s="597"/>
      <c r="E620" s="659">
        <v>11</v>
      </c>
      <c r="F620" s="514" t="s">
        <v>41</v>
      </c>
      <c r="G620" s="515" t="s">
        <v>41</v>
      </c>
      <c r="H620" s="750">
        <v>563364</v>
      </c>
      <c r="I620" s="660">
        <f>I614+I615</f>
        <v>17642</v>
      </c>
      <c r="J620" s="750">
        <v>160048</v>
      </c>
      <c r="K620" s="660">
        <f>K614+K615</f>
        <v>3698</v>
      </c>
      <c r="L620" s="750">
        <v>54426</v>
      </c>
      <c r="M620" s="660">
        <f>M614+M615</f>
        <v>1129</v>
      </c>
      <c r="N620" s="750">
        <v>544426</v>
      </c>
      <c r="O620" s="660">
        <f>O614+O615</f>
        <v>21235</v>
      </c>
      <c r="P620" s="506">
        <f t="shared" si="257"/>
        <v>1322264</v>
      </c>
      <c r="Q620" s="507">
        <f t="shared" si="258"/>
        <v>44075.466666666667</v>
      </c>
      <c r="R620" s="508">
        <f t="shared" si="259"/>
        <v>43704</v>
      </c>
      <c r="S620" s="509">
        <f t="shared" si="260"/>
        <v>1456.8</v>
      </c>
      <c r="T620" s="750">
        <v>93521</v>
      </c>
      <c r="U620" s="660">
        <f>U614+U615</f>
        <v>5401</v>
      </c>
      <c r="V620" s="506">
        <f t="shared" si="261"/>
        <v>1322264</v>
      </c>
      <c r="W620" s="510">
        <f t="shared" si="262"/>
        <v>43704</v>
      </c>
      <c r="X620" s="757">
        <v>506604</v>
      </c>
      <c r="Y620" s="660">
        <f>Y614+Y615</f>
        <v>2480</v>
      </c>
      <c r="Z620" s="750">
        <v>541091</v>
      </c>
      <c r="AA620" s="660">
        <f>AA614+AA615</f>
        <v>1105</v>
      </c>
      <c r="AB620" s="750">
        <v>482371</v>
      </c>
      <c r="AC620" s="660">
        <f>AC614+AC615</f>
        <v>4880</v>
      </c>
      <c r="AD620" s="658">
        <v>589960</v>
      </c>
      <c r="AE620" s="760">
        <f>AE614+AE615</f>
        <v>7368</v>
      </c>
      <c r="AF620" s="506">
        <f t="shared" si="263"/>
        <v>2120026</v>
      </c>
      <c r="AG620" s="507">
        <f t="shared" si="264"/>
        <v>2355.5844444444447</v>
      </c>
      <c r="AH620" s="508">
        <f t="shared" si="265"/>
        <v>15833</v>
      </c>
      <c r="AI620" s="508">
        <f t="shared" si="266"/>
        <v>17.592222222222222</v>
      </c>
      <c r="AJ620" s="516"/>
      <c r="AK620" s="519"/>
      <c r="AL620" s="506">
        <f t="shared" si="267"/>
        <v>0</v>
      </c>
      <c r="AM620" s="509">
        <f t="shared" si="268"/>
        <v>0</v>
      </c>
      <c r="AN620" s="518"/>
      <c r="AO620" s="520"/>
      <c r="AP620" s="516"/>
      <c r="AQ620" s="520"/>
      <c r="AR620" s="516"/>
      <c r="AS620" s="520"/>
      <c r="AT620" s="516"/>
      <c r="AU620" s="520"/>
      <c r="AV620" s="506">
        <f t="shared" si="269"/>
        <v>0</v>
      </c>
      <c r="AW620" s="511">
        <f t="shared" si="270"/>
        <v>0</v>
      </c>
      <c r="AX620" s="508">
        <f t="shared" si="271"/>
        <v>0</v>
      </c>
      <c r="AY620" s="512">
        <f t="shared" si="272"/>
        <v>0</v>
      </c>
      <c r="AZ620" s="513">
        <f t="shared" si="273"/>
        <v>46431.051111111112</v>
      </c>
      <c r="BA620" s="508">
        <f t="shared" si="274"/>
        <v>1474.3922222222222</v>
      </c>
    </row>
    <row r="621" spans="1:53">
      <c r="A621" s="594" t="s">
        <v>533</v>
      </c>
      <c r="B621" s="651" t="s">
        <v>647</v>
      </c>
      <c r="C621" s="652"/>
      <c r="D621" s="597"/>
      <c r="E621" s="659">
        <v>11</v>
      </c>
      <c r="F621" s="514" t="s">
        <v>41</v>
      </c>
      <c r="G621" s="515" t="s">
        <v>41</v>
      </c>
      <c r="H621" s="750">
        <v>37168</v>
      </c>
      <c r="I621" s="660">
        <f>I616+I618</f>
        <v>25455</v>
      </c>
      <c r="J621" s="750">
        <v>9754</v>
      </c>
      <c r="K621" s="660">
        <f>K616+K618</f>
        <v>13190</v>
      </c>
      <c r="L621" s="750">
        <v>7553</v>
      </c>
      <c r="M621" s="660">
        <f>M616+M618</f>
        <v>2290</v>
      </c>
      <c r="N621" s="750">
        <v>35550</v>
      </c>
      <c r="O621" s="660">
        <f>O616+O618</f>
        <v>24919</v>
      </c>
      <c r="P621" s="506">
        <f t="shared" si="257"/>
        <v>90025</v>
      </c>
      <c r="Q621" s="507">
        <f t="shared" si="258"/>
        <v>3000.8333333333335</v>
      </c>
      <c r="R621" s="508">
        <f t="shared" si="259"/>
        <v>65854</v>
      </c>
      <c r="S621" s="509">
        <f t="shared" si="260"/>
        <v>2195.1333333333332</v>
      </c>
      <c r="T621" s="750">
        <v>8132</v>
      </c>
      <c r="U621" s="660">
        <f>U616+U618</f>
        <v>10181</v>
      </c>
      <c r="V621" s="506">
        <f t="shared" si="261"/>
        <v>90025</v>
      </c>
      <c r="W621" s="510">
        <f t="shared" si="262"/>
        <v>65854</v>
      </c>
      <c r="X621" s="757">
        <v>53328</v>
      </c>
      <c r="Y621" s="660">
        <f>Y616+Y618</f>
        <v>44172</v>
      </c>
      <c r="Z621" s="750">
        <v>36974</v>
      </c>
      <c r="AA621" s="660">
        <f>AA616+AA618</f>
        <v>48858</v>
      </c>
      <c r="AB621" s="750">
        <v>52758</v>
      </c>
      <c r="AC621" s="660">
        <f>AC616+AC618</f>
        <v>28180</v>
      </c>
      <c r="AD621" s="658">
        <v>48765</v>
      </c>
      <c r="AE621" s="760">
        <f>AE616+AE618</f>
        <v>51944</v>
      </c>
      <c r="AF621" s="506">
        <f t="shared" si="263"/>
        <v>191825</v>
      </c>
      <c r="AG621" s="507">
        <f t="shared" si="264"/>
        <v>213.13888888888889</v>
      </c>
      <c r="AH621" s="508">
        <f t="shared" si="265"/>
        <v>173154</v>
      </c>
      <c r="AI621" s="508">
        <f t="shared" si="266"/>
        <v>192.39333333333335</v>
      </c>
      <c r="AJ621" s="516"/>
      <c r="AK621" s="519"/>
      <c r="AL621" s="506">
        <f t="shared" si="267"/>
        <v>0</v>
      </c>
      <c r="AM621" s="509">
        <f t="shared" si="268"/>
        <v>0</v>
      </c>
      <c r="AN621" s="518"/>
      <c r="AO621" s="520"/>
      <c r="AP621" s="516"/>
      <c r="AQ621" s="520"/>
      <c r="AR621" s="516"/>
      <c r="AS621" s="520"/>
      <c r="AT621" s="516"/>
      <c r="AU621" s="520"/>
      <c r="AV621" s="506">
        <f t="shared" si="269"/>
        <v>0</v>
      </c>
      <c r="AW621" s="511">
        <f t="shared" si="270"/>
        <v>0</v>
      </c>
      <c r="AX621" s="508">
        <f t="shared" si="271"/>
        <v>0</v>
      </c>
      <c r="AY621" s="512">
        <f t="shared" si="272"/>
        <v>0</v>
      </c>
      <c r="AZ621" s="513">
        <f t="shared" si="273"/>
        <v>3213.9722222222222</v>
      </c>
      <c r="BA621" s="508">
        <f t="shared" si="274"/>
        <v>2387.5266666666666</v>
      </c>
    </row>
    <row r="622" spans="1:53">
      <c r="A622" s="594" t="s">
        <v>533</v>
      </c>
      <c r="B622" s="637" t="s">
        <v>641</v>
      </c>
      <c r="C622" s="598" t="s">
        <v>642</v>
      </c>
      <c r="D622" s="664" t="s">
        <v>632</v>
      </c>
      <c r="E622" s="666">
        <v>99</v>
      </c>
      <c r="F622" s="514" t="s">
        <v>41</v>
      </c>
      <c r="G622" s="515" t="s">
        <v>41</v>
      </c>
      <c r="H622" s="516"/>
      <c r="I622" s="519"/>
      <c r="J622" s="516">
        <v>12946</v>
      </c>
      <c r="K622" s="519">
        <v>13413</v>
      </c>
      <c r="L622" s="516">
        <v>3846</v>
      </c>
      <c r="M622" s="519">
        <v>3793</v>
      </c>
      <c r="N622" s="516">
        <v>14752</v>
      </c>
      <c r="O622" s="519">
        <v>16167</v>
      </c>
      <c r="P622" s="506">
        <f t="shared" si="257"/>
        <v>31544</v>
      </c>
      <c r="Q622" s="507">
        <f t="shared" si="258"/>
        <v>1051.4666666666667</v>
      </c>
      <c r="R622" s="508">
        <f t="shared" si="259"/>
        <v>33373</v>
      </c>
      <c r="S622" s="509">
        <f t="shared" si="260"/>
        <v>1112.4333333333334</v>
      </c>
      <c r="T622" s="516">
        <v>0</v>
      </c>
      <c r="U622" s="519">
        <v>0</v>
      </c>
      <c r="V622" s="506">
        <f t="shared" si="261"/>
        <v>31544</v>
      </c>
      <c r="W622" s="510">
        <f t="shared" si="262"/>
        <v>33373</v>
      </c>
      <c r="X622" s="517"/>
      <c r="Y622" s="519"/>
      <c r="Z622" s="516"/>
      <c r="AA622" s="519"/>
      <c r="AB622" s="516"/>
      <c r="AC622" s="519"/>
      <c r="AD622" s="617"/>
      <c r="AE622" s="618"/>
      <c r="AF622" s="506">
        <f t="shared" si="263"/>
        <v>0</v>
      </c>
      <c r="AG622" s="507">
        <f t="shared" si="264"/>
        <v>0</v>
      </c>
      <c r="AH622" s="508">
        <f t="shared" si="265"/>
        <v>0</v>
      </c>
      <c r="AI622" s="508">
        <f t="shared" si="266"/>
        <v>0</v>
      </c>
      <c r="AJ622" s="516"/>
      <c r="AK622" s="519"/>
      <c r="AL622" s="506">
        <f t="shared" si="267"/>
        <v>0</v>
      </c>
      <c r="AM622" s="509">
        <f t="shared" si="268"/>
        <v>0</v>
      </c>
      <c r="AN622" s="518"/>
      <c r="AO622" s="520"/>
      <c r="AP622" s="516">
        <v>1337</v>
      </c>
      <c r="AQ622" s="520">
        <v>1428</v>
      </c>
      <c r="AR622" s="516">
        <v>1234</v>
      </c>
      <c r="AS622" s="520">
        <v>1194</v>
      </c>
      <c r="AT622" s="516">
        <v>1281</v>
      </c>
      <c r="AU622" s="520">
        <v>1527</v>
      </c>
      <c r="AV622" s="506">
        <f t="shared" si="269"/>
        <v>3852</v>
      </c>
      <c r="AW622" s="511">
        <f t="shared" si="270"/>
        <v>160.5</v>
      </c>
      <c r="AX622" s="508">
        <f t="shared" si="271"/>
        <v>4149</v>
      </c>
      <c r="AY622" s="512">
        <f t="shared" si="272"/>
        <v>172.875</v>
      </c>
      <c r="AZ622" s="513">
        <f t="shared" si="273"/>
        <v>1211.9666666666667</v>
      </c>
      <c r="BA622" s="508">
        <f t="shared" si="274"/>
        <v>1285.3083333333334</v>
      </c>
    </row>
    <row r="623" spans="1:53">
      <c r="A623" s="594" t="s">
        <v>533</v>
      </c>
      <c r="B623" s="647" t="s">
        <v>643</v>
      </c>
      <c r="C623" s="648"/>
      <c r="D623" s="597"/>
      <c r="E623" s="642" t="s">
        <v>644</v>
      </c>
      <c r="F623" s="514" t="s">
        <v>41</v>
      </c>
      <c r="G623" s="515" t="s">
        <v>41</v>
      </c>
      <c r="H623" s="750">
        <v>454427</v>
      </c>
      <c r="I623" s="660">
        <f>SUM(I573+I574+I576+I579)</f>
        <v>857107</v>
      </c>
      <c r="J623" s="750">
        <v>129478</v>
      </c>
      <c r="K623" s="660">
        <f>SUM(K573+K574+K576+K579)</f>
        <v>386913</v>
      </c>
      <c r="L623" s="750">
        <v>45757</v>
      </c>
      <c r="M623" s="660">
        <f>SUM(M573+M574+M576+M579)</f>
        <v>0</v>
      </c>
      <c r="N623" s="750">
        <v>438278</v>
      </c>
      <c r="O623" s="660">
        <f>SUM(O573+O574+O576+O579)</f>
        <v>793266</v>
      </c>
      <c r="P623" s="506">
        <f t="shared" si="257"/>
        <v>1067940</v>
      </c>
      <c r="Q623" s="507">
        <f t="shared" si="258"/>
        <v>35598</v>
      </c>
      <c r="R623" s="508">
        <f t="shared" si="259"/>
        <v>2037286</v>
      </c>
      <c r="S623" s="509">
        <f t="shared" si="260"/>
        <v>67909.53333333334</v>
      </c>
      <c r="T623" s="750">
        <v>86103</v>
      </c>
      <c r="U623" s="660">
        <f>SUM(U573+U574+U576+U579)</f>
        <v>117110</v>
      </c>
      <c r="V623" s="506">
        <f t="shared" si="261"/>
        <v>1067940</v>
      </c>
      <c r="W623" s="510">
        <f t="shared" si="262"/>
        <v>2037286</v>
      </c>
      <c r="X623" s="757">
        <v>336581</v>
      </c>
      <c r="Y623" s="660">
        <f>SUM(Y573+Y574+Y576+Y579)</f>
        <v>473588</v>
      </c>
      <c r="Z623" s="750">
        <v>307577</v>
      </c>
      <c r="AA623" s="660">
        <f>SUM(AA573+AA574+AA576+AA579)</f>
        <v>503257</v>
      </c>
      <c r="AB623" s="750">
        <v>276608</v>
      </c>
      <c r="AC623" s="660">
        <f>SUM(AC573+AC574+AC576+AC579)</f>
        <v>496602</v>
      </c>
      <c r="AD623" s="750">
        <v>452407</v>
      </c>
      <c r="AE623" s="660">
        <f>SUM(AE573+AE574+AE576+AE579)</f>
        <v>555990</v>
      </c>
      <c r="AF623" s="506">
        <f t="shared" si="263"/>
        <v>1373173</v>
      </c>
      <c r="AG623" s="507">
        <f t="shared" si="264"/>
        <v>1525.7477777777779</v>
      </c>
      <c r="AH623" s="508">
        <f t="shared" si="265"/>
        <v>2029437</v>
      </c>
      <c r="AI623" s="508">
        <f t="shared" si="266"/>
        <v>2254.9299999999998</v>
      </c>
      <c r="AJ623" s="516"/>
      <c r="AK623" s="519"/>
      <c r="AL623" s="506">
        <f t="shared" si="267"/>
        <v>0</v>
      </c>
      <c r="AM623" s="509">
        <f t="shared" si="268"/>
        <v>0</v>
      </c>
      <c r="AN623" s="518"/>
      <c r="AO623" s="520"/>
      <c r="AP623" s="516"/>
      <c r="AQ623" s="520"/>
      <c r="AR623" s="516"/>
      <c r="AS623" s="520"/>
      <c r="AT623" s="516"/>
      <c r="AU623" s="520"/>
      <c r="AV623" s="506">
        <f t="shared" si="269"/>
        <v>0</v>
      </c>
      <c r="AW623" s="511">
        <f t="shared" si="270"/>
        <v>0</v>
      </c>
      <c r="AX623" s="508">
        <f t="shared" si="271"/>
        <v>0</v>
      </c>
      <c r="AY623" s="512">
        <f t="shared" si="272"/>
        <v>0</v>
      </c>
      <c r="AZ623" s="513">
        <f t="shared" si="273"/>
        <v>37123.747777777775</v>
      </c>
      <c r="BA623" s="508">
        <f t="shared" si="274"/>
        <v>70164.463333333333</v>
      </c>
    </row>
    <row r="624" spans="1:53">
      <c r="A624" s="594" t="s">
        <v>533</v>
      </c>
      <c r="B624" s="643" t="s">
        <v>645</v>
      </c>
      <c r="C624" s="644"/>
      <c r="D624" s="597"/>
      <c r="E624" s="642" t="s">
        <v>644</v>
      </c>
      <c r="F624" s="514" t="s">
        <v>41</v>
      </c>
      <c r="G624" s="515" t="s">
        <v>41</v>
      </c>
      <c r="H624" s="750">
        <v>419174</v>
      </c>
      <c r="I624" s="660">
        <f>SUM(I558+I562+I563+I572+I575)</f>
        <v>771026</v>
      </c>
      <c r="J624" s="750">
        <v>137858</v>
      </c>
      <c r="K624" s="660">
        <f>SUM(K558+K562+K563+K572+K575)</f>
        <v>303813</v>
      </c>
      <c r="L624" s="750">
        <v>44173</v>
      </c>
      <c r="M624" s="660">
        <f>SUM(M558+M562+M563+M572+M575)</f>
        <v>3994</v>
      </c>
      <c r="N624" s="750">
        <v>396897</v>
      </c>
      <c r="O624" s="660">
        <f>SUM(O558+O562+O563+O572+O575)</f>
        <v>726511</v>
      </c>
      <c r="P624" s="506">
        <f t="shared" si="257"/>
        <v>998102</v>
      </c>
      <c r="Q624" s="507">
        <f t="shared" si="258"/>
        <v>33270.066666666666</v>
      </c>
      <c r="R624" s="508">
        <f t="shared" si="259"/>
        <v>1805344</v>
      </c>
      <c r="S624" s="509">
        <f t="shared" si="260"/>
        <v>60178.133333333331</v>
      </c>
      <c r="T624" s="750">
        <v>76982</v>
      </c>
      <c r="U624" s="660">
        <f>SUM(U558+U562+U563+U572+U575)</f>
        <v>147180</v>
      </c>
      <c r="V624" s="506">
        <f t="shared" si="261"/>
        <v>998102</v>
      </c>
      <c r="W624" s="510">
        <f t="shared" si="262"/>
        <v>1805344</v>
      </c>
      <c r="X624" s="757">
        <v>409440</v>
      </c>
      <c r="Y624" s="660">
        <f>SUM(Y558+Y562+Y563+Y572+Y575)</f>
        <v>519932</v>
      </c>
      <c r="Z624" s="750">
        <v>441972</v>
      </c>
      <c r="AA624" s="660">
        <f>SUM(AA558+AA562+AA563+AA572+AA575)</f>
        <v>705811</v>
      </c>
      <c r="AB624" s="750">
        <v>380325</v>
      </c>
      <c r="AC624" s="660">
        <f>SUM(AC558+AC562+AC563+AC572+AC575)</f>
        <v>641600</v>
      </c>
      <c r="AD624" s="750">
        <v>490360</v>
      </c>
      <c r="AE624" s="660">
        <f>SUM(AE558+AE562+AE563+AE572+AE575)</f>
        <v>619744</v>
      </c>
      <c r="AF624" s="506">
        <f t="shared" si="263"/>
        <v>1722097</v>
      </c>
      <c r="AG624" s="507">
        <f t="shared" si="264"/>
        <v>1913.441111111111</v>
      </c>
      <c r="AH624" s="508">
        <f t="shared" si="265"/>
        <v>2487087</v>
      </c>
      <c r="AI624" s="508">
        <f t="shared" si="266"/>
        <v>2763.43</v>
      </c>
      <c r="AJ624" s="516"/>
      <c r="AK624" s="519"/>
      <c r="AL624" s="506">
        <f t="shared" si="267"/>
        <v>0</v>
      </c>
      <c r="AM624" s="509">
        <f t="shared" si="268"/>
        <v>0</v>
      </c>
      <c r="AN624" s="518"/>
      <c r="AO624" s="520"/>
      <c r="AP624" s="516"/>
      <c r="AQ624" s="520"/>
      <c r="AR624" s="516"/>
      <c r="AS624" s="520"/>
      <c r="AT624" s="516"/>
      <c r="AU624" s="520"/>
      <c r="AV624" s="506">
        <f t="shared" si="269"/>
        <v>0</v>
      </c>
      <c r="AW624" s="511">
        <f t="shared" si="270"/>
        <v>0</v>
      </c>
      <c r="AX624" s="508">
        <f t="shared" si="271"/>
        <v>0</v>
      </c>
      <c r="AY624" s="512">
        <f t="shared" si="272"/>
        <v>0</v>
      </c>
      <c r="AZ624" s="513">
        <f t="shared" si="273"/>
        <v>35183.507777777777</v>
      </c>
      <c r="BA624" s="508">
        <f t="shared" si="274"/>
        <v>62941.563333333332</v>
      </c>
    </row>
    <row r="625" spans="1:53">
      <c r="A625" s="594" t="s">
        <v>533</v>
      </c>
      <c r="B625" s="649" t="s">
        <v>645</v>
      </c>
      <c r="C625" s="650"/>
      <c r="D625" s="597"/>
      <c r="E625" s="642" t="s">
        <v>646</v>
      </c>
      <c r="F625" s="514" t="s">
        <v>41</v>
      </c>
      <c r="G625" s="515" t="s">
        <v>41</v>
      </c>
      <c r="H625" s="750">
        <v>144190</v>
      </c>
      <c r="I625" s="660">
        <f>I587+I596</f>
        <v>96940</v>
      </c>
      <c r="J625" s="750">
        <v>22190</v>
      </c>
      <c r="K625" s="660">
        <f>K587+K596</f>
        <v>32319</v>
      </c>
      <c r="L625" s="750">
        <v>10253</v>
      </c>
      <c r="M625" s="660">
        <f>M587+M596</f>
        <v>2242</v>
      </c>
      <c r="N625" s="750">
        <v>147529</v>
      </c>
      <c r="O625" s="660">
        <f>O587+O596</f>
        <v>93663</v>
      </c>
      <c r="P625" s="506">
        <f t="shared" si="257"/>
        <v>324162</v>
      </c>
      <c r="Q625" s="507">
        <f t="shared" si="258"/>
        <v>10805.4</v>
      </c>
      <c r="R625" s="508">
        <f t="shared" si="259"/>
        <v>225164</v>
      </c>
      <c r="S625" s="509">
        <f t="shared" si="260"/>
        <v>7505.4666666666662</v>
      </c>
      <c r="T625" s="750">
        <v>16539</v>
      </c>
      <c r="U625" s="660">
        <f>U587+U596</f>
        <v>16198</v>
      </c>
      <c r="V625" s="506">
        <f t="shared" si="261"/>
        <v>324162</v>
      </c>
      <c r="W625" s="510">
        <f t="shared" si="262"/>
        <v>225164</v>
      </c>
      <c r="X625" s="757">
        <v>97164</v>
      </c>
      <c r="Y625" s="660">
        <f>Y587+Y596</f>
        <v>23204</v>
      </c>
      <c r="Z625" s="750">
        <v>99119</v>
      </c>
      <c r="AA625" s="660">
        <f>AA587+AA596</f>
        <v>44146</v>
      </c>
      <c r="AB625" s="750">
        <v>102046</v>
      </c>
      <c r="AC625" s="660">
        <f>AC587+AC596</f>
        <v>29447</v>
      </c>
      <c r="AD625" s="750">
        <v>99600</v>
      </c>
      <c r="AE625" s="660">
        <f>AE587+AE596</f>
        <v>40663</v>
      </c>
      <c r="AF625" s="506">
        <f t="shared" si="263"/>
        <v>397929</v>
      </c>
      <c r="AG625" s="507">
        <f t="shared" si="264"/>
        <v>442.14333333333332</v>
      </c>
      <c r="AH625" s="508">
        <f t="shared" si="265"/>
        <v>137460</v>
      </c>
      <c r="AI625" s="508">
        <f t="shared" si="266"/>
        <v>152.73333333333332</v>
      </c>
      <c r="AJ625" s="516"/>
      <c r="AK625" s="519"/>
      <c r="AL625" s="506">
        <f t="shared" si="267"/>
        <v>0</v>
      </c>
      <c r="AM625" s="509">
        <f t="shared" si="268"/>
        <v>0</v>
      </c>
      <c r="AN625" s="518"/>
      <c r="AO625" s="520"/>
      <c r="AP625" s="516"/>
      <c r="AQ625" s="520"/>
      <c r="AR625" s="516"/>
      <c r="AS625" s="520"/>
      <c r="AT625" s="516"/>
      <c r="AU625" s="520"/>
      <c r="AV625" s="506">
        <f t="shared" si="269"/>
        <v>0</v>
      </c>
      <c r="AW625" s="511">
        <f t="shared" si="270"/>
        <v>0</v>
      </c>
      <c r="AX625" s="508">
        <f t="shared" si="271"/>
        <v>0</v>
      </c>
      <c r="AY625" s="512">
        <f t="shared" si="272"/>
        <v>0</v>
      </c>
      <c r="AZ625" s="513">
        <f t="shared" si="273"/>
        <v>11247.543333333333</v>
      </c>
      <c r="BA625" s="508">
        <f t="shared" si="274"/>
        <v>7658.2</v>
      </c>
    </row>
    <row r="626" spans="1:53">
      <c r="A626" s="594" t="s">
        <v>533</v>
      </c>
      <c r="B626" s="651" t="s">
        <v>647</v>
      </c>
      <c r="C626" s="652"/>
      <c r="D626" s="597"/>
      <c r="E626" s="642" t="s">
        <v>646</v>
      </c>
      <c r="F626" s="514" t="s">
        <v>41</v>
      </c>
      <c r="G626" s="515" t="s">
        <v>41</v>
      </c>
      <c r="H626" s="750">
        <v>36112</v>
      </c>
      <c r="I626" s="660">
        <f>I593</f>
        <v>26870</v>
      </c>
      <c r="J626" s="750">
        <v>9727</v>
      </c>
      <c r="K626" s="660">
        <f>K593</f>
        <v>2273</v>
      </c>
      <c r="L626" s="750">
        <v>7532</v>
      </c>
      <c r="M626" s="660">
        <f>M593</f>
        <v>1662</v>
      </c>
      <c r="N626" s="750">
        <v>33935</v>
      </c>
      <c r="O626" s="660">
        <f>O593</f>
        <v>28553</v>
      </c>
      <c r="P626" s="506">
        <f t="shared" si="257"/>
        <v>87306</v>
      </c>
      <c r="Q626" s="507">
        <f t="shared" si="258"/>
        <v>2910.2</v>
      </c>
      <c r="R626" s="508">
        <f t="shared" si="259"/>
        <v>59358</v>
      </c>
      <c r="S626" s="509">
        <f t="shared" si="260"/>
        <v>1978.6</v>
      </c>
      <c r="T626" s="750">
        <v>8066</v>
      </c>
      <c r="U626" s="660">
        <f>U593</f>
        <v>1058</v>
      </c>
      <c r="V626" s="506">
        <f t="shared" si="261"/>
        <v>87306</v>
      </c>
      <c r="W626" s="510">
        <f t="shared" si="262"/>
        <v>59358</v>
      </c>
      <c r="X626" s="757">
        <v>53328</v>
      </c>
      <c r="Y626" s="660">
        <f>Y593</f>
        <v>23149</v>
      </c>
      <c r="Z626" s="750">
        <v>36974</v>
      </c>
      <c r="AA626" s="660">
        <f>AA593</f>
        <v>26021</v>
      </c>
      <c r="AB626" s="750">
        <v>52758</v>
      </c>
      <c r="AC626" s="660">
        <f>AC593</f>
        <v>29386</v>
      </c>
      <c r="AD626" s="750">
        <v>48765</v>
      </c>
      <c r="AE626" s="660">
        <f>AE593</f>
        <v>42880</v>
      </c>
      <c r="AF626" s="506">
        <f t="shared" si="263"/>
        <v>191825</v>
      </c>
      <c r="AG626" s="507">
        <f t="shared" si="264"/>
        <v>213.13888888888889</v>
      </c>
      <c r="AH626" s="508">
        <f t="shared" si="265"/>
        <v>121436</v>
      </c>
      <c r="AI626" s="508">
        <f t="shared" si="266"/>
        <v>134.92888888888888</v>
      </c>
      <c r="AJ626" s="516"/>
      <c r="AK626" s="519"/>
      <c r="AL626" s="506">
        <f t="shared" si="267"/>
        <v>0</v>
      </c>
      <c r="AM626" s="509">
        <f t="shared" si="268"/>
        <v>0</v>
      </c>
      <c r="AN626" s="518"/>
      <c r="AO626" s="520"/>
      <c r="AP626" s="516"/>
      <c r="AQ626" s="520"/>
      <c r="AR626" s="516"/>
      <c r="AS626" s="520"/>
      <c r="AT626" s="516"/>
      <c r="AU626" s="520"/>
      <c r="AV626" s="506">
        <f t="shared" si="269"/>
        <v>0</v>
      </c>
      <c r="AW626" s="511">
        <f t="shared" si="270"/>
        <v>0</v>
      </c>
      <c r="AX626" s="508">
        <f t="shared" si="271"/>
        <v>0</v>
      </c>
      <c r="AY626" s="512">
        <f t="shared" si="272"/>
        <v>0</v>
      </c>
      <c r="AZ626" s="513">
        <f t="shared" si="273"/>
        <v>3123.3388888888885</v>
      </c>
      <c r="BA626" s="508">
        <f t="shared" si="274"/>
        <v>2113.528888888889</v>
      </c>
    </row>
    <row r="627" spans="1:53">
      <c r="A627" s="594" t="s">
        <v>533</v>
      </c>
      <c r="B627" s="654" t="s">
        <v>643</v>
      </c>
      <c r="C627" s="655"/>
      <c r="D627" s="597"/>
      <c r="E627" s="642" t="s">
        <v>145</v>
      </c>
      <c r="F627" s="514" t="s">
        <v>41</v>
      </c>
      <c r="G627" s="515" t="s">
        <v>41</v>
      </c>
      <c r="H627" s="750">
        <v>24710</v>
      </c>
      <c r="I627" s="660">
        <f>I613</f>
        <v>23217</v>
      </c>
      <c r="J627" s="750">
        <v>8495</v>
      </c>
      <c r="K627" s="660">
        <f>K613</f>
        <v>3474</v>
      </c>
      <c r="L627" s="750">
        <v>3143</v>
      </c>
      <c r="M627" s="660">
        <f>M613</f>
        <v>1720</v>
      </c>
      <c r="N627" s="750">
        <v>22917</v>
      </c>
      <c r="O627" s="660">
        <f>O613</f>
        <v>25475</v>
      </c>
      <c r="P627" s="506">
        <f t="shared" si="257"/>
        <v>59265</v>
      </c>
      <c r="Q627" s="507">
        <f t="shared" si="258"/>
        <v>1975.5</v>
      </c>
      <c r="R627" s="508">
        <f t="shared" si="259"/>
        <v>53886</v>
      </c>
      <c r="S627" s="509">
        <f t="shared" si="260"/>
        <v>1796.2</v>
      </c>
      <c r="T627" s="750">
        <v>2050</v>
      </c>
      <c r="U627" s="660">
        <f>U613</f>
        <v>4716</v>
      </c>
      <c r="V627" s="506">
        <f t="shared" si="261"/>
        <v>59265</v>
      </c>
      <c r="W627" s="510">
        <f t="shared" si="262"/>
        <v>53886</v>
      </c>
      <c r="X627" s="757">
        <v>79181</v>
      </c>
      <c r="Y627" s="660">
        <f>Y613</f>
        <v>10491</v>
      </c>
      <c r="Z627" s="750">
        <v>68240</v>
      </c>
      <c r="AA627" s="660">
        <f>AA613</f>
        <v>8811</v>
      </c>
      <c r="AB627" s="750">
        <v>53712</v>
      </c>
      <c r="AC627" s="660">
        <f>AC613</f>
        <v>7199</v>
      </c>
      <c r="AD627" s="750">
        <v>97248</v>
      </c>
      <c r="AE627" s="660">
        <f>AE613</f>
        <v>13957</v>
      </c>
      <c r="AF627" s="506">
        <f t="shared" si="263"/>
        <v>298381</v>
      </c>
      <c r="AG627" s="507">
        <f t="shared" si="264"/>
        <v>331.53444444444443</v>
      </c>
      <c r="AH627" s="508">
        <f t="shared" si="265"/>
        <v>40458</v>
      </c>
      <c r="AI627" s="508">
        <f t="shared" si="266"/>
        <v>44.953333333333333</v>
      </c>
      <c r="AJ627" s="516"/>
      <c r="AK627" s="519"/>
      <c r="AL627" s="506">
        <f t="shared" si="267"/>
        <v>0</v>
      </c>
      <c r="AM627" s="509">
        <f t="shared" si="268"/>
        <v>0</v>
      </c>
      <c r="AN627" s="518"/>
      <c r="AO627" s="520"/>
      <c r="AP627" s="516"/>
      <c r="AQ627" s="520"/>
      <c r="AR627" s="516"/>
      <c r="AS627" s="520"/>
      <c r="AT627" s="516"/>
      <c r="AU627" s="520"/>
      <c r="AV627" s="506">
        <f t="shared" si="269"/>
        <v>0</v>
      </c>
      <c r="AW627" s="511">
        <f t="shared" si="270"/>
        <v>0</v>
      </c>
      <c r="AX627" s="508">
        <f t="shared" si="271"/>
        <v>0</v>
      </c>
      <c r="AY627" s="512">
        <f t="shared" si="272"/>
        <v>0</v>
      </c>
      <c r="AZ627" s="513">
        <f t="shared" si="273"/>
        <v>2307.0344444444445</v>
      </c>
      <c r="BA627" s="508">
        <f t="shared" si="274"/>
        <v>1841.1533333333334</v>
      </c>
    </row>
    <row r="628" spans="1:53">
      <c r="A628" s="594" t="s">
        <v>533</v>
      </c>
      <c r="B628" s="656" t="s">
        <v>647</v>
      </c>
      <c r="C628" s="657"/>
      <c r="D628" s="597"/>
      <c r="E628" s="642" t="s">
        <v>145</v>
      </c>
      <c r="F628" s="514" t="s">
        <v>41</v>
      </c>
      <c r="G628" s="515" t="s">
        <v>41</v>
      </c>
      <c r="H628" s="750">
        <v>1056</v>
      </c>
      <c r="I628" s="660">
        <f>I616</f>
        <v>7037</v>
      </c>
      <c r="J628" s="750">
        <v>27</v>
      </c>
      <c r="K628" s="660">
        <f>K616</f>
        <v>4869</v>
      </c>
      <c r="L628" s="750">
        <v>21</v>
      </c>
      <c r="M628" s="660">
        <f>M616</f>
        <v>0</v>
      </c>
      <c r="N628" s="750">
        <v>1615</v>
      </c>
      <c r="O628" s="660">
        <f>O616</f>
        <v>6961</v>
      </c>
      <c r="P628" s="506">
        <f t="shared" si="257"/>
        <v>2719</v>
      </c>
      <c r="Q628" s="507">
        <f t="shared" si="258"/>
        <v>90.63333333333334</v>
      </c>
      <c r="R628" s="508">
        <f t="shared" si="259"/>
        <v>18867</v>
      </c>
      <c r="S628" s="509">
        <f t="shared" si="260"/>
        <v>628.9</v>
      </c>
      <c r="T628" s="750">
        <v>66</v>
      </c>
      <c r="U628" s="660">
        <f>U616</f>
        <v>1901</v>
      </c>
      <c r="V628" s="506">
        <f t="shared" si="261"/>
        <v>2719</v>
      </c>
      <c r="W628" s="510">
        <f t="shared" si="262"/>
        <v>18867</v>
      </c>
      <c r="X628" s="757">
        <v>0</v>
      </c>
      <c r="Y628" s="660">
        <f>Y616</f>
        <v>4184</v>
      </c>
      <c r="Z628" s="750">
        <v>0</v>
      </c>
      <c r="AA628" s="660">
        <f>AA616</f>
        <v>6216</v>
      </c>
      <c r="AB628" s="750">
        <v>0</v>
      </c>
      <c r="AC628" s="660">
        <f>AC616</f>
        <v>7206</v>
      </c>
      <c r="AD628" s="750">
        <v>0</v>
      </c>
      <c r="AE628" s="660">
        <f>AE616</f>
        <v>4859</v>
      </c>
      <c r="AF628" s="506">
        <f t="shared" si="263"/>
        <v>0</v>
      </c>
      <c r="AG628" s="507">
        <f t="shared" si="264"/>
        <v>0</v>
      </c>
      <c r="AH628" s="508">
        <f t="shared" si="265"/>
        <v>22465</v>
      </c>
      <c r="AI628" s="508">
        <f t="shared" si="266"/>
        <v>24.961111111111112</v>
      </c>
      <c r="AJ628" s="516"/>
      <c r="AK628" s="519"/>
      <c r="AL628" s="506">
        <f t="shared" si="267"/>
        <v>0</v>
      </c>
      <c r="AM628" s="509">
        <f t="shared" si="268"/>
        <v>0</v>
      </c>
      <c r="AN628" s="518"/>
      <c r="AO628" s="520"/>
      <c r="AP628" s="516"/>
      <c r="AQ628" s="520"/>
      <c r="AR628" s="516"/>
      <c r="AS628" s="520"/>
      <c r="AT628" s="516"/>
      <c r="AU628" s="520"/>
      <c r="AV628" s="506">
        <f t="shared" si="269"/>
        <v>0</v>
      </c>
      <c r="AW628" s="511">
        <f t="shared" si="270"/>
        <v>0</v>
      </c>
      <c r="AX628" s="508">
        <f t="shared" si="271"/>
        <v>0</v>
      </c>
      <c r="AY628" s="512">
        <f t="shared" si="272"/>
        <v>0</v>
      </c>
      <c r="AZ628" s="513">
        <f t="shared" si="273"/>
        <v>90.63333333333334</v>
      </c>
      <c r="BA628" s="508">
        <f t="shared" si="274"/>
        <v>653.86111111111109</v>
      </c>
    </row>
    <row r="629" spans="1:53">
      <c r="A629" s="773" t="s">
        <v>918</v>
      </c>
      <c r="B629" s="774" t="s">
        <v>919</v>
      </c>
      <c r="C629" s="787"/>
      <c r="D629" s="773">
        <v>232186</v>
      </c>
      <c r="E629" s="784">
        <v>1</v>
      </c>
      <c r="F629" s="514" t="s">
        <v>41</v>
      </c>
      <c r="G629" s="515" t="s">
        <v>41</v>
      </c>
      <c r="H629" s="516"/>
      <c r="I629" s="519"/>
      <c r="J629" s="516">
        <v>251312</v>
      </c>
      <c r="K629" s="519">
        <v>258730</v>
      </c>
      <c r="L629" s="516">
        <v>49339</v>
      </c>
      <c r="M629" s="519">
        <v>59362</v>
      </c>
      <c r="N629" s="516">
        <v>270328.5</v>
      </c>
      <c r="O629" s="519">
        <v>268629.5</v>
      </c>
      <c r="P629" s="506">
        <f t="shared" si="257"/>
        <v>570979.5</v>
      </c>
      <c r="Q629" s="507">
        <f t="shared" si="258"/>
        <v>19032.650000000001</v>
      </c>
      <c r="R629" s="508">
        <f t="shared" si="259"/>
        <v>586721.5</v>
      </c>
      <c r="S629" s="509">
        <f t="shared" si="260"/>
        <v>19557.383333333335</v>
      </c>
      <c r="T629" s="516">
        <v>24514</v>
      </c>
      <c r="U629" s="519">
        <v>27627</v>
      </c>
      <c r="V629" s="506">
        <f t="shared" si="261"/>
        <v>570979.5</v>
      </c>
      <c r="W629" s="510">
        <f t="shared" si="262"/>
        <v>586721.5</v>
      </c>
      <c r="X629" s="517"/>
      <c r="Y629" s="519"/>
      <c r="Z629" s="516"/>
      <c r="AA629" s="519"/>
      <c r="AB629" s="516"/>
      <c r="AC629" s="519"/>
      <c r="AD629" s="516"/>
      <c r="AE629" s="519"/>
      <c r="AF629" s="506">
        <f t="shared" si="263"/>
        <v>0</v>
      </c>
      <c r="AG629" s="507">
        <f t="shared" si="264"/>
        <v>0</v>
      </c>
      <c r="AH629" s="508">
        <f t="shared" si="265"/>
        <v>0</v>
      </c>
      <c r="AI629" s="508">
        <f t="shared" si="266"/>
        <v>0</v>
      </c>
      <c r="AJ629" s="516"/>
      <c r="AK629" s="519"/>
      <c r="AL629" s="506">
        <f t="shared" si="267"/>
        <v>0</v>
      </c>
      <c r="AM629" s="509">
        <f t="shared" si="268"/>
        <v>0</v>
      </c>
      <c r="AN629" s="518"/>
      <c r="AO629" s="520"/>
      <c r="AP629" s="516">
        <v>77490</v>
      </c>
      <c r="AQ629" s="520">
        <v>78204</v>
      </c>
      <c r="AR629" s="516">
        <v>20222.5</v>
      </c>
      <c r="AS629" s="520">
        <v>19755</v>
      </c>
      <c r="AT629" s="516">
        <v>79520</v>
      </c>
      <c r="AU629" s="520">
        <v>77898</v>
      </c>
      <c r="AV629" s="506">
        <f t="shared" si="269"/>
        <v>177232.5</v>
      </c>
      <c r="AW629" s="511">
        <f t="shared" si="270"/>
        <v>7384.6875</v>
      </c>
      <c r="AX629" s="508">
        <f t="shared" si="271"/>
        <v>175857</v>
      </c>
      <c r="AY629" s="512">
        <f t="shared" si="272"/>
        <v>7327.375</v>
      </c>
      <c r="AZ629" s="513">
        <f t="shared" si="273"/>
        <v>26417.337500000001</v>
      </c>
      <c r="BA629" s="508">
        <f t="shared" si="274"/>
        <v>26884.758333333335</v>
      </c>
    </row>
    <row r="630" spans="1:53">
      <c r="A630" s="773" t="s">
        <v>918</v>
      </c>
      <c r="B630" s="774" t="s">
        <v>920</v>
      </c>
      <c r="C630" s="788"/>
      <c r="D630" s="773">
        <v>232982</v>
      </c>
      <c r="E630" s="784">
        <v>1</v>
      </c>
      <c r="F630" s="514" t="s">
        <v>41</v>
      </c>
      <c r="G630" s="515" t="s">
        <v>41</v>
      </c>
      <c r="H630" s="516"/>
      <c r="I630" s="519"/>
      <c r="J630" s="516">
        <v>215941</v>
      </c>
      <c r="K630" s="519">
        <v>217547</v>
      </c>
      <c r="L630" s="516">
        <v>52395</v>
      </c>
      <c r="M630" s="519">
        <v>56292</v>
      </c>
      <c r="N630" s="516">
        <v>233487</v>
      </c>
      <c r="O630" s="519">
        <v>237481</v>
      </c>
      <c r="P630" s="506">
        <f t="shared" si="257"/>
        <v>501823</v>
      </c>
      <c r="Q630" s="507">
        <f t="shared" si="258"/>
        <v>16727.433333333334</v>
      </c>
      <c r="R630" s="508">
        <f t="shared" si="259"/>
        <v>511320</v>
      </c>
      <c r="S630" s="509">
        <f t="shared" si="260"/>
        <v>17044</v>
      </c>
      <c r="T630" s="516">
        <v>0</v>
      </c>
      <c r="U630" s="519">
        <v>16</v>
      </c>
      <c r="V630" s="506">
        <f t="shared" si="261"/>
        <v>501823</v>
      </c>
      <c r="W630" s="510">
        <f t="shared" si="262"/>
        <v>511320</v>
      </c>
      <c r="X630" s="517"/>
      <c r="Y630" s="519"/>
      <c r="Z630" s="516"/>
      <c r="AA630" s="519"/>
      <c r="AB630" s="516"/>
      <c r="AC630" s="519"/>
      <c r="AD630" s="516"/>
      <c r="AE630" s="519"/>
      <c r="AF630" s="506">
        <f t="shared" si="263"/>
        <v>0</v>
      </c>
      <c r="AG630" s="507">
        <f t="shared" si="264"/>
        <v>0</v>
      </c>
      <c r="AH630" s="508">
        <f t="shared" si="265"/>
        <v>0</v>
      </c>
      <c r="AI630" s="508">
        <f t="shared" si="266"/>
        <v>0</v>
      </c>
      <c r="AJ630" s="516"/>
      <c r="AK630" s="519"/>
      <c r="AL630" s="506">
        <f t="shared" si="267"/>
        <v>0</v>
      </c>
      <c r="AM630" s="509">
        <f t="shared" si="268"/>
        <v>0</v>
      </c>
      <c r="AN630" s="518"/>
      <c r="AO630" s="520"/>
      <c r="AP630" s="516">
        <v>30307</v>
      </c>
      <c r="AQ630" s="520">
        <v>29111</v>
      </c>
      <c r="AR630" s="516">
        <v>14718</v>
      </c>
      <c r="AS630" s="520">
        <v>13687</v>
      </c>
      <c r="AT630" s="516">
        <v>31094</v>
      </c>
      <c r="AU630" s="520">
        <v>29777</v>
      </c>
      <c r="AV630" s="506">
        <f t="shared" si="269"/>
        <v>76119</v>
      </c>
      <c r="AW630" s="511">
        <f t="shared" si="270"/>
        <v>3171.625</v>
      </c>
      <c r="AX630" s="508">
        <f t="shared" si="271"/>
        <v>72575</v>
      </c>
      <c r="AY630" s="512">
        <f t="shared" si="272"/>
        <v>3023.9583333333335</v>
      </c>
      <c r="AZ630" s="513">
        <f t="shared" si="273"/>
        <v>19899.058333333334</v>
      </c>
      <c r="BA630" s="508">
        <f t="shared" si="274"/>
        <v>20067.958333333332</v>
      </c>
    </row>
    <row r="631" spans="1:53">
      <c r="A631" s="773" t="s">
        <v>918</v>
      </c>
      <c r="B631" s="789" t="s">
        <v>921</v>
      </c>
      <c r="C631" s="788"/>
      <c r="D631" s="773">
        <v>234076</v>
      </c>
      <c r="E631" s="784">
        <v>1</v>
      </c>
      <c r="F631" s="514" t="s">
        <v>41</v>
      </c>
      <c r="G631" s="515" t="s">
        <v>41</v>
      </c>
      <c r="H631" s="516"/>
      <c r="I631" s="519"/>
      <c r="J631" s="516">
        <v>216264</v>
      </c>
      <c r="K631" s="519">
        <v>219150.5</v>
      </c>
      <c r="L631" s="516">
        <v>30124</v>
      </c>
      <c r="M631" s="519">
        <v>24822</v>
      </c>
      <c r="N631" s="516">
        <v>221447.5</v>
      </c>
      <c r="O631" s="519">
        <v>223124</v>
      </c>
      <c r="P631" s="506">
        <f t="shared" si="257"/>
        <v>467835.5</v>
      </c>
      <c r="Q631" s="507">
        <f t="shared" si="258"/>
        <v>15594.516666666666</v>
      </c>
      <c r="R631" s="508">
        <f t="shared" si="259"/>
        <v>467096.5</v>
      </c>
      <c r="S631" s="509">
        <f t="shared" si="260"/>
        <v>15569.883333333333</v>
      </c>
      <c r="T631" s="516">
        <v>0</v>
      </c>
      <c r="U631" s="519">
        <v>0</v>
      </c>
      <c r="V631" s="506">
        <f t="shared" si="261"/>
        <v>467835.5</v>
      </c>
      <c r="W631" s="510">
        <f t="shared" si="262"/>
        <v>467096.5</v>
      </c>
      <c r="X631" s="517"/>
      <c r="Y631" s="519"/>
      <c r="Z631" s="516"/>
      <c r="AA631" s="519"/>
      <c r="AB631" s="516"/>
      <c r="AC631" s="519"/>
      <c r="AD631" s="516"/>
      <c r="AE631" s="519"/>
      <c r="AF631" s="506">
        <f t="shared" si="263"/>
        <v>0</v>
      </c>
      <c r="AG631" s="507">
        <f t="shared" si="264"/>
        <v>0</v>
      </c>
      <c r="AH631" s="508">
        <f t="shared" si="265"/>
        <v>0</v>
      </c>
      <c r="AI631" s="508">
        <f t="shared" si="266"/>
        <v>0</v>
      </c>
      <c r="AJ631" s="516"/>
      <c r="AK631" s="519"/>
      <c r="AL631" s="506">
        <f t="shared" si="267"/>
        <v>0</v>
      </c>
      <c r="AM631" s="509">
        <f t="shared" si="268"/>
        <v>0</v>
      </c>
      <c r="AN631" s="518"/>
      <c r="AO631" s="520"/>
      <c r="AP631" s="516">
        <v>93016.5</v>
      </c>
      <c r="AQ631" s="520">
        <v>90536</v>
      </c>
      <c r="AR631" s="516">
        <v>19242.5</v>
      </c>
      <c r="AS631" s="520">
        <v>15852</v>
      </c>
      <c r="AT631" s="516">
        <v>90860</v>
      </c>
      <c r="AU631" s="520">
        <v>89139.5</v>
      </c>
      <c r="AV631" s="506">
        <f t="shared" si="269"/>
        <v>203119</v>
      </c>
      <c r="AW631" s="511">
        <f t="shared" si="270"/>
        <v>8463.2916666666661</v>
      </c>
      <c r="AX631" s="508">
        <f t="shared" si="271"/>
        <v>195527.5</v>
      </c>
      <c r="AY631" s="512">
        <f t="shared" si="272"/>
        <v>8146.979166666667</v>
      </c>
      <c r="AZ631" s="513">
        <f t="shared" si="273"/>
        <v>24057.808333333334</v>
      </c>
      <c r="BA631" s="508">
        <f t="shared" si="274"/>
        <v>23716.862499999999</v>
      </c>
    </row>
    <row r="632" spans="1:53">
      <c r="A632" s="773" t="s">
        <v>918</v>
      </c>
      <c r="B632" s="789" t="s">
        <v>922</v>
      </c>
      <c r="C632" s="788"/>
      <c r="D632" s="773">
        <v>233921</v>
      </c>
      <c r="E632" s="784">
        <v>1</v>
      </c>
      <c r="F632" s="514" t="s">
        <v>41</v>
      </c>
      <c r="G632" s="515" t="s">
        <v>41</v>
      </c>
      <c r="H632" s="516"/>
      <c r="I632" s="519"/>
      <c r="J632" s="516">
        <v>345606</v>
      </c>
      <c r="K632" s="519">
        <v>345714</v>
      </c>
      <c r="L632" s="516">
        <v>37992</v>
      </c>
      <c r="M632" s="519">
        <v>37098</v>
      </c>
      <c r="N632" s="516">
        <v>364620</v>
      </c>
      <c r="O632" s="519">
        <v>368881</v>
      </c>
      <c r="P632" s="506">
        <f t="shared" si="257"/>
        <v>748218</v>
      </c>
      <c r="Q632" s="507">
        <f t="shared" si="258"/>
        <v>24940.6</v>
      </c>
      <c r="R632" s="508">
        <f t="shared" si="259"/>
        <v>751693</v>
      </c>
      <c r="S632" s="509">
        <f t="shared" si="260"/>
        <v>25056.433333333334</v>
      </c>
      <c r="T632" s="516">
        <v>0</v>
      </c>
      <c r="U632" s="519">
        <v>0</v>
      </c>
      <c r="V632" s="506">
        <f t="shared" si="261"/>
        <v>748218</v>
      </c>
      <c r="W632" s="510">
        <f t="shared" si="262"/>
        <v>751693</v>
      </c>
      <c r="X632" s="517"/>
      <c r="Y632" s="519"/>
      <c r="Z632" s="516"/>
      <c r="AA632" s="519"/>
      <c r="AB632" s="516"/>
      <c r="AC632" s="519"/>
      <c r="AD632" s="516"/>
      <c r="AE632" s="519"/>
      <c r="AF632" s="506">
        <f t="shared" si="263"/>
        <v>0</v>
      </c>
      <c r="AG632" s="507">
        <f t="shared" si="264"/>
        <v>0</v>
      </c>
      <c r="AH632" s="508">
        <f t="shared" si="265"/>
        <v>0</v>
      </c>
      <c r="AI632" s="508">
        <f t="shared" si="266"/>
        <v>0</v>
      </c>
      <c r="AJ632" s="516"/>
      <c r="AK632" s="519"/>
      <c r="AL632" s="506">
        <f t="shared" si="267"/>
        <v>0</v>
      </c>
      <c r="AM632" s="509">
        <f t="shared" si="268"/>
        <v>0</v>
      </c>
      <c r="AN632" s="518"/>
      <c r="AO632" s="520"/>
      <c r="AP632" s="516">
        <v>67579</v>
      </c>
      <c r="AQ632" s="520">
        <v>66593</v>
      </c>
      <c r="AR632" s="516">
        <v>8388</v>
      </c>
      <c r="AS632" s="520">
        <v>7811</v>
      </c>
      <c r="AT632" s="516">
        <v>67981</v>
      </c>
      <c r="AU632" s="520">
        <v>69942</v>
      </c>
      <c r="AV632" s="506">
        <f t="shared" si="269"/>
        <v>143948</v>
      </c>
      <c r="AW632" s="511">
        <f t="shared" si="270"/>
        <v>5997.833333333333</v>
      </c>
      <c r="AX632" s="508">
        <f t="shared" si="271"/>
        <v>144346</v>
      </c>
      <c r="AY632" s="512">
        <f t="shared" si="272"/>
        <v>6014.416666666667</v>
      </c>
      <c r="AZ632" s="513">
        <f t="shared" si="273"/>
        <v>30938.433333333331</v>
      </c>
      <c r="BA632" s="508">
        <f t="shared" si="274"/>
        <v>31070.850000000002</v>
      </c>
    </row>
    <row r="633" spans="1:53">
      <c r="A633" s="773" t="s">
        <v>918</v>
      </c>
      <c r="B633" s="789" t="s">
        <v>923</v>
      </c>
      <c r="C633" s="788"/>
      <c r="D633" s="773">
        <v>231624</v>
      </c>
      <c r="E633" s="784">
        <v>2</v>
      </c>
      <c r="F633" s="514" t="s">
        <v>41</v>
      </c>
      <c r="G633" s="515" t="s">
        <v>41</v>
      </c>
      <c r="H633" s="516"/>
      <c r="I633" s="519"/>
      <c r="J633" s="516">
        <v>80865.5</v>
      </c>
      <c r="K633" s="519">
        <v>83289.5</v>
      </c>
      <c r="L633" s="516">
        <v>8242</v>
      </c>
      <c r="M633" s="519">
        <v>8318</v>
      </c>
      <c r="N633" s="516">
        <v>86293.5</v>
      </c>
      <c r="O633" s="519">
        <v>88067.5</v>
      </c>
      <c r="P633" s="506">
        <f t="shared" si="257"/>
        <v>175401</v>
      </c>
      <c r="Q633" s="507">
        <f t="shared" si="258"/>
        <v>5846.7</v>
      </c>
      <c r="R633" s="508">
        <f t="shared" si="259"/>
        <v>179675</v>
      </c>
      <c r="S633" s="509">
        <f t="shared" si="260"/>
        <v>5989.166666666667</v>
      </c>
      <c r="T633" s="516">
        <v>0</v>
      </c>
      <c r="U633" s="519">
        <v>0</v>
      </c>
      <c r="V633" s="506">
        <f t="shared" si="261"/>
        <v>175401</v>
      </c>
      <c r="W633" s="510">
        <f t="shared" si="262"/>
        <v>179675</v>
      </c>
      <c r="X633" s="517"/>
      <c r="Y633" s="519"/>
      <c r="Z633" s="516"/>
      <c r="AA633" s="519"/>
      <c r="AB633" s="516"/>
      <c r="AC633" s="519"/>
      <c r="AD633" s="516"/>
      <c r="AE633" s="519"/>
      <c r="AF633" s="506">
        <f t="shared" si="263"/>
        <v>0</v>
      </c>
      <c r="AG633" s="507">
        <f t="shared" si="264"/>
        <v>0</v>
      </c>
      <c r="AH633" s="508">
        <f t="shared" si="265"/>
        <v>0</v>
      </c>
      <c r="AI633" s="508">
        <f t="shared" si="266"/>
        <v>0</v>
      </c>
      <c r="AJ633" s="516"/>
      <c r="AK633" s="519"/>
      <c r="AL633" s="506">
        <f t="shared" si="267"/>
        <v>0</v>
      </c>
      <c r="AM633" s="509">
        <f t="shared" si="268"/>
        <v>0</v>
      </c>
      <c r="AN633" s="518"/>
      <c r="AO633" s="520"/>
      <c r="AP633" s="516">
        <v>24343.5</v>
      </c>
      <c r="AQ633" s="520">
        <v>25470</v>
      </c>
      <c r="AR633" s="516">
        <v>4532.5</v>
      </c>
      <c r="AS633" s="520">
        <v>4713</v>
      </c>
      <c r="AT633" s="516">
        <v>25887.5</v>
      </c>
      <c r="AU633" s="520">
        <v>25548.5</v>
      </c>
      <c r="AV633" s="506">
        <f t="shared" si="269"/>
        <v>54763.5</v>
      </c>
      <c r="AW633" s="511">
        <f t="shared" si="270"/>
        <v>2281.8125</v>
      </c>
      <c r="AX633" s="508">
        <f t="shared" si="271"/>
        <v>55731.5</v>
      </c>
      <c r="AY633" s="512">
        <f t="shared" si="272"/>
        <v>2322.1458333333335</v>
      </c>
      <c r="AZ633" s="513">
        <f t="shared" si="273"/>
        <v>8128.5124999999998</v>
      </c>
      <c r="BA633" s="508">
        <f t="shared" si="274"/>
        <v>8311.3125</v>
      </c>
    </row>
    <row r="634" spans="1:53">
      <c r="A634" s="773" t="s">
        <v>918</v>
      </c>
      <c r="B634" s="774" t="s">
        <v>924</v>
      </c>
      <c r="C634" s="788"/>
      <c r="D634" s="773">
        <v>234030</v>
      </c>
      <c r="E634" s="784">
        <v>2</v>
      </c>
      <c r="F634" s="514" t="s">
        <v>41</v>
      </c>
      <c r="G634" s="515" t="s">
        <v>41</v>
      </c>
      <c r="H634" s="516"/>
      <c r="I634" s="519"/>
      <c r="J634" s="516">
        <v>290741</v>
      </c>
      <c r="K634" s="519">
        <v>297494</v>
      </c>
      <c r="L634" s="516">
        <v>43683.5</v>
      </c>
      <c r="M634" s="519">
        <v>43629.5</v>
      </c>
      <c r="N634" s="516">
        <v>315682</v>
      </c>
      <c r="O634" s="519">
        <v>319380</v>
      </c>
      <c r="P634" s="506">
        <f t="shared" si="257"/>
        <v>650106.5</v>
      </c>
      <c r="Q634" s="507">
        <f t="shared" si="258"/>
        <v>21670.216666666667</v>
      </c>
      <c r="R634" s="508">
        <f t="shared" si="259"/>
        <v>660503.5</v>
      </c>
      <c r="S634" s="509">
        <f t="shared" si="260"/>
        <v>22016.783333333333</v>
      </c>
      <c r="T634" s="516">
        <v>7584</v>
      </c>
      <c r="U634" s="519">
        <v>7800</v>
      </c>
      <c r="V634" s="506">
        <f t="shared" si="261"/>
        <v>650106.5</v>
      </c>
      <c r="W634" s="510">
        <f t="shared" si="262"/>
        <v>660503.5</v>
      </c>
      <c r="X634" s="517"/>
      <c r="Y634" s="519"/>
      <c r="Z634" s="516"/>
      <c r="AA634" s="519"/>
      <c r="AB634" s="516"/>
      <c r="AC634" s="519"/>
      <c r="AD634" s="516"/>
      <c r="AE634" s="519"/>
      <c r="AF634" s="506">
        <f t="shared" si="263"/>
        <v>0</v>
      </c>
      <c r="AG634" s="507">
        <f t="shared" si="264"/>
        <v>0</v>
      </c>
      <c r="AH634" s="508">
        <f t="shared" si="265"/>
        <v>0</v>
      </c>
      <c r="AI634" s="508">
        <f t="shared" si="266"/>
        <v>0</v>
      </c>
      <c r="AJ634" s="516"/>
      <c r="AK634" s="519"/>
      <c r="AL634" s="506">
        <f t="shared" si="267"/>
        <v>0</v>
      </c>
      <c r="AM634" s="509">
        <f t="shared" si="268"/>
        <v>0</v>
      </c>
      <c r="AN634" s="518"/>
      <c r="AO634" s="520"/>
      <c r="AP634" s="516">
        <v>61410.5</v>
      </c>
      <c r="AQ634" s="520">
        <v>60606.5</v>
      </c>
      <c r="AR634" s="516">
        <v>15123.5</v>
      </c>
      <c r="AS634" s="520">
        <v>14248</v>
      </c>
      <c r="AT634" s="516">
        <v>64254</v>
      </c>
      <c r="AU634" s="520">
        <v>63336.5</v>
      </c>
      <c r="AV634" s="506">
        <f t="shared" si="269"/>
        <v>140788</v>
      </c>
      <c r="AW634" s="511">
        <f t="shared" si="270"/>
        <v>5866.166666666667</v>
      </c>
      <c r="AX634" s="508">
        <f t="shared" si="271"/>
        <v>138191</v>
      </c>
      <c r="AY634" s="512">
        <f t="shared" si="272"/>
        <v>5757.958333333333</v>
      </c>
      <c r="AZ634" s="513">
        <f t="shared" si="273"/>
        <v>27536.383333333335</v>
      </c>
      <c r="BA634" s="508">
        <f t="shared" si="274"/>
        <v>27774.741666666665</v>
      </c>
    </row>
    <row r="635" spans="1:53">
      <c r="A635" s="773" t="s">
        <v>918</v>
      </c>
      <c r="B635" s="789" t="s">
        <v>925</v>
      </c>
      <c r="C635" s="788"/>
      <c r="D635" s="773">
        <v>232423</v>
      </c>
      <c r="E635" s="784">
        <v>3</v>
      </c>
      <c r="F635" s="514" t="s">
        <v>41</v>
      </c>
      <c r="G635" s="515" t="s">
        <v>41</v>
      </c>
      <c r="H635" s="516"/>
      <c r="I635" s="519"/>
      <c r="J635" s="516">
        <v>243645</v>
      </c>
      <c r="K635" s="519">
        <v>248853</v>
      </c>
      <c r="L635" s="516">
        <v>27247</v>
      </c>
      <c r="M635" s="519">
        <v>26986</v>
      </c>
      <c r="N635" s="516">
        <v>262989</v>
      </c>
      <c r="O635" s="519">
        <v>265966</v>
      </c>
      <c r="P635" s="506">
        <f t="shared" si="257"/>
        <v>533881</v>
      </c>
      <c r="Q635" s="507">
        <f t="shared" si="258"/>
        <v>17796.033333333333</v>
      </c>
      <c r="R635" s="508">
        <f t="shared" si="259"/>
        <v>541805</v>
      </c>
      <c r="S635" s="509">
        <f t="shared" si="260"/>
        <v>18060.166666666668</v>
      </c>
      <c r="T635" s="516">
        <v>5941</v>
      </c>
      <c r="U635" s="519">
        <v>5944</v>
      </c>
      <c r="V635" s="506">
        <f t="shared" si="261"/>
        <v>533881</v>
      </c>
      <c r="W635" s="510">
        <f t="shared" si="262"/>
        <v>541805</v>
      </c>
      <c r="X635" s="517"/>
      <c r="Y635" s="519"/>
      <c r="Z635" s="516"/>
      <c r="AA635" s="519"/>
      <c r="AB635" s="516"/>
      <c r="AC635" s="519"/>
      <c r="AD635" s="516"/>
      <c r="AE635" s="519"/>
      <c r="AF635" s="506">
        <f t="shared" si="263"/>
        <v>0</v>
      </c>
      <c r="AG635" s="507">
        <f t="shared" si="264"/>
        <v>0</v>
      </c>
      <c r="AH635" s="508">
        <f t="shared" si="265"/>
        <v>0</v>
      </c>
      <c r="AI635" s="508">
        <f t="shared" si="266"/>
        <v>0</v>
      </c>
      <c r="AJ635" s="516"/>
      <c r="AK635" s="519"/>
      <c r="AL635" s="506">
        <f t="shared" si="267"/>
        <v>0</v>
      </c>
      <c r="AM635" s="509">
        <f t="shared" si="268"/>
        <v>0</v>
      </c>
      <c r="AN635" s="518"/>
      <c r="AO635" s="520"/>
      <c r="AP635" s="516">
        <v>12860</v>
      </c>
      <c r="AQ635" s="520">
        <v>13480</v>
      </c>
      <c r="AR635" s="516">
        <v>6613</v>
      </c>
      <c r="AS635" s="520">
        <v>7909</v>
      </c>
      <c r="AT635" s="516">
        <v>14452</v>
      </c>
      <c r="AU635" s="520">
        <v>14419</v>
      </c>
      <c r="AV635" s="506">
        <f t="shared" si="269"/>
        <v>33925</v>
      </c>
      <c r="AW635" s="511">
        <f t="shared" si="270"/>
        <v>1413.5416666666667</v>
      </c>
      <c r="AX635" s="508">
        <f t="shared" si="271"/>
        <v>35808</v>
      </c>
      <c r="AY635" s="512">
        <f t="shared" si="272"/>
        <v>1492</v>
      </c>
      <c r="AZ635" s="513">
        <f t="shared" si="273"/>
        <v>19209.575000000001</v>
      </c>
      <c r="BA635" s="508">
        <f t="shared" si="274"/>
        <v>19552.166666666668</v>
      </c>
    </row>
    <row r="636" spans="1:53">
      <c r="A636" s="773" t="s">
        <v>918</v>
      </c>
      <c r="B636" s="774" t="s">
        <v>926</v>
      </c>
      <c r="C636" s="788"/>
      <c r="D636" s="773">
        <v>232937</v>
      </c>
      <c r="E636" s="784">
        <v>3</v>
      </c>
      <c r="F636" s="514" t="s">
        <v>41</v>
      </c>
      <c r="G636" s="515" t="s">
        <v>41</v>
      </c>
      <c r="H636" s="516"/>
      <c r="I636" s="519"/>
      <c r="J636" s="516">
        <v>71365</v>
      </c>
      <c r="K636" s="519">
        <v>73440</v>
      </c>
      <c r="L636" s="516">
        <v>11666</v>
      </c>
      <c r="M636" s="519">
        <v>10809</v>
      </c>
      <c r="N636" s="516">
        <v>77677</v>
      </c>
      <c r="O636" s="519">
        <v>82497</v>
      </c>
      <c r="P636" s="506">
        <f t="shared" si="257"/>
        <v>160708</v>
      </c>
      <c r="Q636" s="507">
        <f t="shared" si="258"/>
        <v>5356.9333333333334</v>
      </c>
      <c r="R636" s="508">
        <f t="shared" si="259"/>
        <v>166746</v>
      </c>
      <c r="S636" s="509">
        <f t="shared" si="260"/>
        <v>5558.2</v>
      </c>
      <c r="T636" s="516">
        <v>183</v>
      </c>
      <c r="U636" s="519">
        <v>225</v>
      </c>
      <c r="V636" s="506">
        <f t="shared" si="261"/>
        <v>160708</v>
      </c>
      <c r="W636" s="510">
        <f t="shared" si="262"/>
        <v>166746</v>
      </c>
      <c r="X636" s="517"/>
      <c r="Y636" s="519"/>
      <c r="Z636" s="516"/>
      <c r="AA636" s="519"/>
      <c r="AB636" s="516"/>
      <c r="AC636" s="519"/>
      <c r="AD636" s="516"/>
      <c r="AE636" s="519"/>
      <c r="AF636" s="506">
        <f t="shared" si="263"/>
        <v>0</v>
      </c>
      <c r="AG636" s="507">
        <f t="shared" si="264"/>
        <v>0</v>
      </c>
      <c r="AH636" s="508">
        <f t="shared" si="265"/>
        <v>0</v>
      </c>
      <c r="AI636" s="508">
        <f t="shared" si="266"/>
        <v>0</v>
      </c>
      <c r="AJ636" s="516"/>
      <c r="AK636" s="519"/>
      <c r="AL636" s="506">
        <f t="shared" si="267"/>
        <v>0</v>
      </c>
      <c r="AM636" s="509">
        <f t="shared" si="268"/>
        <v>0</v>
      </c>
      <c r="AN636" s="518"/>
      <c r="AO636" s="520"/>
      <c r="AP636" s="516">
        <v>6240</v>
      </c>
      <c r="AQ636" s="520">
        <v>6067</v>
      </c>
      <c r="AR636" s="516">
        <v>1279</v>
      </c>
      <c r="AS636" s="520">
        <v>985</v>
      </c>
      <c r="AT636" s="516">
        <v>6580</v>
      </c>
      <c r="AU636" s="520">
        <v>5886</v>
      </c>
      <c r="AV636" s="506">
        <f t="shared" si="269"/>
        <v>14099</v>
      </c>
      <c r="AW636" s="511">
        <f t="shared" si="270"/>
        <v>587.45833333333337</v>
      </c>
      <c r="AX636" s="508">
        <f t="shared" si="271"/>
        <v>12938</v>
      </c>
      <c r="AY636" s="512">
        <f t="shared" si="272"/>
        <v>539.08333333333337</v>
      </c>
      <c r="AZ636" s="513">
        <f t="shared" si="273"/>
        <v>5944.3916666666664</v>
      </c>
      <c r="BA636" s="508">
        <f t="shared" si="274"/>
        <v>6097.2833333333328</v>
      </c>
    </row>
    <row r="637" spans="1:53">
      <c r="A637" s="773" t="s">
        <v>918</v>
      </c>
      <c r="B637" s="790" t="s">
        <v>927</v>
      </c>
      <c r="C637" s="788" t="s">
        <v>414</v>
      </c>
      <c r="D637" s="773">
        <v>232566</v>
      </c>
      <c r="E637" s="791">
        <v>4</v>
      </c>
      <c r="F637" s="514" t="s">
        <v>41</v>
      </c>
      <c r="G637" s="515" t="s">
        <v>41</v>
      </c>
      <c r="H637" s="516"/>
      <c r="I637" s="519"/>
      <c r="J637" s="516">
        <v>56290</v>
      </c>
      <c r="K637" s="519">
        <v>58130</v>
      </c>
      <c r="L637" s="516">
        <v>8967</v>
      </c>
      <c r="M637" s="519">
        <v>7671</v>
      </c>
      <c r="N637" s="516">
        <v>61455</v>
      </c>
      <c r="O637" s="519">
        <v>60971</v>
      </c>
      <c r="P637" s="506">
        <f t="shared" si="257"/>
        <v>126712</v>
      </c>
      <c r="Q637" s="507">
        <f t="shared" si="258"/>
        <v>4223.7333333333336</v>
      </c>
      <c r="R637" s="508">
        <f t="shared" si="259"/>
        <v>126772</v>
      </c>
      <c r="S637" s="509">
        <f t="shared" si="260"/>
        <v>4225.7333333333336</v>
      </c>
      <c r="T637" s="516">
        <v>14</v>
      </c>
      <c r="U637" s="519">
        <v>99</v>
      </c>
      <c r="V637" s="506">
        <f t="shared" si="261"/>
        <v>126712</v>
      </c>
      <c r="W637" s="510">
        <f t="shared" si="262"/>
        <v>126772</v>
      </c>
      <c r="X637" s="517"/>
      <c r="Y637" s="519"/>
      <c r="Z637" s="516"/>
      <c r="AA637" s="519"/>
      <c r="AB637" s="516"/>
      <c r="AC637" s="519"/>
      <c r="AD637" s="516"/>
      <c r="AE637" s="519"/>
      <c r="AF637" s="506">
        <f t="shared" si="263"/>
        <v>0</v>
      </c>
      <c r="AG637" s="507">
        <f t="shared" si="264"/>
        <v>0</v>
      </c>
      <c r="AH637" s="508">
        <f t="shared" si="265"/>
        <v>0</v>
      </c>
      <c r="AI637" s="508">
        <f t="shared" si="266"/>
        <v>0</v>
      </c>
      <c r="AJ637" s="516"/>
      <c r="AK637" s="519"/>
      <c r="AL637" s="506">
        <f t="shared" si="267"/>
        <v>0</v>
      </c>
      <c r="AM637" s="509">
        <f t="shared" si="268"/>
        <v>0</v>
      </c>
      <c r="AN637" s="518"/>
      <c r="AO637" s="520"/>
      <c r="AP637" s="516">
        <v>2768</v>
      </c>
      <c r="AQ637" s="520">
        <v>2643</v>
      </c>
      <c r="AR637" s="516">
        <v>2361</v>
      </c>
      <c r="AS637" s="520">
        <v>2423</v>
      </c>
      <c r="AT637" s="516">
        <v>2642</v>
      </c>
      <c r="AU637" s="520">
        <v>2652</v>
      </c>
      <c r="AV637" s="506">
        <f t="shared" si="269"/>
        <v>7771</v>
      </c>
      <c r="AW637" s="511">
        <f t="shared" si="270"/>
        <v>323.79166666666669</v>
      </c>
      <c r="AX637" s="508">
        <f t="shared" si="271"/>
        <v>7718</v>
      </c>
      <c r="AY637" s="512">
        <f t="shared" si="272"/>
        <v>321.58333333333331</v>
      </c>
      <c r="AZ637" s="513">
        <f t="shared" si="273"/>
        <v>4547.5250000000005</v>
      </c>
      <c r="BA637" s="508">
        <f t="shared" si="274"/>
        <v>4547.3166666666666</v>
      </c>
    </row>
    <row r="638" spans="1:53">
      <c r="A638" s="773" t="s">
        <v>918</v>
      </c>
      <c r="B638" s="774" t="s">
        <v>928</v>
      </c>
      <c r="C638" s="788" t="s">
        <v>414</v>
      </c>
      <c r="D638" s="773">
        <v>233277</v>
      </c>
      <c r="E638" s="784">
        <v>4</v>
      </c>
      <c r="F638" s="514" t="s">
        <v>41</v>
      </c>
      <c r="G638" s="515" t="s">
        <v>41</v>
      </c>
      <c r="H638" s="516"/>
      <c r="I638" s="519"/>
      <c r="J638" s="516">
        <v>109223</v>
      </c>
      <c r="K638" s="519">
        <v>114592</v>
      </c>
      <c r="L638" s="516">
        <v>11751</v>
      </c>
      <c r="M638" s="519">
        <v>11452</v>
      </c>
      <c r="N638" s="516">
        <v>123596</v>
      </c>
      <c r="O638" s="519">
        <v>127729</v>
      </c>
      <c r="P638" s="506">
        <f t="shared" si="257"/>
        <v>244570</v>
      </c>
      <c r="Q638" s="507">
        <f t="shared" si="258"/>
        <v>8152.333333333333</v>
      </c>
      <c r="R638" s="508">
        <f t="shared" si="259"/>
        <v>253773</v>
      </c>
      <c r="S638" s="509">
        <f t="shared" si="260"/>
        <v>8459.1</v>
      </c>
      <c r="T638" s="516">
        <v>242</v>
      </c>
      <c r="U638" s="519">
        <v>140</v>
      </c>
      <c r="V638" s="506">
        <f t="shared" si="261"/>
        <v>244570</v>
      </c>
      <c r="W638" s="510">
        <f t="shared" si="262"/>
        <v>253773</v>
      </c>
      <c r="X638" s="517"/>
      <c r="Y638" s="519"/>
      <c r="Z638" s="516"/>
      <c r="AA638" s="519"/>
      <c r="AB638" s="516"/>
      <c r="AC638" s="519"/>
      <c r="AD638" s="516"/>
      <c r="AE638" s="519"/>
      <c r="AF638" s="506">
        <f t="shared" si="263"/>
        <v>0</v>
      </c>
      <c r="AG638" s="507">
        <f t="shared" si="264"/>
        <v>0</v>
      </c>
      <c r="AH638" s="508">
        <f t="shared" si="265"/>
        <v>0</v>
      </c>
      <c r="AI638" s="508">
        <f t="shared" si="266"/>
        <v>0</v>
      </c>
      <c r="AJ638" s="516"/>
      <c r="AK638" s="519"/>
      <c r="AL638" s="506">
        <f t="shared" si="267"/>
        <v>0</v>
      </c>
      <c r="AM638" s="509">
        <f t="shared" si="268"/>
        <v>0</v>
      </c>
      <c r="AN638" s="518"/>
      <c r="AO638" s="520"/>
      <c r="AP638" s="516">
        <v>8388</v>
      </c>
      <c r="AQ638" s="520">
        <v>7714</v>
      </c>
      <c r="AR638" s="516">
        <v>4295</v>
      </c>
      <c r="AS638" s="520">
        <v>3979</v>
      </c>
      <c r="AT638" s="516">
        <v>7815</v>
      </c>
      <c r="AU638" s="520">
        <v>8157</v>
      </c>
      <c r="AV638" s="506">
        <f t="shared" si="269"/>
        <v>20498</v>
      </c>
      <c r="AW638" s="511">
        <f t="shared" si="270"/>
        <v>854.08333333333337</v>
      </c>
      <c r="AX638" s="508">
        <f t="shared" si="271"/>
        <v>19850</v>
      </c>
      <c r="AY638" s="512">
        <f t="shared" si="272"/>
        <v>827.08333333333337</v>
      </c>
      <c r="AZ638" s="513">
        <f t="shared" si="273"/>
        <v>9006.4166666666661</v>
      </c>
      <c r="BA638" s="508">
        <f t="shared" si="274"/>
        <v>9286.1833333333343</v>
      </c>
    </row>
    <row r="639" spans="1:53">
      <c r="A639" s="773" t="s">
        <v>918</v>
      </c>
      <c r="B639" s="774" t="s">
        <v>929</v>
      </c>
      <c r="C639" s="788" t="s">
        <v>414</v>
      </c>
      <c r="D639" s="773">
        <v>234155</v>
      </c>
      <c r="E639" s="784">
        <v>4</v>
      </c>
      <c r="F639" s="514" t="s">
        <v>41</v>
      </c>
      <c r="G639" s="515" t="s">
        <v>41</v>
      </c>
      <c r="H639" s="516"/>
      <c r="I639" s="519"/>
      <c r="J639" s="516">
        <v>73263</v>
      </c>
      <c r="K639" s="519">
        <v>74557</v>
      </c>
      <c r="L639" s="516">
        <v>5926</v>
      </c>
      <c r="M639" s="519">
        <v>6289</v>
      </c>
      <c r="N639" s="516">
        <v>78398</v>
      </c>
      <c r="O639" s="519">
        <v>81878</v>
      </c>
      <c r="P639" s="506">
        <f t="shared" si="257"/>
        <v>157587</v>
      </c>
      <c r="Q639" s="507">
        <f t="shared" si="258"/>
        <v>5252.9</v>
      </c>
      <c r="R639" s="508">
        <f t="shared" si="259"/>
        <v>162724</v>
      </c>
      <c r="S639" s="509">
        <f t="shared" si="260"/>
        <v>5424.1333333333332</v>
      </c>
      <c r="T639" s="516">
        <v>0</v>
      </c>
      <c r="U639" s="519">
        <v>0</v>
      </c>
      <c r="V639" s="506">
        <f t="shared" si="261"/>
        <v>157587</v>
      </c>
      <c r="W639" s="510">
        <f t="shared" si="262"/>
        <v>162724</v>
      </c>
      <c r="X639" s="517"/>
      <c r="Y639" s="519"/>
      <c r="Z639" s="516"/>
      <c r="AA639" s="519"/>
      <c r="AB639" s="516"/>
      <c r="AC639" s="519"/>
      <c r="AD639" s="516"/>
      <c r="AE639" s="519"/>
      <c r="AF639" s="506">
        <f t="shared" si="263"/>
        <v>0</v>
      </c>
      <c r="AG639" s="507">
        <f t="shared" si="264"/>
        <v>0</v>
      </c>
      <c r="AH639" s="508">
        <f t="shared" si="265"/>
        <v>0</v>
      </c>
      <c r="AI639" s="508">
        <f t="shared" si="266"/>
        <v>0</v>
      </c>
      <c r="AJ639" s="516"/>
      <c r="AK639" s="519"/>
      <c r="AL639" s="506">
        <f t="shared" si="267"/>
        <v>0</v>
      </c>
      <c r="AM639" s="509">
        <f t="shared" si="268"/>
        <v>0</v>
      </c>
      <c r="AN639" s="518"/>
      <c r="AO639" s="520"/>
      <c r="AP639" s="516">
        <v>4212</v>
      </c>
      <c r="AQ639" s="520">
        <v>4652</v>
      </c>
      <c r="AR639" s="516">
        <v>1239</v>
      </c>
      <c r="AS639" s="520">
        <v>1314</v>
      </c>
      <c r="AT639" s="516">
        <v>4412</v>
      </c>
      <c r="AU639" s="520">
        <v>4945</v>
      </c>
      <c r="AV639" s="506">
        <f t="shared" si="269"/>
        <v>9863</v>
      </c>
      <c r="AW639" s="511">
        <f t="shared" si="270"/>
        <v>410.95833333333331</v>
      </c>
      <c r="AX639" s="508">
        <f t="shared" si="271"/>
        <v>10911</v>
      </c>
      <c r="AY639" s="512">
        <f t="shared" si="272"/>
        <v>454.625</v>
      </c>
      <c r="AZ639" s="513">
        <f t="shared" si="273"/>
        <v>5663.8583333333327</v>
      </c>
      <c r="BA639" s="508">
        <f t="shared" si="274"/>
        <v>5878.7583333333332</v>
      </c>
    </row>
    <row r="640" spans="1:53">
      <c r="A640" s="773" t="s">
        <v>918</v>
      </c>
      <c r="B640" s="774" t="s">
        <v>930</v>
      </c>
      <c r="C640" s="788" t="s">
        <v>963</v>
      </c>
      <c r="D640" s="773">
        <v>231712</v>
      </c>
      <c r="E640" s="784">
        <v>5</v>
      </c>
      <c r="F640" s="514" t="s">
        <v>41</v>
      </c>
      <c r="G640" s="515" t="s">
        <v>41</v>
      </c>
      <c r="H640" s="516"/>
      <c r="I640" s="519"/>
      <c r="J640" s="516">
        <v>67569</v>
      </c>
      <c r="K640" s="519">
        <v>68635</v>
      </c>
      <c r="L640" s="516">
        <v>2040</v>
      </c>
      <c r="M640" s="519">
        <v>1203</v>
      </c>
      <c r="N640" s="516">
        <v>71060</v>
      </c>
      <c r="O640" s="519">
        <v>74483</v>
      </c>
      <c r="P640" s="506">
        <f t="shared" si="257"/>
        <v>140669</v>
      </c>
      <c r="Q640" s="507">
        <f t="shared" si="258"/>
        <v>4688.9666666666662</v>
      </c>
      <c r="R640" s="508">
        <f t="shared" si="259"/>
        <v>144321</v>
      </c>
      <c r="S640" s="509">
        <f t="shared" si="260"/>
        <v>4810.7</v>
      </c>
      <c r="T640" s="516">
        <v>12</v>
      </c>
      <c r="U640" s="519">
        <v>16</v>
      </c>
      <c r="V640" s="506">
        <f t="shared" si="261"/>
        <v>140669</v>
      </c>
      <c r="W640" s="510">
        <f t="shared" si="262"/>
        <v>144321</v>
      </c>
      <c r="X640" s="517"/>
      <c r="Y640" s="519"/>
      <c r="Z640" s="516"/>
      <c r="AA640" s="519"/>
      <c r="AB640" s="516"/>
      <c r="AC640" s="519"/>
      <c r="AD640" s="516"/>
      <c r="AE640" s="519"/>
      <c r="AF640" s="506">
        <f t="shared" si="263"/>
        <v>0</v>
      </c>
      <c r="AG640" s="507">
        <f t="shared" si="264"/>
        <v>0</v>
      </c>
      <c r="AH640" s="508">
        <f t="shared" si="265"/>
        <v>0</v>
      </c>
      <c r="AI640" s="508">
        <f t="shared" si="266"/>
        <v>0</v>
      </c>
      <c r="AJ640" s="516"/>
      <c r="AK640" s="519"/>
      <c r="AL640" s="506">
        <f t="shared" si="267"/>
        <v>0</v>
      </c>
      <c r="AM640" s="509">
        <f t="shared" si="268"/>
        <v>0</v>
      </c>
      <c r="AN640" s="518"/>
      <c r="AO640" s="520"/>
      <c r="AP640" s="516">
        <v>1391</v>
      </c>
      <c r="AQ640" s="520">
        <v>1594</v>
      </c>
      <c r="AR640" s="516">
        <v>871</v>
      </c>
      <c r="AS640" s="520">
        <v>978</v>
      </c>
      <c r="AT640" s="516">
        <v>1545</v>
      </c>
      <c r="AU640" s="520">
        <v>1569</v>
      </c>
      <c r="AV640" s="506">
        <f t="shared" si="269"/>
        <v>3807</v>
      </c>
      <c r="AW640" s="511">
        <f t="shared" si="270"/>
        <v>158.625</v>
      </c>
      <c r="AX640" s="508">
        <f t="shared" si="271"/>
        <v>4141</v>
      </c>
      <c r="AY640" s="512">
        <f t="shared" si="272"/>
        <v>172.54166666666666</v>
      </c>
      <c r="AZ640" s="513">
        <f t="shared" si="273"/>
        <v>4847.5916666666662</v>
      </c>
      <c r="BA640" s="508">
        <f t="shared" si="274"/>
        <v>4983.2416666666668</v>
      </c>
    </row>
    <row r="641" spans="1:53">
      <c r="A641" s="773" t="s">
        <v>918</v>
      </c>
      <c r="B641" s="789" t="s">
        <v>931</v>
      </c>
      <c r="C641" s="788" t="s">
        <v>414</v>
      </c>
      <c r="D641" s="773">
        <v>232681</v>
      </c>
      <c r="E641" s="784">
        <v>5</v>
      </c>
      <c r="F641" s="514" t="s">
        <v>41</v>
      </c>
      <c r="G641" s="515" t="s">
        <v>41</v>
      </c>
      <c r="H641" s="516"/>
      <c r="I641" s="519"/>
      <c r="J641" s="516">
        <v>58309</v>
      </c>
      <c r="K641" s="519">
        <v>57992</v>
      </c>
      <c r="L641" s="516">
        <v>7097</v>
      </c>
      <c r="M641" s="519">
        <v>6747</v>
      </c>
      <c r="N641" s="516">
        <v>61385</v>
      </c>
      <c r="O641" s="519">
        <v>61778</v>
      </c>
      <c r="P641" s="506">
        <f t="shared" si="257"/>
        <v>126791</v>
      </c>
      <c r="Q641" s="507">
        <f t="shared" si="258"/>
        <v>4226.3666666666668</v>
      </c>
      <c r="R641" s="508">
        <f t="shared" si="259"/>
        <v>126517</v>
      </c>
      <c r="S641" s="509">
        <f t="shared" si="260"/>
        <v>4217.2333333333336</v>
      </c>
      <c r="T641" s="516">
        <v>18</v>
      </c>
      <c r="U641" s="519">
        <v>27</v>
      </c>
      <c r="V641" s="506">
        <f t="shared" si="261"/>
        <v>126791</v>
      </c>
      <c r="W641" s="510">
        <f t="shared" si="262"/>
        <v>126517</v>
      </c>
      <c r="X641" s="517"/>
      <c r="Y641" s="519"/>
      <c r="Z641" s="516"/>
      <c r="AA641" s="519"/>
      <c r="AB641" s="516"/>
      <c r="AC641" s="519"/>
      <c r="AD641" s="516"/>
      <c r="AE641" s="519"/>
      <c r="AF641" s="506">
        <f t="shared" si="263"/>
        <v>0</v>
      </c>
      <c r="AG641" s="507">
        <f t="shared" si="264"/>
        <v>0</v>
      </c>
      <c r="AH641" s="508">
        <f t="shared" si="265"/>
        <v>0</v>
      </c>
      <c r="AI641" s="508">
        <f t="shared" si="266"/>
        <v>0</v>
      </c>
      <c r="AJ641" s="516"/>
      <c r="AK641" s="519"/>
      <c r="AL641" s="506">
        <f t="shared" si="267"/>
        <v>0</v>
      </c>
      <c r="AM641" s="509">
        <f t="shared" si="268"/>
        <v>0</v>
      </c>
      <c r="AN641" s="518"/>
      <c r="AO641" s="520"/>
      <c r="AP641" s="516">
        <v>4025</v>
      </c>
      <c r="AQ641" s="520">
        <v>3689</v>
      </c>
      <c r="AR641" s="516">
        <v>1848</v>
      </c>
      <c r="AS641" s="520">
        <v>1761</v>
      </c>
      <c r="AT641" s="516">
        <v>3834</v>
      </c>
      <c r="AU641" s="520">
        <v>3479</v>
      </c>
      <c r="AV641" s="506">
        <f t="shared" si="269"/>
        <v>9707</v>
      </c>
      <c r="AW641" s="511">
        <f t="shared" si="270"/>
        <v>404.45833333333331</v>
      </c>
      <c r="AX641" s="508">
        <f t="shared" si="271"/>
        <v>8929</v>
      </c>
      <c r="AY641" s="512">
        <f t="shared" si="272"/>
        <v>372.04166666666669</v>
      </c>
      <c r="AZ641" s="513">
        <f t="shared" si="273"/>
        <v>4630.8249999999998</v>
      </c>
      <c r="BA641" s="508">
        <f t="shared" si="274"/>
        <v>4589.2750000000005</v>
      </c>
    </row>
    <row r="642" spans="1:53">
      <c r="A642" s="773" t="s">
        <v>918</v>
      </c>
      <c r="B642" s="789" t="s">
        <v>932</v>
      </c>
      <c r="C642" s="787"/>
      <c r="D642" s="773">
        <v>233897</v>
      </c>
      <c r="E642" s="784">
        <v>6</v>
      </c>
      <c r="F642" s="514" t="s">
        <v>41</v>
      </c>
      <c r="G642" s="515" t="s">
        <v>41</v>
      </c>
      <c r="H642" s="516"/>
      <c r="I642" s="519"/>
      <c r="J642" s="516">
        <v>23807</v>
      </c>
      <c r="K642" s="519">
        <v>23819</v>
      </c>
      <c r="L642" s="516">
        <v>2810</v>
      </c>
      <c r="M642" s="519">
        <v>3670</v>
      </c>
      <c r="N642" s="516">
        <v>25093</v>
      </c>
      <c r="O642" s="519">
        <v>26348</v>
      </c>
      <c r="P642" s="506">
        <f t="shared" si="257"/>
        <v>51710</v>
      </c>
      <c r="Q642" s="507">
        <f t="shared" si="258"/>
        <v>1723.6666666666667</v>
      </c>
      <c r="R642" s="508">
        <f t="shared" si="259"/>
        <v>53837</v>
      </c>
      <c r="S642" s="509">
        <f t="shared" si="260"/>
        <v>1794.5666666666666</v>
      </c>
      <c r="T642" s="516">
        <v>81</v>
      </c>
      <c r="U642" s="519">
        <v>26</v>
      </c>
      <c r="V642" s="506">
        <f t="shared" si="261"/>
        <v>51710</v>
      </c>
      <c r="W642" s="510">
        <f t="shared" si="262"/>
        <v>53837</v>
      </c>
      <c r="X642" s="517"/>
      <c r="Y642" s="519"/>
      <c r="Z642" s="516"/>
      <c r="AA642" s="519"/>
      <c r="AB642" s="516"/>
      <c r="AC642" s="519"/>
      <c r="AD642" s="516"/>
      <c r="AE642" s="519"/>
      <c r="AF642" s="506">
        <f t="shared" si="263"/>
        <v>0</v>
      </c>
      <c r="AG642" s="507">
        <f t="shared" si="264"/>
        <v>0</v>
      </c>
      <c r="AH642" s="508">
        <f t="shared" si="265"/>
        <v>0</v>
      </c>
      <c r="AI642" s="508">
        <f t="shared" si="266"/>
        <v>0</v>
      </c>
      <c r="AJ642" s="516"/>
      <c r="AK642" s="519"/>
      <c r="AL642" s="506">
        <f t="shared" si="267"/>
        <v>0</v>
      </c>
      <c r="AM642" s="509">
        <f t="shared" si="268"/>
        <v>0</v>
      </c>
      <c r="AN642" s="518"/>
      <c r="AO642" s="520"/>
      <c r="AP642" s="516">
        <v>0</v>
      </c>
      <c r="AQ642" s="520">
        <v>0</v>
      </c>
      <c r="AR642" s="516">
        <v>0</v>
      </c>
      <c r="AS642" s="520">
        <v>0</v>
      </c>
      <c r="AT642" s="516">
        <v>0</v>
      </c>
      <c r="AU642" s="520">
        <v>0</v>
      </c>
      <c r="AV642" s="506">
        <f t="shared" si="269"/>
        <v>0</v>
      </c>
      <c r="AW642" s="511">
        <f t="shared" si="270"/>
        <v>0</v>
      </c>
      <c r="AX642" s="508">
        <f t="shared" si="271"/>
        <v>0</v>
      </c>
      <c r="AY642" s="512">
        <f t="shared" si="272"/>
        <v>0</v>
      </c>
      <c r="AZ642" s="513">
        <f t="shared" si="273"/>
        <v>1723.6666666666667</v>
      </c>
      <c r="BA642" s="508">
        <f t="shared" si="274"/>
        <v>1794.5666666666666</v>
      </c>
    </row>
    <row r="643" spans="1:53">
      <c r="A643" s="773" t="s">
        <v>918</v>
      </c>
      <c r="B643" s="789" t="s">
        <v>933</v>
      </c>
      <c r="C643" s="787"/>
      <c r="D643" s="773">
        <v>232414</v>
      </c>
      <c r="E643" s="776">
        <v>8</v>
      </c>
      <c r="F643" s="514" t="s">
        <v>41</v>
      </c>
      <c r="G643" s="515" t="s">
        <v>41</v>
      </c>
      <c r="H643" s="516"/>
      <c r="J643" s="516">
        <v>105802</v>
      </c>
      <c r="K643" s="519">
        <v>109703</v>
      </c>
      <c r="L643" s="516">
        <v>39720</v>
      </c>
      <c r="M643" s="519">
        <v>39293</v>
      </c>
      <c r="N643" s="516">
        <v>113193</v>
      </c>
      <c r="O643" s="519">
        <v>106584</v>
      </c>
      <c r="P643" s="506">
        <f t="shared" si="257"/>
        <v>258715</v>
      </c>
      <c r="Q643" s="507">
        <f t="shared" si="258"/>
        <v>8623.8333333333339</v>
      </c>
      <c r="R643" s="508">
        <f t="shared" si="259"/>
        <v>255580</v>
      </c>
      <c r="S643" s="509">
        <f t="shared" si="260"/>
        <v>8519.3333333333339</v>
      </c>
      <c r="T643" s="516">
        <v>14126</v>
      </c>
      <c r="U643" s="519">
        <v>13069</v>
      </c>
      <c r="V643" s="506">
        <f t="shared" si="261"/>
        <v>258715</v>
      </c>
      <c r="W643" s="510">
        <f t="shared" si="262"/>
        <v>255580</v>
      </c>
      <c r="X643" s="517"/>
      <c r="Y643" s="519"/>
      <c r="Z643" s="516"/>
      <c r="AA643" s="519"/>
      <c r="AB643" s="516"/>
      <c r="AC643" s="519"/>
      <c r="AD643" s="516"/>
      <c r="AE643" s="519"/>
      <c r="AF643" s="506">
        <f t="shared" si="263"/>
        <v>0</v>
      </c>
      <c r="AG643" s="507">
        <f t="shared" si="264"/>
        <v>0</v>
      </c>
      <c r="AH643" s="508">
        <f t="shared" si="265"/>
        <v>0</v>
      </c>
      <c r="AI643" s="508">
        <f t="shared" si="266"/>
        <v>0</v>
      </c>
      <c r="AJ643" s="516"/>
      <c r="AK643" s="519"/>
      <c r="AL643" s="506">
        <f t="shared" si="267"/>
        <v>0</v>
      </c>
      <c r="AM643" s="509">
        <f t="shared" si="268"/>
        <v>0</v>
      </c>
      <c r="AN643" s="518"/>
      <c r="AO643" s="520"/>
      <c r="AP643" s="516">
        <v>0</v>
      </c>
      <c r="AQ643" s="520">
        <v>0</v>
      </c>
      <c r="AR643" s="516">
        <v>0</v>
      </c>
      <c r="AS643" s="520">
        <v>0</v>
      </c>
      <c r="AT643" s="516">
        <v>0</v>
      </c>
      <c r="AU643" s="520">
        <v>0</v>
      </c>
      <c r="AV643" s="506">
        <f t="shared" si="269"/>
        <v>0</v>
      </c>
      <c r="AW643" s="511">
        <f t="shared" si="270"/>
        <v>0</v>
      </c>
      <c r="AX643" s="508">
        <f t="shared" si="271"/>
        <v>0</v>
      </c>
      <c r="AY643" s="512">
        <f t="shared" si="272"/>
        <v>0</v>
      </c>
      <c r="AZ643" s="513">
        <f t="shared" si="273"/>
        <v>8623.8333333333339</v>
      </c>
      <c r="BA643" s="508">
        <f t="shared" si="274"/>
        <v>8519.3333333333339</v>
      </c>
    </row>
    <row r="644" spans="1:53">
      <c r="A644" s="773" t="s">
        <v>918</v>
      </c>
      <c r="B644" s="789" t="s">
        <v>934</v>
      </c>
      <c r="C644" s="787"/>
      <c r="D644" s="773">
        <v>232946</v>
      </c>
      <c r="E644" s="776">
        <v>8</v>
      </c>
      <c r="F644" s="514" t="s">
        <v>41</v>
      </c>
      <c r="G644" s="515" t="s">
        <v>41</v>
      </c>
      <c r="H644" s="516"/>
      <c r="I644" s="519"/>
      <c r="J644" s="516">
        <v>428468</v>
      </c>
      <c r="K644" s="519">
        <v>436303</v>
      </c>
      <c r="L644" s="516">
        <v>171453</v>
      </c>
      <c r="M644" s="519">
        <v>180092</v>
      </c>
      <c r="N644" s="516">
        <v>451626</v>
      </c>
      <c r="O644" s="519">
        <v>463368</v>
      </c>
      <c r="P644" s="506">
        <f t="shared" si="257"/>
        <v>1051547</v>
      </c>
      <c r="Q644" s="507">
        <f t="shared" si="258"/>
        <v>35051.566666666666</v>
      </c>
      <c r="R644" s="508">
        <f t="shared" si="259"/>
        <v>1079763</v>
      </c>
      <c r="S644" s="509">
        <f t="shared" si="260"/>
        <v>35992.1</v>
      </c>
      <c r="T644" s="516">
        <v>30567</v>
      </c>
      <c r="U644" s="519">
        <v>34962</v>
      </c>
      <c r="V644" s="506">
        <f t="shared" si="261"/>
        <v>1051547</v>
      </c>
      <c r="W644" s="510">
        <f t="shared" si="262"/>
        <v>1079763</v>
      </c>
      <c r="X644" s="517"/>
      <c r="Y644" s="519"/>
      <c r="Z644" s="516"/>
      <c r="AA644" s="519"/>
      <c r="AB644" s="516"/>
      <c r="AC644" s="519"/>
      <c r="AD644" s="516"/>
      <c r="AE644" s="519"/>
      <c r="AF644" s="506">
        <f t="shared" si="263"/>
        <v>0</v>
      </c>
      <c r="AG644" s="507">
        <f t="shared" si="264"/>
        <v>0</v>
      </c>
      <c r="AH644" s="508">
        <f t="shared" si="265"/>
        <v>0</v>
      </c>
      <c r="AI644" s="508">
        <f t="shared" si="266"/>
        <v>0</v>
      </c>
      <c r="AJ644" s="516"/>
      <c r="AK644" s="519"/>
      <c r="AL644" s="506">
        <f t="shared" si="267"/>
        <v>0</v>
      </c>
      <c r="AM644" s="509">
        <f t="shared" si="268"/>
        <v>0</v>
      </c>
      <c r="AN644" s="518"/>
      <c r="AO644" s="520"/>
      <c r="AP644" s="516">
        <v>0</v>
      </c>
      <c r="AQ644" s="520">
        <v>0</v>
      </c>
      <c r="AR644" s="516">
        <v>0</v>
      </c>
      <c r="AS644" s="520">
        <v>0</v>
      </c>
      <c r="AT644" s="516">
        <v>0</v>
      </c>
      <c r="AU644" s="520">
        <v>0</v>
      </c>
      <c r="AV644" s="506">
        <f t="shared" si="269"/>
        <v>0</v>
      </c>
      <c r="AW644" s="511">
        <f t="shared" si="270"/>
        <v>0</v>
      </c>
      <c r="AX644" s="508">
        <f t="shared" si="271"/>
        <v>0</v>
      </c>
      <c r="AY644" s="512">
        <f t="shared" si="272"/>
        <v>0</v>
      </c>
      <c r="AZ644" s="513">
        <f t="shared" si="273"/>
        <v>35051.566666666666</v>
      </c>
      <c r="BA644" s="508">
        <f t="shared" si="274"/>
        <v>35992.1</v>
      </c>
    </row>
    <row r="645" spans="1:53">
      <c r="A645" s="773" t="s">
        <v>918</v>
      </c>
      <c r="B645" s="789" t="s">
        <v>935</v>
      </c>
      <c r="C645" s="787"/>
      <c r="D645" s="773">
        <v>233754</v>
      </c>
      <c r="E645" s="776">
        <v>8</v>
      </c>
      <c r="F645" s="514" t="s">
        <v>41</v>
      </c>
      <c r="G645" s="515" t="s">
        <v>41</v>
      </c>
      <c r="H645" s="516"/>
      <c r="I645" s="519"/>
      <c r="J645" s="516">
        <v>92841</v>
      </c>
      <c r="K645" s="519">
        <v>91630</v>
      </c>
      <c r="L645" s="516">
        <v>25516</v>
      </c>
      <c r="M645" s="519">
        <v>28431</v>
      </c>
      <c r="N645" s="516">
        <v>96969</v>
      </c>
      <c r="O645" s="519">
        <v>95059</v>
      </c>
      <c r="P645" s="506">
        <f t="shared" si="257"/>
        <v>215326</v>
      </c>
      <c r="Q645" s="507">
        <f t="shared" si="258"/>
        <v>7177.5333333333338</v>
      </c>
      <c r="R645" s="508">
        <f t="shared" si="259"/>
        <v>215120</v>
      </c>
      <c r="S645" s="509">
        <f t="shared" si="260"/>
        <v>7170.666666666667</v>
      </c>
      <c r="T645" s="516">
        <v>16781</v>
      </c>
      <c r="U645" s="519">
        <v>18525</v>
      </c>
      <c r="V645" s="506">
        <f t="shared" si="261"/>
        <v>215326</v>
      </c>
      <c r="W645" s="510">
        <f t="shared" si="262"/>
        <v>215120</v>
      </c>
      <c r="X645" s="517"/>
      <c r="Y645" s="519"/>
      <c r="Z645" s="516"/>
      <c r="AA645" s="519"/>
      <c r="AB645" s="516"/>
      <c r="AC645" s="519"/>
      <c r="AD645" s="516"/>
      <c r="AE645" s="519"/>
      <c r="AF645" s="506">
        <f t="shared" si="263"/>
        <v>0</v>
      </c>
      <c r="AG645" s="507">
        <f t="shared" si="264"/>
        <v>0</v>
      </c>
      <c r="AH645" s="508">
        <f t="shared" si="265"/>
        <v>0</v>
      </c>
      <c r="AI645" s="508">
        <f t="shared" si="266"/>
        <v>0</v>
      </c>
      <c r="AJ645" s="516"/>
      <c r="AK645" s="519"/>
      <c r="AL645" s="506">
        <f t="shared" si="267"/>
        <v>0</v>
      </c>
      <c r="AM645" s="509">
        <f t="shared" si="268"/>
        <v>0</v>
      </c>
      <c r="AN645" s="518"/>
      <c r="AO645" s="520"/>
      <c r="AP645" s="516">
        <v>0</v>
      </c>
      <c r="AQ645" s="520">
        <v>0</v>
      </c>
      <c r="AR645" s="516">
        <v>0</v>
      </c>
      <c r="AS645" s="520">
        <v>0</v>
      </c>
      <c r="AT645" s="516">
        <v>0</v>
      </c>
      <c r="AU645" s="520">
        <v>0</v>
      </c>
      <c r="AV645" s="506">
        <f t="shared" si="269"/>
        <v>0</v>
      </c>
      <c r="AW645" s="511">
        <f t="shared" si="270"/>
        <v>0</v>
      </c>
      <c r="AX645" s="508">
        <f t="shared" si="271"/>
        <v>0</v>
      </c>
      <c r="AY645" s="512">
        <f t="shared" si="272"/>
        <v>0</v>
      </c>
      <c r="AZ645" s="513">
        <f t="shared" si="273"/>
        <v>7177.5333333333338</v>
      </c>
      <c r="BA645" s="508">
        <f t="shared" si="274"/>
        <v>7170.666666666667</v>
      </c>
    </row>
    <row r="646" spans="1:53">
      <c r="A646" s="773" t="s">
        <v>918</v>
      </c>
      <c r="B646" s="789" t="s">
        <v>936</v>
      </c>
      <c r="C646" s="787"/>
      <c r="D646" s="773">
        <v>233772</v>
      </c>
      <c r="E646" s="776">
        <v>8</v>
      </c>
      <c r="F646" s="514" t="s">
        <v>41</v>
      </c>
      <c r="G646" s="515" t="s">
        <v>41</v>
      </c>
      <c r="H646" s="516"/>
      <c r="I646" s="519"/>
      <c r="J646" s="516">
        <v>289680</v>
      </c>
      <c r="K646" s="519">
        <v>285108</v>
      </c>
      <c r="L646" s="516">
        <v>101078</v>
      </c>
      <c r="M646" s="519">
        <v>108599</v>
      </c>
      <c r="N646" s="516">
        <v>300192</v>
      </c>
      <c r="O646" s="519">
        <v>277105</v>
      </c>
      <c r="P646" s="506">
        <f t="shared" si="257"/>
        <v>690950</v>
      </c>
      <c r="Q646" s="507">
        <f t="shared" si="258"/>
        <v>23031.666666666668</v>
      </c>
      <c r="R646" s="508">
        <f t="shared" si="259"/>
        <v>670812</v>
      </c>
      <c r="S646" s="509">
        <f t="shared" si="260"/>
        <v>22360.400000000001</v>
      </c>
      <c r="T646" s="516">
        <v>20115</v>
      </c>
      <c r="U646" s="519">
        <v>17898</v>
      </c>
      <c r="V646" s="506">
        <f t="shared" si="261"/>
        <v>690950</v>
      </c>
      <c r="W646" s="510">
        <f t="shared" si="262"/>
        <v>670812</v>
      </c>
      <c r="X646" s="517"/>
      <c r="Y646" s="519"/>
      <c r="Z646" s="516"/>
      <c r="AA646" s="519"/>
      <c r="AB646" s="516"/>
      <c r="AC646" s="519"/>
      <c r="AD646" s="516"/>
      <c r="AE646" s="519"/>
      <c r="AF646" s="506">
        <f t="shared" si="263"/>
        <v>0</v>
      </c>
      <c r="AG646" s="507">
        <f t="shared" si="264"/>
        <v>0</v>
      </c>
      <c r="AH646" s="508">
        <f t="shared" si="265"/>
        <v>0</v>
      </c>
      <c r="AI646" s="508">
        <f t="shared" si="266"/>
        <v>0</v>
      </c>
      <c r="AJ646" s="516"/>
      <c r="AK646" s="519"/>
      <c r="AL646" s="506">
        <f t="shared" si="267"/>
        <v>0</v>
      </c>
      <c r="AM646" s="509">
        <f t="shared" si="268"/>
        <v>0</v>
      </c>
      <c r="AN646" s="518"/>
      <c r="AO646" s="520"/>
      <c r="AP646" s="516">
        <v>0</v>
      </c>
      <c r="AQ646" s="520">
        <v>0</v>
      </c>
      <c r="AR646" s="516">
        <v>0</v>
      </c>
      <c r="AS646" s="520">
        <v>0</v>
      </c>
      <c r="AT646" s="516">
        <v>0</v>
      </c>
      <c r="AU646" s="520">
        <v>0</v>
      </c>
      <c r="AV646" s="506">
        <f t="shared" si="269"/>
        <v>0</v>
      </c>
      <c r="AW646" s="511">
        <f t="shared" si="270"/>
        <v>0</v>
      </c>
      <c r="AX646" s="508">
        <f t="shared" si="271"/>
        <v>0</v>
      </c>
      <c r="AY646" s="512">
        <f t="shared" si="272"/>
        <v>0</v>
      </c>
      <c r="AZ646" s="513">
        <f t="shared" si="273"/>
        <v>23031.666666666668</v>
      </c>
      <c r="BA646" s="508">
        <f t="shared" si="274"/>
        <v>22360.400000000001</v>
      </c>
    </row>
    <row r="647" spans="1:53">
      <c r="A647" s="773" t="s">
        <v>918</v>
      </c>
      <c r="B647" s="789" t="s">
        <v>937</v>
      </c>
      <c r="C647" s="787"/>
      <c r="D647" s="773">
        <v>231536</v>
      </c>
      <c r="E647" s="776">
        <v>9</v>
      </c>
      <c r="F647" s="514" t="s">
        <v>41</v>
      </c>
      <c r="G647" s="515" t="s">
        <v>41</v>
      </c>
      <c r="H647" s="516"/>
      <c r="I647" s="519"/>
      <c r="J647" s="516">
        <v>40796</v>
      </c>
      <c r="K647" s="519">
        <v>39231</v>
      </c>
      <c r="L647" s="516">
        <v>10988</v>
      </c>
      <c r="M647" s="519">
        <v>10174</v>
      </c>
      <c r="N647" s="516">
        <v>42740</v>
      </c>
      <c r="O647" s="519">
        <v>40476</v>
      </c>
      <c r="P647" s="506">
        <f t="shared" si="257"/>
        <v>94524</v>
      </c>
      <c r="Q647" s="507">
        <f t="shared" si="258"/>
        <v>3150.8</v>
      </c>
      <c r="R647" s="508">
        <f t="shared" si="259"/>
        <v>89881</v>
      </c>
      <c r="S647" s="509">
        <f t="shared" si="260"/>
        <v>2996.0333333333333</v>
      </c>
      <c r="T647" s="516">
        <v>10679</v>
      </c>
      <c r="U647" s="519">
        <v>10787</v>
      </c>
      <c r="V647" s="506">
        <f t="shared" si="261"/>
        <v>94524</v>
      </c>
      <c r="W647" s="510">
        <f t="shared" si="262"/>
        <v>89881</v>
      </c>
      <c r="X647" s="517"/>
      <c r="Y647" s="519"/>
      <c r="Z647" s="516"/>
      <c r="AA647" s="519"/>
      <c r="AB647" s="516"/>
      <c r="AC647" s="519"/>
      <c r="AD647" s="516"/>
      <c r="AE647" s="519"/>
      <c r="AF647" s="506">
        <f t="shared" si="263"/>
        <v>0</v>
      </c>
      <c r="AG647" s="507">
        <f t="shared" si="264"/>
        <v>0</v>
      </c>
      <c r="AH647" s="508">
        <f t="shared" si="265"/>
        <v>0</v>
      </c>
      <c r="AI647" s="508">
        <f t="shared" si="266"/>
        <v>0</v>
      </c>
      <c r="AJ647" s="516"/>
      <c r="AK647" s="519"/>
      <c r="AL647" s="506">
        <f t="shared" si="267"/>
        <v>0</v>
      </c>
      <c r="AM647" s="509">
        <f t="shared" si="268"/>
        <v>0</v>
      </c>
      <c r="AN647" s="518"/>
      <c r="AO647" s="520"/>
      <c r="AP647" s="516">
        <v>0</v>
      </c>
      <c r="AQ647" s="520">
        <v>0</v>
      </c>
      <c r="AR647" s="516">
        <v>0</v>
      </c>
      <c r="AS647" s="520">
        <v>0</v>
      </c>
      <c r="AT647" s="516">
        <v>0</v>
      </c>
      <c r="AU647" s="520">
        <v>0</v>
      </c>
      <c r="AV647" s="506">
        <f t="shared" si="269"/>
        <v>0</v>
      </c>
      <c r="AW647" s="511">
        <f t="shared" si="270"/>
        <v>0</v>
      </c>
      <c r="AX647" s="508">
        <f t="shared" si="271"/>
        <v>0</v>
      </c>
      <c r="AY647" s="512">
        <f t="shared" si="272"/>
        <v>0</v>
      </c>
      <c r="AZ647" s="513">
        <f t="shared" si="273"/>
        <v>3150.8</v>
      </c>
      <c r="BA647" s="508">
        <f t="shared" si="274"/>
        <v>2996.0333333333333</v>
      </c>
    </row>
    <row r="648" spans="1:53">
      <c r="A648" s="773" t="s">
        <v>918</v>
      </c>
      <c r="B648" s="789" t="s">
        <v>938</v>
      </c>
      <c r="C648" s="787"/>
      <c r="D648" s="773">
        <v>231697</v>
      </c>
      <c r="E648" s="776">
        <v>9</v>
      </c>
      <c r="F648" s="514" t="s">
        <v>41</v>
      </c>
      <c r="G648" s="515" t="s">
        <v>41</v>
      </c>
      <c r="H648" s="516"/>
      <c r="I648" s="519"/>
      <c r="J648" s="516">
        <v>36115</v>
      </c>
      <c r="K648" s="519">
        <v>36131</v>
      </c>
      <c r="L648" s="516">
        <v>10448</v>
      </c>
      <c r="M648" s="519">
        <v>10520</v>
      </c>
      <c r="N648" s="516">
        <v>41438</v>
      </c>
      <c r="O648" s="519">
        <v>37929</v>
      </c>
      <c r="P648" s="506">
        <f t="shared" si="257"/>
        <v>88001</v>
      </c>
      <c r="Q648" s="507">
        <f t="shared" si="258"/>
        <v>2933.3666666666668</v>
      </c>
      <c r="R648" s="508">
        <f t="shared" si="259"/>
        <v>84580</v>
      </c>
      <c r="S648" s="509">
        <f t="shared" si="260"/>
        <v>2819.3333333333335</v>
      </c>
      <c r="T648" s="516">
        <v>26983</v>
      </c>
      <c r="U648" s="519">
        <v>28230</v>
      </c>
      <c r="V648" s="506">
        <f t="shared" si="261"/>
        <v>88001</v>
      </c>
      <c r="W648" s="510">
        <f t="shared" si="262"/>
        <v>84580</v>
      </c>
      <c r="X648" s="517"/>
      <c r="Y648" s="519"/>
      <c r="Z648" s="516"/>
      <c r="AA648" s="519"/>
      <c r="AB648" s="516"/>
      <c r="AC648" s="519"/>
      <c r="AD648" s="516"/>
      <c r="AE648" s="519"/>
      <c r="AF648" s="506">
        <f t="shared" si="263"/>
        <v>0</v>
      </c>
      <c r="AG648" s="507">
        <f t="shared" si="264"/>
        <v>0</v>
      </c>
      <c r="AH648" s="508">
        <f t="shared" si="265"/>
        <v>0</v>
      </c>
      <c r="AI648" s="508">
        <f t="shared" si="266"/>
        <v>0</v>
      </c>
      <c r="AJ648" s="516"/>
      <c r="AK648" s="519"/>
      <c r="AL648" s="506">
        <f t="shared" si="267"/>
        <v>0</v>
      </c>
      <c r="AM648" s="509">
        <f t="shared" si="268"/>
        <v>0</v>
      </c>
      <c r="AN648" s="518"/>
      <c r="AO648" s="520"/>
      <c r="AP648" s="516">
        <v>0</v>
      </c>
      <c r="AQ648" s="520">
        <v>0</v>
      </c>
      <c r="AR648" s="516">
        <v>0</v>
      </c>
      <c r="AS648" s="520">
        <v>0</v>
      </c>
      <c r="AT648" s="516">
        <v>0</v>
      </c>
      <c r="AU648" s="520">
        <v>0</v>
      </c>
      <c r="AV648" s="506">
        <f t="shared" si="269"/>
        <v>0</v>
      </c>
      <c r="AW648" s="511">
        <f t="shared" si="270"/>
        <v>0</v>
      </c>
      <c r="AX648" s="508">
        <f t="shared" si="271"/>
        <v>0</v>
      </c>
      <c r="AY648" s="512">
        <f t="shared" si="272"/>
        <v>0</v>
      </c>
      <c r="AZ648" s="513">
        <f t="shared" si="273"/>
        <v>2933.3666666666668</v>
      </c>
      <c r="BA648" s="508">
        <f t="shared" si="274"/>
        <v>2819.3333333333335</v>
      </c>
    </row>
    <row r="649" spans="1:53">
      <c r="A649" s="773" t="s">
        <v>918</v>
      </c>
      <c r="B649" s="789" t="s">
        <v>939</v>
      </c>
      <c r="C649" s="787"/>
      <c r="D649" s="773">
        <v>231882</v>
      </c>
      <c r="E649" s="776">
        <v>9</v>
      </c>
      <c r="F649" s="514" t="s">
        <v>41</v>
      </c>
      <c r="G649" s="515" t="s">
        <v>41</v>
      </c>
      <c r="H649" s="516"/>
      <c r="I649" s="519"/>
      <c r="J649" s="516">
        <v>37477</v>
      </c>
      <c r="K649" s="519">
        <v>36059</v>
      </c>
      <c r="L649" s="516">
        <v>11377</v>
      </c>
      <c r="M649" s="519">
        <v>10868</v>
      </c>
      <c r="N649" s="516">
        <v>36528</v>
      </c>
      <c r="O649" s="519">
        <v>37181</v>
      </c>
      <c r="P649" s="506">
        <f t="shared" si="257"/>
        <v>85382</v>
      </c>
      <c r="Q649" s="507">
        <f t="shared" si="258"/>
        <v>2846.0666666666666</v>
      </c>
      <c r="R649" s="508">
        <f t="shared" si="259"/>
        <v>84108</v>
      </c>
      <c r="S649" s="509">
        <f t="shared" si="260"/>
        <v>2803.6</v>
      </c>
      <c r="T649" s="516">
        <v>23368</v>
      </c>
      <c r="U649" s="519">
        <v>21293</v>
      </c>
      <c r="V649" s="506">
        <f t="shared" si="261"/>
        <v>85382</v>
      </c>
      <c r="W649" s="510">
        <f t="shared" si="262"/>
        <v>84108</v>
      </c>
      <c r="X649" s="517"/>
      <c r="Y649" s="519"/>
      <c r="Z649" s="516"/>
      <c r="AA649" s="519"/>
      <c r="AB649" s="516"/>
      <c r="AC649" s="519"/>
      <c r="AD649" s="516"/>
      <c r="AE649" s="519"/>
      <c r="AF649" s="506">
        <f t="shared" si="263"/>
        <v>0</v>
      </c>
      <c r="AG649" s="507">
        <f t="shared" si="264"/>
        <v>0</v>
      </c>
      <c r="AH649" s="508">
        <f t="shared" si="265"/>
        <v>0</v>
      </c>
      <c r="AI649" s="508">
        <f t="shared" si="266"/>
        <v>0</v>
      </c>
      <c r="AJ649" s="516"/>
      <c r="AK649" s="519"/>
      <c r="AL649" s="506">
        <f t="shared" si="267"/>
        <v>0</v>
      </c>
      <c r="AM649" s="509">
        <f t="shared" si="268"/>
        <v>0</v>
      </c>
      <c r="AN649" s="518"/>
      <c r="AO649" s="520"/>
      <c r="AP649" s="516">
        <v>0</v>
      </c>
      <c r="AQ649" s="520">
        <v>0</v>
      </c>
      <c r="AR649" s="516">
        <v>0</v>
      </c>
      <c r="AS649" s="520">
        <v>0</v>
      </c>
      <c r="AT649" s="516">
        <v>0</v>
      </c>
      <c r="AU649" s="520">
        <v>0</v>
      </c>
      <c r="AV649" s="506">
        <f t="shared" si="269"/>
        <v>0</v>
      </c>
      <c r="AW649" s="511">
        <f t="shared" si="270"/>
        <v>0</v>
      </c>
      <c r="AX649" s="508">
        <f t="shared" si="271"/>
        <v>0</v>
      </c>
      <c r="AY649" s="512">
        <f t="shared" si="272"/>
        <v>0</v>
      </c>
      <c r="AZ649" s="513">
        <f t="shared" si="273"/>
        <v>2846.0666666666666</v>
      </c>
      <c r="BA649" s="508">
        <f t="shared" si="274"/>
        <v>2803.6</v>
      </c>
    </row>
    <row r="650" spans="1:53">
      <c r="A650" s="773" t="s">
        <v>918</v>
      </c>
      <c r="B650" s="789" t="s">
        <v>940</v>
      </c>
      <c r="C650" s="787"/>
      <c r="D650" s="773">
        <v>232195</v>
      </c>
      <c r="E650" s="776">
        <v>9</v>
      </c>
      <c r="F650" s="514" t="s">
        <v>41</v>
      </c>
      <c r="G650" s="515" t="s">
        <v>41</v>
      </c>
      <c r="H650" s="516"/>
      <c r="I650" s="519"/>
      <c r="J650" s="516">
        <v>58341</v>
      </c>
      <c r="K650" s="519">
        <v>59439</v>
      </c>
      <c r="L650" s="516">
        <v>15767</v>
      </c>
      <c r="M650" s="519">
        <v>16141</v>
      </c>
      <c r="N650" s="516">
        <v>65793</v>
      </c>
      <c r="O650" s="519">
        <v>62430</v>
      </c>
      <c r="P650" s="506">
        <f t="shared" si="257"/>
        <v>139901</v>
      </c>
      <c r="Q650" s="507">
        <f t="shared" si="258"/>
        <v>4663.3666666666668</v>
      </c>
      <c r="R650" s="508">
        <f t="shared" si="259"/>
        <v>138010</v>
      </c>
      <c r="S650" s="509">
        <f t="shared" si="260"/>
        <v>4600.333333333333</v>
      </c>
      <c r="T650" s="516">
        <v>19212</v>
      </c>
      <c r="U650" s="519">
        <v>17878</v>
      </c>
      <c r="V650" s="506">
        <f t="shared" si="261"/>
        <v>139901</v>
      </c>
      <c r="W650" s="510">
        <f t="shared" si="262"/>
        <v>138010</v>
      </c>
      <c r="X650" s="517"/>
      <c r="Y650" s="519"/>
      <c r="Z650" s="516"/>
      <c r="AA650" s="519"/>
      <c r="AB650" s="516"/>
      <c r="AC650" s="519"/>
      <c r="AD650" s="516"/>
      <c r="AE650" s="519"/>
      <c r="AF650" s="506">
        <f t="shared" si="263"/>
        <v>0</v>
      </c>
      <c r="AG650" s="507">
        <f t="shared" si="264"/>
        <v>0</v>
      </c>
      <c r="AH650" s="508">
        <f t="shared" si="265"/>
        <v>0</v>
      </c>
      <c r="AI650" s="508">
        <f t="shared" si="266"/>
        <v>0</v>
      </c>
      <c r="AJ650" s="516"/>
      <c r="AK650" s="519"/>
      <c r="AL650" s="506">
        <f t="shared" si="267"/>
        <v>0</v>
      </c>
      <c r="AM650" s="509">
        <f t="shared" si="268"/>
        <v>0</v>
      </c>
      <c r="AN650" s="518"/>
      <c r="AO650" s="520"/>
      <c r="AP650" s="516">
        <v>0</v>
      </c>
      <c r="AQ650" s="520">
        <v>0</v>
      </c>
      <c r="AR650" s="516">
        <v>0</v>
      </c>
      <c r="AS650" s="520">
        <v>0</v>
      </c>
      <c r="AT650" s="516">
        <v>0</v>
      </c>
      <c r="AU650" s="520">
        <v>0</v>
      </c>
      <c r="AV650" s="506">
        <f t="shared" si="269"/>
        <v>0</v>
      </c>
      <c r="AW650" s="511">
        <f t="shared" si="270"/>
        <v>0</v>
      </c>
      <c r="AX650" s="508">
        <f t="shared" si="271"/>
        <v>0</v>
      </c>
      <c r="AY650" s="512">
        <f t="shared" si="272"/>
        <v>0</v>
      </c>
      <c r="AZ650" s="513">
        <f t="shared" si="273"/>
        <v>4663.3666666666668</v>
      </c>
      <c r="BA650" s="508">
        <f t="shared" si="274"/>
        <v>4600.333333333333</v>
      </c>
    </row>
    <row r="651" spans="1:53">
      <c r="A651" s="773" t="s">
        <v>918</v>
      </c>
      <c r="B651" s="789" t="s">
        <v>941</v>
      </c>
      <c r="C651" s="787" t="s">
        <v>964</v>
      </c>
      <c r="D651" s="773">
        <v>232450</v>
      </c>
      <c r="E651" s="776">
        <v>9</v>
      </c>
      <c r="F651" s="514" t="s">
        <v>41</v>
      </c>
      <c r="G651" s="515" t="s">
        <v>41</v>
      </c>
      <c r="H651" s="516"/>
      <c r="I651" s="519"/>
      <c r="J651" s="516">
        <v>79717</v>
      </c>
      <c r="K651" s="519">
        <v>78614</v>
      </c>
      <c r="L651" s="516">
        <v>23115</v>
      </c>
      <c r="M651" s="519">
        <v>24389</v>
      </c>
      <c r="N651" s="516">
        <v>87506</v>
      </c>
      <c r="O651" s="519">
        <v>80861</v>
      </c>
      <c r="P651" s="506">
        <f t="shared" si="257"/>
        <v>190338</v>
      </c>
      <c r="Q651" s="507">
        <f t="shared" si="258"/>
        <v>6344.6</v>
      </c>
      <c r="R651" s="508">
        <f t="shared" si="259"/>
        <v>183864</v>
      </c>
      <c r="S651" s="509">
        <f t="shared" si="260"/>
        <v>6128.8</v>
      </c>
      <c r="T651" s="516">
        <v>43654</v>
      </c>
      <c r="U651" s="519">
        <v>43091</v>
      </c>
      <c r="V651" s="506">
        <f t="shared" si="261"/>
        <v>190338</v>
      </c>
      <c r="W651" s="510">
        <f t="shared" si="262"/>
        <v>183864</v>
      </c>
      <c r="X651" s="517"/>
      <c r="Y651" s="519"/>
      <c r="Z651" s="516"/>
      <c r="AA651" s="519"/>
      <c r="AB651" s="516"/>
      <c r="AC651" s="519"/>
      <c r="AD651" s="516"/>
      <c r="AE651" s="519"/>
      <c r="AF651" s="506">
        <f t="shared" si="263"/>
        <v>0</v>
      </c>
      <c r="AG651" s="507">
        <f t="shared" si="264"/>
        <v>0</v>
      </c>
      <c r="AH651" s="508">
        <f t="shared" si="265"/>
        <v>0</v>
      </c>
      <c r="AI651" s="508">
        <f t="shared" si="266"/>
        <v>0</v>
      </c>
      <c r="AJ651" s="516"/>
      <c r="AK651" s="519"/>
      <c r="AL651" s="506">
        <f t="shared" si="267"/>
        <v>0</v>
      </c>
      <c r="AM651" s="509">
        <f t="shared" si="268"/>
        <v>0</v>
      </c>
      <c r="AN651" s="518"/>
      <c r="AO651" s="520"/>
      <c r="AP651" s="516">
        <v>0</v>
      </c>
      <c r="AQ651" s="520">
        <v>0</v>
      </c>
      <c r="AR651" s="516">
        <v>0</v>
      </c>
      <c r="AS651" s="520">
        <v>0</v>
      </c>
      <c r="AT651" s="516">
        <v>0</v>
      </c>
      <c r="AU651" s="520">
        <v>0</v>
      </c>
      <c r="AV651" s="506">
        <f t="shared" si="269"/>
        <v>0</v>
      </c>
      <c r="AW651" s="511">
        <f t="shared" si="270"/>
        <v>0</v>
      </c>
      <c r="AX651" s="508">
        <f t="shared" si="271"/>
        <v>0</v>
      </c>
      <c r="AY651" s="512">
        <f t="shared" si="272"/>
        <v>0</v>
      </c>
      <c r="AZ651" s="513">
        <f t="shared" si="273"/>
        <v>6344.6</v>
      </c>
      <c r="BA651" s="508">
        <f t="shared" si="274"/>
        <v>6128.8</v>
      </c>
    </row>
    <row r="652" spans="1:53">
      <c r="A652" s="773" t="s">
        <v>918</v>
      </c>
      <c r="B652" s="789" t="s">
        <v>942</v>
      </c>
      <c r="C652" s="787"/>
      <c r="D652" s="773">
        <v>232575</v>
      </c>
      <c r="E652" s="776">
        <v>9</v>
      </c>
      <c r="F652" s="514" t="s">
        <v>41</v>
      </c>
      <c r="G652" s="515" t="s">
        <v>41</v>
      </c>
      <c r="H652" s="516"/>
      <c r="I652" s="519"/>
      <c r="J652" s="516">
        <v>50883</v>
      </c>
      <c r="K652" s="519">
        <v>52877</v>
      </c>
      <c r="L652" s="516">
        <v>13294</v>
      </c>
      <c r="M652" s="519">
        <v>14797</v>
      </c>
      <c r="N652" s="516">
        <v>59746</v>
      </c>
      <c r="O652" s="519">
        <v>59044</v>
      </c>
      <c r="P652" s="506">
        <f t="shared" si="257"/>
        <v>123923</v>
      </c>
      <c r="Q652" s="507">
        <f t="shared" si="258"/>
        <v>4130.7666666666664</v>
      </c>
      <c r="R652" s="508">
        <f t="shared" si="259"/>
        <v>126718</v>
      </c>
      <c r="S652" s="509">
        <f t="shared" si="260"/>
        <v>4223.9333333333334</v>
      </c>
      <c r="T652" s="516">
        <v>39380</v>
      </c>
      <c r="U652" s="519">
        <v>43937</v>
      </c>
      <c r="V652" s="506">
        <f t="shared" si="261"/>
        <v>123923</v>
      </c>
      <c r="W652" s="510">
        <f t="shared" si="262"/>
        <v>126718</v>
      </c>
      <c r="X652" s="517"/>
      <c r="Y652" s="519"/>
      <c r="Z652" s="516"/>
      <c r="AA652" s="519"/>
      <c r="AB652" s="516"/>
      <c r="AC652" s="519"/>
      <c r="AD652" s="516"/>
      <c r="AE652" s="519"/>
      <c r="AF652" s="506">
        <f t="shared" si="263"/>
        <v>0</v>
      </c>
      <c r="AG652" s="507">
        <f t="shared" si="264"/>
        <v>0</v>
      </c>
      <c r="AH652" s="508">
        <f t="shared" si="265"/>
        <v>0</v>
      </c>
      <c r="AI652" s="508">
        <f t="shared" si="266"/>
        <v>0</v>
      </c>
      <c r="AJ652" s="516"/>
      <c r="AK652" s="519"/>
      <c r="AL652" s="506">
        <f t="shared" si="267"/>
        <v>0</v>
      </c>
      <c r="AM652" s="509">
        <f t="shared" si="268"/>
        <v>0</v>
      </c>
      <c r="AN652" s="518"/>
      <c r="AO652" s="520"/>
      <c r="AP652" s="516">
        <v>0</v>
      </c>
      <c r="AQ652" s="520">
        <v>0</v>
      </c>
      <c r="AR652" s="516">
        <v>0</v>
      </c>
      <c r="AS652" s="520">
        <v>0</v>
      </c>
      <c r="AT652" s="516">
        <v>0</v>
      </c>
      <c r="AU652" s="520">
        <v>0</v>
      </c>
      <c r="AV652" s="506">
        <f t="shared" si="269"/>
        <v>0</v>
      </c>
      <c r="AW652" s="511">
        <f t="shared" si="270"/>
        <v>0</v>
      </c>
      <c r="AX652" s="508">
        <f t="shared" si="271"/>
        <v>0</v>
      </c>
      <c r="AY652" s="512">
        <f t="shared" si="272"/>
        <v>0</v>
      </c>
      <c r="AZ652" s="513">
        <f t="shared" si="273"/>
        <v>4130.7666666666664</v>
      </c>
      <c r="BA652" s="508">
        <f t="shared" si="274"/>
        <v>4223.9333333333334</v>
      </c>
    </row>
    <row r="653" spans="1:53">
      <c r="A653" s="773" t="s">
        <v>918</v>
      </c>
      <c r="B653" s="789" t="s">
        <v>943</v>
      </c>
      <c r="C653" s="787"/>
      <c r="D653" s="773">
        <v>232867</v>
      </c>
      <c r="E653" s="776">
        <v>9</v>
      </c>
      <c r="F653" s="514" t="s">
        <v>41</v>
      </c>
      <c r="G653" s="515" t="s">
        <v>41</v>
      </c>
      <c r="H653" s="516"/>
      <c r="I653" s="519"/>
      <c r="J653" s="516">
        <v>43252</v>
      </c>
      <c r="K653" s="519">
        <v>44203</v>
      </c>
      <c r="L653" s="516">
        <v>11555</v>
      </c>
      <c r="M653" s="519">
        <v>11068</v>
      </c>
      <c r="N653" s="516">
        <v>45359</v>
      </c>
      <c r="O653" s="519">
        <v>42969</v>
      </c>
      <c r="P653" s="506">
        <f t="shared" si="257"/>
        <v>100166</v>
      </c>
      <c r="Q653" s="507">
        <f t="shared" si="258"/>
        <v>3338.8666666666668</v>
      </c>
      <c r="R653" s="508">
        <f t="shared" si="259"/>
        <v>98240</v>
      </c>
      <c r="S653" s="509">
        <f t="shared" si="260"/>
        <v>3274.6666666666665</v>
      </c>
      <c r="T653" s="516">
        <v>26689</v>
      </c>
      <c r="U653" s="519">
        <v>27899</v>
      </c>
      <c r="V653" s="506">
        <f t="shared" si="261"/>
        <v>100166</v>
      </c>
      <c r="W653" s="510">
        <f t="shared" si="262"/>
        <v>98240</v>
      </c>
      <c r="X653" s="517"/>
      <c r="Y653" s="519"/>
      <c r="Z653" s="516"/>
      <c r="AA653" s="519"/>
      <c r="AB653" s="516"/>
      <c r="AC653" s="519"/>
      <c r="AD653" s="516"/>
      <c r="AE653" s="519"/>
      <c r="AF653" s="506">
        <f t="shared" si="263"/>
        <v>0</v>
      </c>
      <c r="AG653" s="507">
        <f t="shared" si="264"/>
        <v>0</v>
      </c>
      <c r="AH653" s="508">
        <f t="shared" si="265"/>
        <v>0</v>
      </c>
      <c r="AI653" s="508">
        <f t="shared" si="266"/>
        <v>0</v>
      </c>
      <c r="AJ653" s="516"/>
      <c r="AK653" s="519"/>
      <c r="AL653" s="506">
        <f t="shared" si="267"/>
        <v>0</v>
      </c>
      <c r="AM653" s="509">
        <f t="shared" si="268"/>
        <v>0</v>
      </c>
      <c r="AN653" s="518"/>
      <c r="AO653" s="520"/>
      <c r="AP653" s="516">
        <v>0</v>
      </c>
      <c r="AQ653" s="520">
        <v>0</v>
      </c>
      <c r="AR653" s="516">
        <v>0</v>
      </c>
      <c r="AS653" s="520">
        <v>0</v>
      </c>
      <c r="AT653" s="516">
        <v>0</v>
      </c>
      <c r="AU653" s="520">
        <v>0</v>
      </c>
      <c r="AV653" s="506">
        <f t="shared" si="269"/>
        <v>0</v>
      </c>
      <c r="AW653" s="511">
        <f t="shared" si="270"/>
        <v>0</v>
      </c>
      <c r="AX653" s="508">
        <f t="shared" si="271"/>
        <v>0</v>
      </c>
      <c r="AY653" s="512">
        <f t="shared" si="272"/>
        <v>0</v>
      </c>
      <c r="AZ653" s="513">
        <f t="shared" si="273"/>
        <v>3338.8666666666668</v>
      </c>
      <c r="BA653" s="508">
        <f t="shared" si="274"/>
        <v>3274.6666666666665</v>
      </c>
    </row>
    <row r="654" spans="1:53">
      <c r="A654" s="773" t="s">
        <v>918</v>
      </c>
      <c r="B654" s="789" t="s">
        <v>944</v>
      </c>
      <c r="C654" s="813"/>
      <c r="D654" s="773">
        <v>233019</v>
      </c>
      <c r="E654" s="785">
        <v>9</v>
      </c>
      <c r="F654" s="514" t="s">
        <v>41</v>
      </c>
      <c r="G654" s="515" t="s">
        <v>41</v>
      </c>
      <c r="H654" s="516"/>
      <c r="I654" s="519"/>
      <c r="J654" s="516">
        <v>31372</v>
      </c>
      <c r="K654" s="519">
        <v>31342</v>
      </c>
      <c r="L654" s="516">
        <v>10053</v>
      </c>
      <c r="M654" s="519">
        <v>10391</v>
      </c>
      <c r="N654" s="516">
        <v>33634</v>
      </c>
      <c r="O654" s="519">
        <v>31537</v>
      </c>
      <c r="P654" s="506">
        <f t="shared" si="257"/>
        <v>75059</v>
      </c>
      <c r="Q654" s="507">
        <f t="shared" si="258"/>
        <v>2501.9666666666667</v>
      </c>
      <c r="R654" s="508">
        <f t="shared" si="259"/>
        <v>73270</v>
      </c>
      <c r="S654" s="509">
        <f t="shared" si="260"/>
        <v>2442.3333333333335</v>
      </c>
      <c r="T654" s="516">
        <v>20496</v>
      </c>
      <c r="U654" s="519">
        <v>22362</v>
      </c>
      <c r="V654" s="506">
        <f t="shared" si="261"/>
        <v>75059</v>
      </c>
      <c r="W654" s="510">
        <f t="shared" si="262"/>
        <v>73270</v>
      </c>
      <c r="X654" s="517"/>
      <c r="Y654" s="519"/>
      <c r="Z654" s="516"/>
      <c r="AA654" s="519"/>
      <c r="AB654" s="516"/>
      <c r="AC654" s="519"/>
      <c r="AD654" s="516"/>
      <c r="AE654" s="519"/>
      <c r="AF654" s="506">
        <f t="shared" si="263"/>
        <v>0</v>
      </c>
      <c r="AG654" s="507">
        <f t="shared" si="264"/>
        <v>0</v>
      </c>
      <c r="AH654" s="508">
        <f t="shared" si="265"/>
        <v>0</v>
      </c>
      <c r="AI654" s="508">
        <f t="shared" si="266"/>
        <v>0</v>
      </c>
      <c r="AJ654" s="516"/>
      <c r="AK654" s="519"/>
      <c r="AL654" s="506">
        <f t="shared" si="267"/>
        <v>0</v>
      </c>
      <c r="AM654" s="509">
        <f t="shared" si="268"/>
        <v>0</v>
      </c>
      <c r="AN654" s="518"/>
      <c r="AO654" s="520"/>
      <c r="AP654" s="516">
        <v>0</v>
      </c>
      <c r="AQ654" s="520">
        <v>0</v>
      </c>
      <c r="AR654" s="516">
        <v>0</v>
      </c>
      <c r="AS654" s="520">
        <v>0</v>
      </c>
      <c r="AT654" s="516">
        <v>0</v>
      </c>
      <c r="AU654" s="520">
        <v>0</v>
      </c>
      <c r="AV654" s="506">
        <f t="shared" si="269"/>
        <v>0</v>
      </c>
      <c r="AW654" s="511">
        <f t="shared" si="270"/>
        <v>0</v>
      </c>
      <c r="AX654" s="508">
        <f t="shared" si="271"/>
        <v>0</v>
      </c>
      <c r="AY654" s="512">
        <f t="shared" si="272"/>
        <v>0</v>
      </c>
      <c r="AZ654" s="513">
        <f t="shared" si="273"/>
        <v>2501.9666666666667</v>
      </c>
      <c r="BA654" s="508">
        <f t="shared" si="274"/>
        <v>2442.3333333333335</v>
      </c>
    </row>
    <row r="655" spans="1:53">
      <c r="A655" s="773" t="s">
        <v>918</v>
      </c>
      <c r="B655" s="789" t="s">
        <v>945</v>
      </c>
      <c r="C655" s="787"/>
      <c r="D655" s="773">
        <v>233116</v>
      </c>
      <c r="E655" s="776">
        <v>9</v>
      </c>
      <c r="F655" s="514" t="s">
        <v>41</v>
      </c>
      <c r="G655" s="515" t="s">
        <v>41</v>
      </c>
      <c r="H655" s="516"/>
      <c r="I655" s="519"/>
      <c r="J655" s="516">
        <v>40280</v>
      </c>
      <c r="K655" s="519">
        <v>39108</v>
      </c>
      <c r="L655" s="516">
        <v>9578</v>
      </c>
      <c r="M655" s="519">
        <v>10110</v>
      </c>
      <c r="N655" s="516">
        <v>41772</v>
      </c>
      <c r="O655" s="519">
        <v>42187</v>
      </c>
      <c r="P655" s="506">
        <f t="shared" si="257"/>
        <v>91630</v>
      </c>
      <c r="Q655" s="507">
        <f t="shared" si="258"/>
        <v>3054.3333333333335</v>
      </c>
      <c r="R655" s="508">
        <f t="shared" si="259"/>
        <v>91405</v>
      </c>
      <c r="S655" s="509">
        <f t="shared" si="260"/>
        <v>3046.8333333333335</v>
      </c>
      <c r="T655" s="516">
        <v>23669</v>
      </c>
      <c r="U655" s="519">
        <v>23641</v>
      </c>
      <c r="V655" s="506">
        <f t="shared" si="261"/>
        <v>91630</v>
      </c>
      <c r="W655" s="510">
        <f t="shared" si="262"/>
        <v>91405</v>
      </c>
      <c r="X655" s="517"/>
      <c r="Y655" s="519"/>
      <c r="Z655" s="516"/>
      <c r="AA655" s="519"/>
      <c r="AB655" s="516"/>
      <c r="AC655" s="519"/>
      <c r="AD655" s="516"/>
      <c r="AE655" s="519"/>
      <c r="AF655" s="506">
        <f t="shared" si="263"/>
        <v>0</v>
      </c>
      <c r="AG655" s="507">
        <f t="shared" si="264"/>
        <v>0</v>
      </c>
      <c r="AH655" s="508">
        <f t="shared" si="265"/>
        <v>0</v>
      </c>
      <c r="AI655" s="508">
        <f t="shared" si="266"/>
        <v>0</v>
      </c>
      <c r="AJ655" s="516"/>
      <c r="AK655" s="519"/>
      <c r="AL655" s="506">
        <f t="shared" si="267"/>
        <v>0</v>
      </c>
      <c r="AM655" s="509">
        <f t="shared" si="268"/>
        <v>0</v>
      </c>
      <c r="AN655" s="518"/>
      <c r="AO655" s="520"/>
      <c r="AP655" s="516">
        <v>0</v>
      </c>
      <c r="AQ655" s="520">
        <v>0</v>
      </c>
      <c r="AR655" s="516">
        <v>0</v>
      </c>
      <c r="AS655" s="520">
        <v>0</v>
      </c>
      <c r="AT655" s="516">
        <v>0</v>
      </c>
      <c r="AU655" s="520">
        <v>0</v>
      </c>
      <c r="AV655" s="506">
        <f t="shared" si="269"/>
        <v>0</v>
      </c>
      <c r="AW655" s="511">
        <f t="shared" si="270"/>
        <v>0</v>
      </c>
      <c r="AX655" s="508">
        <f t="shared" si="271"/>
        <v>0</v>
      </c>
      <c r="AY655" s="512">
        <f t="shared" si="272"/>
        <v>0</v>
      </c>
      <c r="AZ655" s="513">
        <f t="shared" si="273"/>
        <v>3054.3333333333335</v>
      </c>
      <c r="BA655" s="508">
        <f t="shared" si="274"/>
        <v>3046.8333333333335</v>
      </c>
    </row>
    <row r="656" spans="1:53">
      <c r="A656" s="773" t="s">
        <v>918</v>
      </c>
      <c r="B656" s="789" t="s">
        <v>946</v>
      </c>
      <c r="C656" s="787"/>
      <c r="D656" s="773">
        <v>233639</v>
      </c>
      <c r="E656" s="776">
        <v>9</v>
      </c>
      <c r="F656" s="514" t="s">
        <v>41</v>
      </c>
      <c r="G656" s="515" t="s">
        <v>41</v>
      </c>
      <c r="H656" s="516"/>
      <c r="I656" s="519"/>
      <c r="J656" s="516">
        <v>49468</v>
      </c>
      <c r="K656" s="519">
        <v>47196</v>
      </c>
      <c r="L656" s="516">
        <v>15851</v>
      </c>
      <c r="M656" s="519">
        <v>17221</v>
      </c>
      <c r="N656" s="516">
        <v>54965</v>
      </c>
      <c r="O656" s="519">
        <v>51494</v>
      </c>
      <c r="P656" s="506">
        <f t="shared" si="257"/>
        <v>120284</v>
      </c>
      <c r="Q656" s="507">
        <f t="shared" si="258"/>
        <v>4009.4666666666667</v>
      </c>
      <c r="R656" s="508">
        <f t="shared" si="259"/>
        <v>115911</v>
      </c>
      <c r="S656" s="509">
        <f t="shared" si="260"/>
        <v>3863.7</v>
      </c>
      <c r="T656" s="516">
        <v>56952</v>
      </c>
      <c r="U656" s="519">
        <v>63550</v>
      </c>
      <c r="V656" s="506">
        <f t="shared" si="261"/>
        <v>120284</v>
      </c>
      <c r="W656" s="510">
        <f t="shared" si="262"/>
        <v>115911</v>
      </c>
      <c r="X656" s="517"/>
      <c r="Y656" s="519"/>
      <c r="Z656" s="516"/>
      <c r="AA656" s="519"/>
      <c r="AB656" s="516"/>
      <c r="AC656" s="519"/>
      <c r="AD656" s="516"/>
      <c r="AE656" s="519"/>
      <c r="AF656" s="506">
        <f t="shared" si="263"/>
        <v>0</v>
      </c>
      <c r="AG656" s="507">
        <f t="shared" si="264"/>
        <v>0</v>
      </c>
      <c r="AH656" s="508">
        <f t="shared" si="265"/>
        <v>0</v>
      </c>
      <c r="AI656" s="508">
        <f t="shared" si="266"/>
        <v>0</v>
      </c>
      <c r="AJ656" s="516"/>
      <c r="AK656" s="519"/>
      <c r="AL656" s="506">
        <f t="shared" si="267"/>
        <v>0</v>
      </c>
      <c r="AM656" s="509">
        <f t="shared" si="268"/>
        <v>0</v>
      </c>
      <c r="AN656" s="518"/>
      <c r="AO656" s="520"/>
      <c r="AP656" s="516">
        <v>0</v>
      </c>
      <c r="AQ656" s="520">
        <v>0</v>
      </c>
      <c r="AR656" s="516">
        <v>0</v>
      </c>
      <c r="AS656" s="520">
        <v>0</v>
      </c>
      <c r="AT656" s="516">
        <v>0</v>
      </c>
      <c r="AU656" s="520">
        <v>0</v>
      </c>
      <c r="AV656" s="506">
        <f t="shared" si="269"/>
        <v>0</v>
      </c>
      <c r="AW656" s="511">
        <f t="shared" si="270"/>
        <v>0</v>
      </c>
      <c r="AX656" s="508">
        <f t="shared" si="271"/>
        <v>0</v>
      </c>
      <c r="AY656" s="512">
        <f t="shared" si="272"/>
        <v>0</v>
      </c>
      <c r="AZ656" s="513">
        <f t="shared" si="273"/>
        <v>4009.4666666666667</v>
      </c>
      <c r="BA656" s="508">
        <f t="shared" si="274"/>
        <v>3863.7</v>
      </c>
    </row>
    <row r="657" spans="1:53">
      <c r="A657" s="773" t="s">
        <v>918</v>
      </c>
      <c r="B657" s="789" t="s">
        <v>947</v>
      </c>
      <c r="C657" s="787" t="s">
        <v>322</v>
      </c>
      <c r="D657" s="773">
        <v>233648</v>
      </c>
      <c r="E657" s="776">
        <v>9</v>
      </c>
      <c r="F657" s="514" t="s">
        <v>41</v>
      </c>
      <c r="G657" s="515" t="s">
        <v>41</v>
      </c>
      <c r="H657" s="516"/>
      <c r="I657" s="519"/>
      <c r="J657" s="516">
        <v>28095</v>
      </c>
      <c r="K657" s="519">
        <v>24684</v>
      </c>
      <c r="L657" s="516">
        <v>9907</v>
      </c>
      <c r="M657" s="519">
        <v>9797</v>
      </c>
      <c r="N657" s="516">
        <v>28828</v>
      </c>
      <c r="O657" s="519">
        <v>24876</v>
      </c>
      <c r="P657" s="506">
        <f t="shared" si="257"/>
        <v>66830</v>
      </c>
      <c r="Q657" s="507">
        <f t="shared" si="258"/>
        <v>2227.6666666666665</v>
      </c>
      <c r="R657" s="508">
        <f t="shared" si="259"/>
        <v>59357</v>
      </c>
      <c r="S657" s="509">
        <f t="shared" si="260"/>
        <v>1978.5666666666666</v>
      </c>
      <c r="T657" s="516">
        <v>20545</v>
      </c>
      <c r="U657" s="519">
        <v>19271</v>
      </c>
      <c r="V657" s="506">
        <f t="shared" si="261"/>
        <v>66830</v>
      </c>
      <c r="W657" s="510">
        <f t="shared" si="262"/>
        <v>59357</v>
      </c>
      <c r="X657" s="517"/>
      <c r="Y657" s="519"/>
      <c r="Z657" s="516"/>
      <c r="AA657" s="519"/>
      <c r="AB657" s="516"/>
      <c r="AC657" s="519"/>
      <c r="AD657" s="516"/>
      <c r="AE657" s="519"/>
      <c r="AF657" s="506">
        <f t="shared" si="263"/>
        <v>0</v>
      </c>
      <c r="AG657" s="507">
        <f t="shared" si="264"/>
        <v>0</v>
      </c>
      <c r="AH657" s="508">
        <f t="shared" si="265"/>
        <v>0</v>
      </c>
      <c r="AI657" s="508">
        <f t="shared" si="266"/>
        <v>0</v>
      </c>
      <c r="AJ657" s="516"/>
      <c r="AK657" s="519"/>
      <c r="AL657" s="506">
        <f t="shared" si="267"/>
        <v>0</v>
      </c>
      <c r="AM657" s="509">
        <f t="shared" si="268"/>
        <v>0</v>
      </c>
      <c r="AN657" s="518"/>
      <c r="AO657" s="520"/>
      <c r="AP657" s="516">
        <v>0</v>
      </c>
      <c r="AQ657" s="520">
        <v>0</v>
      </c>
      <c r="AR657" s="516">
        <v>0</v>
      </c>
      <c r="AS657" s="520">
        <v>0</v>
      </c>
      <c r="AT657" s="516">
        <v>0</v>
      </c>
      <c r="AU657" s="520">
        <v>0</v>
      </c>
      <c r="AV657" s="506">
        <f t="shared" si="269"/>
        <v>0</v>
      </c>
      <c r="AW657" s="511">
        <f t="shared" si="270"/>
        <v>0</v>
      </c>
      <c r="AX657" s="508">
        <f t="shared" si="271"/>
        <v>0</v>
      </c>
      <c r="AY657" s="512">
        <f t="shared" si="272"/>
        <v>0</v>
      </c>
      <c r="AZ657" s="513">
        <f t="shared" si="273"/>
        <v>2227.6666666666665</v>
      </c>
      <c r="BA657" s="508">
        <f t="shared" si="274"/>
        <v>1978.5666666666666</v>
      </c>
    </row>
    <row r="658" spans="1:53">
      <c r="A658" s="773" t="s">
        <v>918</v>
      </c>
      <c r="B658" s="789" t="s">
        <v>948</v>
      </c>
      <c r="C658" s="788"/>
      <c r="D658" s="773">
        <v>233949</v>
      </c>
      <c r="E658" s="776">
        <v>9</v>
      </c>
      <c r="F658" s="514" t="s">
        <v>41</v>
      </c>
      <c r="G658" s="515" t="s">
        <v>41</v>
      </c>
      <c r="H658" s="516"/>
      <c r="I658" s="519"/>
      <c r="J658" s="516">
        <v>64855</v>
      </c>
      <c r="K658" s="519">
        <v>63610</v>
      </c>
      <c r="L658" s="516">
        <v>16210</v>
      </c>
      <c r="M658" s="519">
        <v>16665</v>
      </c>
      <c r="N658" s="516">
        <v>66680</v>
      </c>
      <c r="O658" s="519">
        <v>66570</v>
      </c>
      <c r="P658" s="506">
        <f t="shared" si="257"/>
        <v>147745</v>
      </c>
      <c r="Q658" s="507">
        <f t="shared" si="258"/>
        <v>4924.833333333333</v>
      </c>
      <c r="R658" s="508">
        <f t="shared" si="259"/>
        <v>146845</v>
      </c>
      <c r="S658" s="509">
        <f t="shared" si="260"/>
        <v>4894.833333333333</v>
      </c>
      <c r="T658" s="516">
        <v>36689</v>
      </c>
      <c r="U658" s="519">
        <v>35649</v>
      </c>
      <c r="V658" s="506">
        <f t="shared" si="261"/>
        <v>147745</v>
      </c>
      <c r="W658" s="510">
        <f t="shared" si="262"/>
        <v>146845</v>
      </c>
      <c r="X658" s="517"/>
      <c r="Y658" s="519"/>
      <c r="Z658" s="516"/>
      <c r="AA658" s="519"/>
      <c r="AB658" s="516"/>
      <c r="AC658" s="519"/>
      <c r="AD658" s="516"/>
      <c r="AE658" s="519"/>
      <c r="AF658" s="506">
        <f t="shared" si="263"/>
        <v>0</v>
      </c>
      <c r="AG658" s="507">
        <f t="shared" si="264"/>
        <v>0</v>
      </c>
      <c r="AH658" s="508">
        <f t="shared" si="265"/>
        <v>0</v>
      </c>
      <c r="AI658" s="508">
        <f t="shared" si="266"/>
        <v>0</v>
      </c>
      <c r="AJ658" s="516"/>
      <c r="AK658" s="519"/>
      <c r="AL658" s="506">
        <f t="shared" si="267"/>
        <v>0</v>
      </c>
      <c r="AM658" s="509">
        <f t="shared" si="268"/>
        <v>0</v>
      </c>
      <c r="AN658" s="518"/>
      <c r="AO658" s="520"/>
      <c r="AP658" s="516">
        <v>0</v>
      </c>
      <c r="AQ658" s="520">
        <v>0</v>
      </c>
      <c r="AR658" s="516">
        <v>0</v>
      </c>
      <c r="AS658" s="520">
        <v>0</v>
      </c>
      <c r="AT658" s="516">
        <v>0</v>
      </c>
      <c r="AU658" s="520">
        <v>0</v>
      </c>
      <c r="AV658" s="506">
        <f t="shared" si="269"/>
        <v>0</v>
      </c>
      <c r="AW658" s="511">
        <f t="shared" si="270"/>
        <v>0</v>
      </c>
      <c r="AX658" s="508">
        <f t="shared" si="271"/>
        <v>0</v>
      </c>
      <c r="AY658" s="512">
        <f t="shared" si="272"/>
        <v>0</v>
      </c>
      <c r="AZ658" s="513">
        <f t="shared" si="273"/>
        <v>4924.833333333333</v>
      </c>
      <c r="BA658" s="508">
        <f t="shared" si="274"/>
        <v>4894.833333333333</v>
      </c>
    </row>
    <row r="659" spans="1:53">
      <c r="A659" s="773" t="s">
        <v>918</v>
      </c>
      <c r="B659" s="789" t="s">
        <v>949</v>
      </c>
      <c r="C659" s="813"/>
      <c r="D659" s="773">
        <v>234377</v>
      </c>
      <c r="E659" s="785">
        <v>9</v>
      </c>
      <c r="F659" s="514" t="s">
        <v>41</v>
      </c>
      <c r="G659" s="515" t="s">
        <v>41</v>
      </c>
      <c r="H659" s="516"/>
      <c r="I659" s="519"/>
      <c r="J659" s="516">
        <v>30591</v>
      </c>
      <c r="K659" s="519">
        <v>28458</v>
      </c>
      <c r="L659" s="516">
        <v>11004</v>
      </c>
      <c r="M659" s="519">
        <v>10541</v>
      </c>
      <c r="N659" s="516">
        <v>31021</v>
      </c>
      <c r="O659" s="519">
        <v>30401</v>
      </c>
      <c r="P659" s="506">
        <f t="shared" si="257"/>
        <v>72616</v>
      </c>
      <c r="Q659" s="507">
        <f t="shared" si="258"/>
        <v>2420.5333333333333</v>
      </c>
      <c r="R659" s="508">
        <f t="shared" si="259"/>
        <v>69400</v>
      </c>
      <c r="S659" s="509">
        <f t="shared" si="260"/>
        <v>2313.3333333333335</v>
      </c>
      <c r="T659" s="516">
        <v>22857</v>
      </c>
      <c r="U659" s="519">
        <v>24178</v>
      </c>
      <c r="V659" s="506">
        <f t="shared" si="261"/>
        <v>72616</v>
      </c>
      <c r="W659" s="510">
        <f t="shared" si="262"/>
        <v>69400</v>
      </c>
      <c r="X659" s="517"/>
      <c r="Y659" s="519"/>
      <c r="Z659" s="516"/>
      <c r="AA659" s="519"/>
      <c r="AB659" s="516"/>
      <c r="AC659" s="519"/>
      <c r="AD659" s="516"/>
      <c r="AE659" s="519"/>
      <c r="AF659" s="506">
        <f t="shared" si="263"/>
        <v>0</v>
      </c>
      <c r="AG659" s="507">
        <f t="shared" si="264"/>
        <v>0</v>
      </c>
      <c r="AH659" s="508">
        <f t="shared" si="265"/>
        <v>0</v>
      </c>
      <c r="AI659" s="508">
        <f t="shared" si="266"/>
        <v>0</v>
      </c>
      <c r="AJ659" s="516"/>
      <c r="AK659" s="519"/>
      <c r="AL659" s="506">
        <f t="shared" si="267"/>
        <v>0</v>
      </c>
      <c r="AM659" s="509">
        <f t="shared" si="268"/>
        <v>0</v>
      </c>
      <c r="AN659" s="518"/>
      <c r="AO659" s="520"/>
      <c r="AP659" s="516">
        <v>0</v>
      </c>
      <c r="AQ659" s="520">
        <v>0</v>
      </c>
      <c r="AR659" s="516">
        <v>0</v>
      </c>
      <c r="AS659" s="520">
        <v>0</v>
      </c>
      <c r="AT659" s="516">
        <v>0</v>
      </c>
      <c r="AU659" s="520">
        <v>0</v>
      </c>
      <c r="AV659" s="506">
        <f t="shared" si="269"/>
        <v>0</v>
      </c>
      <c r="AW659" s="511">
        <f t="shared" si="270"/>
        <v>0</v>
      </c>
      <c r="AX659" s="508">
        <f t="shared" si="271"/>
        <v>0</v>
      </c>
      <c r="AY659" s="512">
        <f t="shared" si="272"/>
        <v>0</v>
      </c>
      <c r="AZ659" s="513">
        <f t="shared" si="273"/>
        <v>2420.5333333333333</v>
      </c>
      <c r="BA659" s="508">
        <f t="shared" si="274"/>
        <v>2313.3333333333335</v>
      </c>
    </row>
    <row r="660" spans="1:53">
      <c r="A660" s="773" t="s">
        <v>918</v>
      </c>
      <c r="B660" s="789" t="s">
        <v>950</v>
      </c>
      <c r="C660" s="788"/>
      <c r="D660" s="773">
        <v>231873</v>
      </c>
      <c r="E660" s="776">
        <v>10</v>
      </c>
      <c r="F660" s="514" t="s">
        <v>41</v>
      </c>
      <c r="G660" s="515" t="s">
        <v>41</v>
      </c>
      <c r="H660" s="516"/>
      <c r="I660" s="519"/>
      <c r="J660" s="516">
        <v>11099</v>
      </c>
      <c r="K660" s="519">
        <v>11160</v>
      </c>
      <c r="L660" s="516">
        <v>2749</v>
      </c>
      <c r="M660" s="519">
        <v>2900</v>
      </c>
      <c r="N660" s="516">
        <v>12784</v>
      </c>
      <c r="O660" s="519">
        <v>11931</v>
      </c>
      <c r="P660" s="506">
        <f t="shared" si="257"/>
        <v>26632</v>
      </c>
      <c r="Q660" s="507">
        <f t="shared" si="258"/>
        <v>887.73333333333335</v>
      </c>
      <c r="R660" s="508">
        <f t="shared" si="259"/>
        <v>25991</v>
      </c>
      <c r="S660" s="509">
        <f t="shared" si="260"/>
        <v>866.36666666666667</v>
      </c>
      <c r="T660" s="516">
        <v>8949</v>
      </c>
      <c r="U660" s="519">
        <v>9103</v>
      </c>
      <c r="V660" s="506">
        <f t="shared" si="261"/>
        <v>26632</v>
      </c>
      <c r="W660" s="510">
        <f t="shared" si="262"/>
        <v>25991</v>
      </c>
      <c r="X660" s="517"/>
      <c r="Y660" s="519"/>
      <c r="Z660" s="516"/>
      <c r="AA660" s="519"/>
      <c r="AB660" s="516"/>
      <c r="AC660" s="519"/>
      <c r="AD660" s="516"/>
      <c r="AE660" s="519"/>
      <c r="AF660" s="506">
        <f t="shared" si="263"/>
        <v>0</v>
      </c>
      <c r="AG660" s="507">
        <f t="shared" si="264"/>
        <v>0</v>
      </c>
      <c r="AH660" s="508">
        <f t="shared" si="265"/>
        <v>0</v>
      </c>
      <c r="AI660" s="508">
        <f t="shared" si="266"/>
        <v>0</v>
      </c>
      <c r="AJ660" s="516"/>
      <c r="AK660" s="519"/>
      <c r="AL660" s="506">
        <f t="shared" si="267"/>
        <v>0</v>
      </c>
      <c r="AM660" s="509">
        <f t="shared" si="268"/>
        <v>0</v>
      </c>
      <c r="AN660" s="518"/>
      <c r="AO660" s="520"/>
      <c r="AP660" s="516">
        <v>0</v>
      </c>
      <c r="AQ660" s="520">
        <v>0</v>
      </c>
      <c r="AR660" s="516">
        <v>0</v>
      </c>
      <c r="AS660" s="520">
        <v>0</v>
      </c>
      <c r="AT660" s="516">
        <v>0</v>
      </c>
      <c r="AU660" s="520">
        <v>0</v>
      </c>
      <c r="AV660" s="506">
        <f t="shared" si="269"/>
        <v>0</v>
      </c>
      <c r="AW660" s="511">
        <f t="shared" si="270"/>
        <v>0</v>
      </c>
      <c r="AX660" s="508">
        <f t="shared" si="271"/>
        <v>0</v>
      </c>
      <c r="AY660" s="512">
        <f t="shared" si="272"/>
        <v>0</v>
      </c>
      <c r="AZ660" s="513">
        <f t="shared" si="273"/>
        <v>887.73333333333335</v>
      </c>
      <c r="BA660" s="508">
        <f t="shared" si="274"/>
        <v>866.36666666666667</v>
      </c>
    </row>
    <row r="661" spans="1:53">
      <c r="A661" s="773" t="s">
        <v>918</v>
      </c>
      <c r="B661" s="789" t="s">
        <v>951</v>
      </c>
      <c r="C661" s="788"/>
      <c r="D661" s="773">
        <v>232052</v>
      </c>
      <c r="E661" s="776">
        <v>10</v>
      </c>
      <c r="F661" s="514" t="s">
        <v>41</v>
      </c>
      <c r="G661" s="515" t="s">
        <v>41</v>
      </c>
      <c r="H661" s="516"/>
      <c r="I661" s="519"/>
      <c r="J661" s="516">
        <v>9373</v>
      </c>
      <c r="K661" s="519">
        <v>8578</v>
      </c>
      <c r="L661" s="516">
        <v>1746</v>
      </c>
      <c r="M661" s="519">
        <v>1516</v>
      </c>
      <c r="N661" s="516">
        <v>9093</v>
      </c>
      <c r="O661" s="519">
        <v>8341</v>
      </c>
      <c r="P661" s="506">
        <f t="shared" si="257"/>
        <v>20212</v>
      </c>
      <c r="Q661" s="507">
        <f t="shared" si="258"/>
        <v>673.73333333333335</v>
      </c>
      <c r="R661" s="508">
        <f t="shared" si="259"/>
        <v>18435</v>
      </c>
      <c r="S661" s="509">
        <f t="shared" si="260"/>
        <v>614.5</v>
      </c>
      <c r="T661" s="516">
        <v>5181</v>
      </c>
      <c r="U661" s="519">
        <v>4877</v>
      </c>
      <c r="V661" s="506">
        <f t="shared" si="261"/>
        <v>20212</v>
      </c>
      <c r="W661" s="510">
        <f t="shared" si="262"/>
        <v>18435</v>
      </c>
      <c r="X661" s="517"/>
      <c r="Y661" s="519"/>
      <c r="Z661" s="516"/>
      <c r="AA661" s="519"/>
      <c r="AB661" s="516"/>
      <c r="AC661" s="519"/>
      <c r="AD661" s="516"/>
      <c r="AE661" s="519"/>
      <c r="AF661" s="506">
        <f t="shared" si="263"/>
        <v>0</v>
      </c>
      <c r="AG661" s="507">
        <f t="shared" si="264"/>
        <v>0</v>
      </c>
      <c r="AH661" s="508">
        <f t="shared" si="265"/>
        <v>0</v>
      </c>
      <c r="AI661" s="508">
        <f t="shared" si="266"/>
        <v>0</v>
      </c>
      <c r="AJ661" s="516"/>
      <c r="AK661" s="519"/>
      <c r="AL661" s="506">
        <f t="shared" si="267"/>
        <v>0</v>
      </c>
      <c r="AM661" s="509">
        <f t="shared" si="268"/>
        <v>0</v>
      </c>
      <c r="AN661" s="518"/>
      <c r="AO661" s="520"/>
      <c r="AP661" s="516">
        <v>0</v>
      </c>
      <c r="AQ661" s="520">
        <v>0</v>
      </c>
      <c r="AR661" s="516">
        <v>0</v>
      </c>
      <c r="AS661" s="520">
        <v>0</v>
      </c>
      <c r="AT661" s="516">
        <v>0</v>
      </c>
      <c r="AU661" s="520">
        <v>0</v>
      </c>
      <c r="AV661" s="506">
        <f t="shared" si="269"/>
        <v>0</v>
      </c>
      <c r="AW661" s="511">
        <f t="shared" si="270"/>
        <v>0</v>
      </c>
      <c r="AX661" s="508">
        <f t="shared" si="271"/>
        <v>0</v>
      </c>
      <c r="AY661" s="512">
        <f t="shared" si="272"/>
        <v>0</v>
      </c>
      <c r="AZ661" s="513">
        <f t="shared" si="273"/>
        <v>673.73333333333335</v>
      </c>
      <c r="BA661" s="508">
        <f t="shared" si="274"/>
        <v>614.5</v>
      </c>
    </row>
    <row r="662" spans="1:53">
      <c r="A662" s="773" t="s">
        <v>918</v>
      </c>
      <c r="B662" s="789" t="s">
        <v>952</v>
      </c>
      <c r="C662" s="812" t="s">
        <v>651</v>
      </c>
      <c r="D662" s="773">
        <v>232788</v>
      </c>
      <c r="E662" s="794">
        <v>9</v>
      </c>
      <c r="F662" s="514" t="s">
        <v>41</v>
      </c>
      <c r="G662" s="515" t="s">
        <v>41</v>
      </c>
      <c r="H662" s="516"/>
      <c r="I662" s="519"/>
      <c r="J662" s="516">
        <v>27184</v>
      </c>
      <c r="K662" s="519">
        <v>25521</v>
      </c>
      <c r="L662" s="516">
        <v>8105</v>
      </c>
      <c r="M662" s="519">
        <v>7806</v>
      </c>
      <c r="N662" s="516">
        <v>29806</v>
      </c>
      <c r="O662" s="519">
        <v>28344</v>
      </c>
      <c r="P662" s="506">
        <f t="shared" si="257"/>
        <v>65095</v>
      </c>
      <c r="Q662" s="507">
        <f t="shared" si="258"/>
        <v>2169.8333333333335</v>
      </c>
      <c r="R662" s="508">
        <f t="shared" si="259"/>
        <v>61671</v>
      </c>
      <c r="S662" s="509">
        <f t="shared" si="260"/>
        <v>2055.6999999999998</v>
      </c>
      <c r="T662" s="516">
        <v>20685</v>
      </c>
      <c r="U662" s="519">
        <v>19970</v>
      </c>
      <c r="V662" s="506">
        <f t="shared" si="261"/>
        <v>65095</v>
      </c>
      <c r="W662" s="510">
        <f t="shared" si="262"/>
        <v>61671</v>
      </c>
      <c r="X662" s="517"/>
      <c r="Y662" s="519"/>
      <c r="Z662" s="516"/>
      <c r="AA662" s="519"/>
      <c r="AB662" s="516"/>
      <c r="AC662" s="519"/>
      <c r="AD662" s="516"/>
      <c r="AE662" s="519"/>
      <c r="AF662" s="506">
        <f t="shared" si="263"/>
        <v>0</v>
      </c>
      <c r="AG662" s="507">
        <f t="shared" si="264"/>
        <v>0</v>
      </c>
      <c r="AH662" s="508">
        <f t="shared" si="265"/>
        <v>0</v>
      </c>
      <c r="AI662" s="508">
        <f t="shared" si="266"/>
        <v>0</v>
      </c>
      <c r="AJ662" s="516"/>
      <c r="AK662" s="519"/>
      <c r="AL662" s="506">
        <f t="shared" si="267"/>
        <v>0</v>
      </c>
      <c r="AM662" s="509">
        <f t="shared" si="268"/>
        <v>0</v>
      </c>
      <c r="AN662" s="518"/>
      <c r="AO662" s="520"/>
      <c r="AP662" s="516">
        <v>0</v>
      </c>
      <c r="AQ662" s="520">
        <v>0</v>
      </c>
      <c r="AR662" s="516">
        <v>0</v>
      </c>
      <c r="AS662" s="520">
        <v>0</v>
      </c>
      <c r="AT662" s="516">
        <v>0</v>
      </c>
      <c r="AU662" s="520">
        <v>0</v>
      </c>
      <c r="AV662" s="506">
        <f t="shared" si="269"/>
        <v>0</v>
      </c>
      <c r="AW662" s="511">
        <f t="shared" si="270"/>
        <v>0</v>
      </c>
      <c r="AX662" s="508">
        <f t="shared" si="271"/>
        <v>0</v>
      </c>
      <c r="AY662" s="512">
        <f t="shared" si="272"/>
        <v>0</v>
      </c>
      <c r="AZ662" s="513">
        <f t="shared" si="273"/>
        <v>2169.8333333333335</v>
      </c>
      <c r="BA662" s="508">
        <f t="shared" si="274"/>
        <v>2055.6999999999998</v>
      </c>
    </row>
    <row r="663" spans="1:53">
      <c r="A663" s="773" t="s">
        <v>918</v>
      </c>
      <c r="B663" s="789" t="s">
        <v>953</v>
      </c>
      <c r="C663" s="788"/>
      <c r="D663" s="773">
        <v>233037</v>
      </c>
      <c r="E663" s="776">
        <v>10</v>
      </c>
      <c r="F663" s="514" t="s">
        <v>41</v>
      </c>
      <c r="G663" s="515" t="s">
        <v>41</v>
      </c>
      <c r="H663" s="516"/>
      <c r="I663" s="519"/>
      <c r="J663" s="516">
        <v>13573</v>
      </c>
      <c r="K663" s="519">
        <v>13066</v>
      </c>
      <c r="L663" s="516">
        <v>5713</v>
      </c>
      <c r="M663" s="519">
        <v>5860</v>
      </c>
      <c r="N663" s="516">
        <v>13923</v>
      </c>
      <c r="O663" s="519">
        <v>11864</v>
      </c>
      <c r="P663" s="506">
        <f t="shared" si="257"/>
        <v>33209</v>
      </c>
      <c r="Q663" s="507">
        <f t="shared" si="258"/>
        <v>1106.9666666666667</v>
      </c>
      <c r="R663" s="508">
        <f t="shared" si="259"/>
        <v>30790</v>
      </c>
      <c r="S663" s="509">
        <f t="shared" si="260"/>
        <v>1026.3333333333333</v>
      </c>
      <c r="T663" s="516">
        <v>8874</v>
      </c>
      <c r="U663" s="519">
        <v>9500</v>
      </c>
      <c r="V663" s="506">
        <f t="shared" si="261"/>
        <v>33209</v>
      </c>
      <c r="W663" s="510">
        <f t="shared" si="262"/>
        <v>30790</v>
      </c>
      <c r="X663" s="517"/>
      <c r="Y663" s="519"/>
      <c r="Z663" s="516"/>
      <c r="AA663" s="519"/>
      <c r="AB663" s="516"/>
      <c r="AC663" s="519"/>
      <c r="AD663" s="516"/>
      <c r="AE663" s="519"/>
      <c r="AF663" s="506">
        <f t="shared" si="263"/>
        <v>0</v>
      </c>
      <c r="AG663" s="507">
        <f t="shared" si="264"/>
        <v>0</v>
      </c>
      <c r="AH663" s="508">
        <f t="shared" si="265"/>
        <v>0</v>
      </c>
      <c r="AI663" s="508">
        <f t="shared" si="266"/>
        <v>0</v>
      </c>
      <c r="AJ663" s="516"/>
      <c r="AK663" s="519"/>
      <c r="AL663" s="506">
        <f t="shared" si="267"/>
        <v>0</v>
      </c>
      <c r="AM663" s="509">
        <f t="shared" si="268"/>
        <v>0</v>
      </c>
      <c r="AN663" s="518"/>
      <c r="AO663" s="520"/>
      <c r="AP663" s="516">
        <v>0</v>
      </c>
      <c r="AQ663" s="520">
        <v>0</v>
      </c>
      <c r="AR663" s="516">
        <v>0</v>
      </c>
      <c r="AS663" s="520">
        <v>0</v>
      </c>
      <c r="AT663" s="516">
        <v>0</v>
      </c>
      <c r="AU663" s="520">
        <v>0</v>
      </c>
      <c r="AV663" s="506">
        <f t="shared" si="269"/>
        <v>0</v>
      </c>
      <c r="AW663" s="511">
        <f t="shared" si="270"/>
        <v>0</v>
      </c>
      <c r="AX663" s="508">
        <f t="shared" si="271"/>
        <v>0</v>
      </c>
      <c r="AY663" s="512">
        <f t="shared" si="272"/>
        <v>0</v>
      </c>
      <c r="AZ663" s="513">
        <f t="shared" si="273"/>
        <v>1106.9666666666667</v>
      </c>
      <c r="BA663" s="508">
        <f t="shared" si="274"/>
        <v>1026.3333333333333</v>
      </c>
    </row>
    <row r="664" spans="1:53">
      <c r="A664" s="773" t="s">
        <v>918</v>
      </c>
      <c r="B664" s="789" t="s">
        <v>954</v>
      </c>
      <c r="C664" s="788" t="s">
        <v>363</v>
      </c>
      <c r="D664" s="773">
        <v>233310</v>
      </c>
      <c r="E664" s="776">
        <v>10</v>
      </c>
      <c r="F664" s="514" t="s">
        <v>41</v>
      </c>
      <c r="G664" s="515" t="s">
        <v>41</v>
      </c>
      <c r="H664" s="516"/>
      <c r="I664" s="519"/>
      <c r="J664" s="516">
        <v>26314</v>
      </c>
      <c r="K664" s="519">
        <v>26560</v>
      </c>
      <c r="L664" s="516">
        <v>6466</v>
      </c>
      <c r="M664" s="519">
        <v>7115</v>
      </c>
      <c r="N664" s="516">
        <v>28026</v>
      </c>
      <c r="O664" s="519">
        <v>28562</v>
      </c>
      <c r="P664" s="506">
        <f t="shared" si="257"/>
        <v>60806</v>
      </c>
      <c r="Q664" s="507">
        <f t="shared" si="258"/>
        <v>2026.8666666666666</v>
      </c>
      <c r="R664" s="508">
        <f t="shared" si="259"/>
        <v>62237</v>
      </c>
      <c r="S664" s="509">
        <f t="shared" si="260"/>
        <v>2074.5666666666666</v>
      </c>
      <c r="T664" s="516">
        <v>39065</v>
      </c>
      <c r="U664" s="519">
        <v>41490</v>
      </c>
      <c r="V664" s="506">
        <f t="shared" si="261"/>
        <v>60806</v>
      </c>
      <c r="W664" s="510">
        <f t="shared" si="262"/>
        <v>62237</v>
      </c>
      <c r="X664" s="517"/>
      <c r="Y664" s="519"/>
      <c r="Z664" s="516"/>
      <c r="AA664" s="519"/>
      <c r="AB664" s="516"/>
      <c r="AC664" s="519"/>
      <c r="AD664" s="516"/>
      <c r="AE664" s="519"/>
      <c r="AF664" s="506">
        <f t="shared" si="263"/>
        <v>0</v>
      </c>
      <c r="AG664" s="507">
        <f t="shared" si="264"/>
        <v>0</v>
      </c>
      <c r="AH664" s="508">
        <f t="shared" si="265"/>
        <v>0</v>
      </c>
      <c r="AI664" s="508">
        <f t="shared" si="266"/>
        <v>0</v>
      </c>
      <c r="AJ664" s="516"/>
      <c r="AK664" s="519"/>
      <c r="AL664" s="506">
        <f t="shared" si="267"/>
        <v>0</v>
      </c>
      <c r="AM664" s="509">
        <f t="shared" si="268"/>
        <v>0</v>
      </c>
      <c r="AN664" s="518"/>
      <c r="AO664" s="520"/>
      <c r="AP664" s="516">
        <v>0</v>
      </c>
      <c r="AQ664" s="520">
        <v>0</v>
      </c>
      <c r="AR664" s="516">
        <v>0</v>
      </c>
      <c r="AS664" s="520">
        <v>0</v>
      </c>
      <c r="AT664" s="516">
        <v>0</v>
      </c>
      <c r="AU664" s="520">
        <v>0</v>
      </c>
      <c r="AV664" s="506">
        <f t="shared" si="269"/>
        <v>0</v>
      </c>
      <c r="AW664" s="511">
        <f t="shared" si="270"/>
        <v>0</v>
      </c>
      <c r="AX664" s="508">
        <f t="shared" si="271"/>
        <v>0</v>
      </c>
      <c r="AY664" s="512">
        <f t="shared" si="272"/>
        <v>0</v>
      </c>
      <c r="AZ664" s="513">
        <f t="shared" si="273"/>
        <v>2026.8666666666666</v>
      </c>
      <c r="BA664" s="508">
        <f t="shared" si="274"/>
        <v>2074.5666666666666</v>
      </c>
    </row>
    <row r="665" spans="1:53">
      <c r="A665" s="773" t="s">
        <v>918</v>
      </c>
      <c r="B665" s="795" t="s">
        <v>955</v>
      </c>
      <c r="C665" s="788"/>
      <c r="D665" s="773">
        <v>233338</v>
      </c>
      <c r="E665" s="776">
        <v>10</v>
      </c>
      <c r="F665" s="514" t="s">
        <v>41</v>
      </c>
      <c r="G665" s="515" t="s">
        <v>41</v>
      </c>
      <c r="H665" s="516"/>
      <c r="I665" s="519"/>
      <c r="J665" s="516">
        <v>15096</v>
      </c>
      <c r="K665" s="519">
        <v>15080</v>
      </c>
      <c r="L665" s="516">
        <v>2853</v>
      </c>
      <c r="M665" s="519">
        <v>2691</v>
      </c>
      <c r="N665" s="516">
        <v>17304</v>
      </c>
      <c r="O665" s="519">
        <v>16747</v>
      </c>
      <c r="P665" s="506">
        <f t="shared" si="257"/>
        <v>35253</v>
      </c>
      <c r="Q665" s="507">
        <f t="shared" si="258"/>
        <v>1175.0999999999999</v>
      </c>
      <c r="R665" s="508">
        <f t="shared" si="259"/>
        <v>34518</v>
      </c>
      <c r="S665" s="509">
        <f t="shared" si="260"/>
        <v>1150.5999999999999</v>
      </c>
      <c r="T665" s="516">
        <v>4287</v>
      </c>
      <c r="U665" s="519">
        <v>4931</v>
      </c>
      <c r="V665" s="506">
        <f t="shared" si="261"/>
        <v>35253</v>
      </c>
      <c r="W665" s="510">
        <f t="shared" si="262"/>
        <v>34518</v>
      </c>
      <c r="X665" s="517"/>
      <c r="Y665" s="519"/>
      <c r="Z665" s="516"/>
      <c r="AA665" s="519"/>
      <c r="AB665" s="516"/>
      <c r="AC665" s="519"/>
      <c r="AD665" s="516"/>
      <c r="AE665" s="519"/>
      <c r="AF665" s="506">
        <f t="shared" si="263"/>
        <v>0</v>
      </c>
      <c r="AG665" s="507">
        <f t="shared" si="264"/>
        <v>0</v>
      </c>
      <c r="AH665" s="508">
        <f t="shared" si="265"/>
        <v>0</v>
      </c>
      <c r="AI665" s="508">
        <f t="shared" si="266"/>
        <v>0</v>
      </c>
      <c r="AJ665" s="516"/>
      <c r="AK665" s="519"/>
      <c r="AL665" s="506">
        <f t="shared" si="267"/>
        <v>0</v>
      </c>
      <c r="AM665" s="509">
        <f t="shared" si="268"/>
        <v>0</v>
      </c>
      <c r="AN665" s="518"/>
      <c r="AO665" s="520"/>
      <c r="AP665" s="516">
        <v>0</v>
      </c>
      <c r="AQ665" s="520">
        <v>0</v>
      </c>
      <c r="AR665" s="516">
        <v>0</v>
      </c>
      <c r="AS665" s="520">
        <v>0</v>
      </c>
      <c r="AT665" s="516">
        <v>0</v>
      </c>
      <c r="AU665" s="520">
        <v>0</v>
      </c>
      <c r="AV665" s="506">
        <f t="shared" si="269"/>
        <v>0</v>
      </c>
      <c r="AW665" s="511">
        <f t="shared" si="270"/>
        <v>0</v>
      </c>
      <c r="AX665" s="508">
        <f t="shared" si="271"/>
        <v>0</v>
      </c>
      <c r="AY665" s="512">
        <f t="shared" si="272"/>
        <v>0</v>
      </c>
      <c r="AZ665" s="513">
        <f t="shared" si="273"/>
        <v>1175.0999999999999</v>
      </c>
      <c r="BA665" s="508">
        <f t="shared" si="274"/>
        <v>1150.5999999999999</v>
      </c>
    </row>
    <row r="666" spans="1:53">
      <c r="A666" s="773" t="s">
        <v>918</v>
      </c>
      <c r="B666" s="789" t="s">
        <v>956</v>
      </c>
      <c r="C666" s="788"/>
      <c r="D666" s="773">
        <v>233903</v>
      </c>
      <c r="E666" s="776">
        <v>10</v>
      </c>
      <c r="F666" s="514" t="s">
        <v>41</v>
      </c>
      <c r="G666" s="515" t="s">
        <v>41</v>
      </c>
      <c r="H666" s="516"/>
      <c r="I666" s="519"/>
      <c r="J666" s="516">
        <v>23290</v>
      </c>
      <c r="K666" s="519">
        <v>22800</v>
      </c>
      <c r="L666" s="516">
        <v>5333</v>
      </c>
      <c r="M666" s="519">
        <v>5927</v>
      </c>
      <c r="N666" s="516">
        <v>26350</v>
      </c>
      <c r="O666" s="519">
        <v>23828</v>
      </c>
      <c r="P666" s="506">
        <f t="shared" si="257"/>
        <v>54973</v>
      </c>
      <c r="Q666" s="507">
        <f t="shared" si="258"/>
        <v>1832.4333333333334</v>
      </c>
      <c r="R666" s="508">
        <f t="shared" si="259"/>
        <v>52555</v>
      </c>
      <c r="S666" s="509">
        <f t="shared" si="260"/>
        <v>1751.8333333333333</v>
      </c>
      <c r="T666" s="516">
        <v>15623</v>
      </c>
      <c r="U666" s="519">
        <v>16077</v>
      </c>
      <c r="V666" s="506">
        <f t="shared" si="261"/>
        <v>54973</v>
      </c>
      <c r="W666" s="510">
        <f t="shared" si="262"/>
        <v>52555</v>
      </c>
      <c r="X666" s="517"/>
      <c r="Y666" s="519"/>
      <c r="Z666" s="516"/>
      <c r="AA666" s="519"/>
      <c r="AB666" s="516"/>
      <c r="AC666" s="519"/>
      <c r="AD666" s="516"/>
      <c r="AE666" s="519"/>
      <c r="AF666" s="506">
        <f t="shared" si="263"/>
        <v>0</v>
      </c>
      <c r="AG666" s="507">
        <f t="shared" si="264"/>
        <v>0</v>
      </c>
      <c r="AH666" s="508">
        <f t="shared" si="265"/>
        <v>0</v>
      </c>
      <c r="AI666" s="508">
        <f t="shared" si="266"/>
        <v>0</v>
      </c>
      <c r="AJ666" s="516"/>
      <c r="AK666" s="519"/>
      <c r="AL666" s="506">
        <f t="shared" si="267"/>
        <v>0</v>
      </c>
      <c r="AM666" s="509">
        <f t="shared" si="268"/>
        <v>0</v>
      </c>
      <c r="AN666" s="518"/>
      <c r="AO666" s="520"/>
      <c r="AP666" s="516">
        <v>0</v>
      </c>
      <c r="AQ666" s="520">
        <v>0</v>
      </c>
      <c r="AR666" s="516">
        <v>0</v>
      </c>
      <c r="AS666" s="520">
        <v>0</v>
      </c>
      <c r="AT666" s="516">
        <v>0</v>
      </c>
      <c r="AU666" s="520">
        <v>0</v>
      </c>
      <c r="AV666" s="506">
        <f t="shared" si="269"/>
        <v>0</v>
      </c>
      <c r="AW666" s="511">
        <f t="shared" si="270"/>
        <v>0</v>
      </c>
      <c r="AX666" s="508">
        <f t="shared" si="271"/>
        <v>0</v>
      </c>
      <c r="AY666" s="512">
        <f t="shared" si="272"/>
        <v>0</v>
      </c>
      <c r="AZ666" s="513">
        <f t="shared" si="273"/>
        <v>1832.4333333333334</v>
      </c>
      <c r="BA666" s="508">
        <f t="shared" si="274"/>
        <v>1751.8333333333333</v>
      </c>
    </row>
    <row r="667" spans="1:53">
      <c r="A667" s="773" t="s">
        <v>918</v>
      </c>
      <c r="B667" s="796"/>
      <c r="C667" s="797" t="s">
        <v>957</v>
      </c>
      <c r="D667" s="773"/>
      <c r="E667" s="798" t="s">
        <v>644</v>
      </c>
      <c r="F667" s="514"/>
      <c r="G667" s="515"/>
      <c r="H667" s="516"/>
      <c r="I667" s="519"/>
      <c r="J667" s="516">
        <v>916791</v>
      </c>
      <c r="K667" s="799"/>
      <c r="L667" s="516">
        <v>337767</v>
      </c>
      <c r="M667" s="799"/>
      <c r="N667" s="516">
        <v>961980</v>
      </c>
      <c r="O667" s="799"/>
      <c r="P667" s="506">
        <f t="shared" si="257"/>
        <v>2216538</v>
      </c>
      <c r="Q667" s="507">
        <f t="shared" si="258"/>
        <v>73884.600000000006</v>
      </c>
      <c r="R667" s="508">
        <f t="shared" si="259"/>
        <v>0</v>
      </c>
      <c r="S667" s="509">
        <f t="shared" si="260"/>
        <v>0</v>
      </c>
      <c r="T667" s="516">
        <v>81589</v>
      </c>
      <c r="U667" s="799">
        <v>0</v>
      </c>
      <c r="V667" s="506">
        <f t="shared" si="261"/>
        <v>2216538</v>
      </c>
      <c r="W667" s="510">
        <f t="shared" si="262"/>
        <v>0</v>
      </c>
      <c r="X667" s="517"/>
      <c r="Y667" s="519"/>
      <c r="Z667" s="516"/>
      <c r="AA667" s="519"/>
      <c r="AB667" s="516"/>
      <c r="AC667" s="519"/>
      <c r="AD667" s="516"/>
      <c r="AE667" s="519"/>
      <c r="AF667" s="506">
        <f t="shared" si="263"/>
        <v>0</v>
      </c>
      <c r="AG667" s="507">
        <f t="shared" si="264"/>
        <v>0</v>
      </c>
      <c r="AH667" s="508">
        <f t="shared" si="265"/>
        <v>0</v>
      </c>
      <c r="AI667" s="508">
        <f t="shared" si="266"/>
        <v>0</v>
      </c>
      <c r="AJ667" s="516"/>
      <c r="AK667" s="519"/>
      <c r="AL667" s="506">
        <f t="shared" si="267"/>
        <v>0</v>
      </c>
      <c r="AM667" s="509">
        <f t="shared" si="268"/>
        <v>0</v>
      </c>
      <c r="AN667" s="518"/>
      <c r="AO667" s="520"/>
      <c r="AP667" s="516"/>
      <c r="AQ667" s="520">
        <v>0</v>
      </c>
      <c r="AR667" s="516"/>
      <c r="AS667" s="520">
        <v>0</v>
      </c>
      <c r="AT667" s="516"/>
      <c r="AU667" s="520">
        <v>0</v>
      </c>
      <c r="AV667" s="506">
        <f t="shared" si="269"/>
        <v>0</v>
      </c>
      <c r="AW667" s="511">
        <f t="shared" si="270"/>
        <v>0</v>
      </c>
      <c r="AX667" s="508">
        <f t="shared" si="271"/>
        <v>0</v>
      </c>
      <c r="AY667" s="512">
        <f t="shared" si="272"/>
        <v>0</v>
      </c>
      <c r="AZ667" s="513">
        <f t="shared" si="273"/>
        <v>73884.600000000006</v>
      </c>
      <c r="BA667" s="508">
        <f t="shared" si="274"/>
        <v>0</v>
      </c>
    </row>
    <row r="668" spans="1:53">
      <c r="A668" s="773" t="s">
        <v>918</v>
      </c>
      <c r="B668" s="800"/>
      <c r="C668" s="801" t="s">
        <v>958</v>
      </c>
      <c r="D668" s="773"/>
      <c r="E668" s="798" t="s">
        <v>646</v>
      </c>
      <c r="F668" s="514"/>
      <c r="G668" s="515"/>
      <c r="H668" s="516"/>
      <c r="I668" s="519"/>
      <c r="J668" s="516">
        <v>591242</v>
      </c>
      <c r="K668" s="799"/>
      <c r="L668" s="516">
        <v>169147</v>
      </c>
      <c r="M668" s="799"/>
      <c r="N668" s="516">
        <v>636010</v>
      </c>
      <c r="O668" s="799"/>
      <c r="P668" s="506">
        <f t="shared" si="257"/>
        <v>1396399</v>
      </c>
      <c r="Q668" s="507">
        <f t="shared" si="258"/>
        <v>46546.633333333331</v>
      </c>
      <c r="R668" s="508">
        <f t="shared" si="259"/>
        <v>0</v>
      </c>
      <c r="S668" s="509">
        <f t="shared" si="260"/>
        <v>0</v>
      </c>
      <c r="T668" s="516">
        <v>371173</v>
      </c>
      <c r="U668" s="799"/>
      <c r="V668" s="506">
        <f t="shared" si="261"/>
        <v>1396399</v>
      </c>
      <c r="W668" s="510">
        <f t="shared" si="262"/>
        <v>0</v>
      </c>
      <c r="X668" s="517"/>
      <c r="Y668" s="519"/>
      <c r="Z668" s="516"/>
      <c r="AA668" s="519"/>
      <c r="AB668" s="516"/>
      <c r="AC668" s="519"/>
      <c r="AD668" s="516"/>
      <c r="AE668" s="519"/>
      <c r="AF668" s="506">
        <f t="shared" si="263"/>
        <v>0</v>
      </c>
      <c r="AG668" s="507">
        <f t="shared" si="264"/>
        <v>0</v>
      </c>
      <c r="AH668" s="508">
        <f t="shared" si="265"/>
        <v>0</v>
      </c>
      <c r="AI668" s="508">
        <f t="shared" si="266"/>
        <v>0</v>
      </c>
      <c r="AJ668" s="516"/>
      <c r="AK668" s="519"/>
      <c r="AL668" s="506">
        <f t="shared" si="267"/>
        <v>0</v>
      </c>
      <c r="AM668" s="509">
        <f t="shared" si="268"/>
        <v>0</v>
      </c>
      <c r="AN668" s="518"/>
      <c r="AO668" s="520"/>
      <c r="AP668" s="516"/>
      <c r="AQ668" s="520"/>
      <c r="AR668" s="516"/>
      <c r="AS668" s="520"/>
      <c r="AT668" s="516"/>
      <c r="AU668" s="520"/>
      <c r="AV668" s="506">
        <f t="shared" si="269"/>
        <v>0</v>
      </c>
      <c r="AW668" s="511">
        <f t="shared" si="270"/>
        <v>0</v>
      </c>
      <c r="AX668" s="508">
        <f t="shared" si="271"/>
        <v>0</v>
      </c>
      <c r="AY668" s="512">
        <f t="shared" si="272"/>
        <v>0</v>
      </c>
      <c r="AZ668" s="513">
        <f t="shared" si="273"/>
        <v>46546.633333333331</v>
      </c>
      <c r="BA668" s="508">
        <f t="shared" si="274"/>
        <v>0</v>
      </c>
    </row>
    <row r="669" spans="1:53">
      <c r="A669" s="773" t="s">
        <v>918</v>
      </c>
      <c r="B669" s="802"/>
      <c r="C669" s="803" t="s">
        <v>959</v>
      </c>
      <c r="D669" s="773"/>
      <c r="E669" s="798" t="s">
        <v>145</v>
      </c>
      <c r="F669" s="514"/>
      <c r="G669" s="515"/>
      <c r="H669" s="516"/>
      <c r="I669" s="519"/>
      <c r="J669" s="516">
        <v>110833</v>
      </c>
      <c r="K669" s="799"/>
      <c r="L669" s="516">
        <v>30112</v>
      </c>
      <c r="M669" s="799"/>
      <c r="N669" s="516">
        <v>119982</v>
      </c>
      <c r="O669" s="799"/>
      <c r="P669" s="506">
        <f t="shared" si="257"/>
        <v>260927</v>
      </c>
      <c r="Q669" s="507">
        <f t="shared" si="258"/>
        <v>8697.5666666666675</v>
      </c>
      <c r="R669" s="508">
        <f t="shared" si="259"/>
        <v>0</v>
      </c>
      <c r="S669" s="509">
        <f t="shared" si="260"/>
        <v>0</v>
      </c>
      <c r="T669" s="516">
        <v>98377</v>
      </c>
      <c r="U669" s="799"/>
      <c r="V669" s="506">
        <f t="shared" si="261"/>
        <v>260927</v>
      </c>
      <c r="W669" s="510">
        <f t="shared" si="262"/>
        <v>0</v>
      </c>
      <c r="X669" s="517"/>
      <c r="Y669" s="519"/>
      <c r="Z669" s="516"/>
      <c r="AA669" s="519"/>
      <c r="AB669" s="516"/>
      <c r="AC669" s="519"/>
      <c r="AD669" s="516"/>
      <c r="AE669" s="519"/>
      <c r="AF669" s="506">
        <f t="shared" si="263"/>
        <v>0</v>
      </c>
      <c r="AG669" s="507">
        <f t="shared" si="264"/>
        <v>0</v>
      </c>
      <c r="AH669" s="508">
        <f t="shared" si="265"/>
        <v>0</v>
      </c>
      <c r="AI669" s="508">
        <f t="shared" si="266"/>
        <v>0</v>
      </c>
      <c r="AJ669" s="516"/>
      <c r="AK669" s="519"/>
      <c r="AL669" s="506">
        <f t="shared" si="267"/>
        <v>0</v>
      </c>
      <c r="AM669" s="509">
        <f t="shared" si="268"/>
        <v>0</v>
      </c>
      <c r="AN669" s="518"/>
      <c r="AO669" s="520"/>
      <c r="AP669" s="516"/>
      <c r="AQ669" s="520"/>
      <c r="AR669" s="516"/>
      <c r="AS669" s="520"/>
      <c r="AT669" s="516"/>
      <c r="AU669" s="520"/>
      <c r="AV669" s="506">
        <f t="shared" si="269"/>
        <v>0</v>
      </c>
      <c r="AW669" s="511">
        <f t="shared" si="270"/>
        <v>0</v>
      </c>
      <c r="AX669" s="508">
        <f t="shared" si="271"/>
        <v>0</v>
      </c>
      <c r="AY669" s="512">
        <f t="shared" si="272"/>
        <v>0</v>
      </c>
      <c r="AZ669" s="513">
        <f t="shared" si="273"/>
        <v>8697.5666666666675</v>
      </c>
      <c r="BA669" s="508">
        <f t="shared" si="274"/>
        <v>0</v>
      </c>
    </row>
    <row r="670" spans="1:53">
      <c r="A670" s="773" t="s">
        <v>918</v>
      </c>
      <c r="B670" s="804" t="s">
        <v>960</v>
      </c>
      <c r="C670" s="805"/>
      <c r="D670" s="773">
        <v>233338</v>
      </c>
      <c r="E670" s="798" t="s">
        <v>145</v>
      </c>
      <c r="F670" s="514" t="s">
        <v>41</v>
      </c>
      <c r="G670" s="515" t="s">
        <v>41</v>
      </c>
      <c r="H670" s="516"/>
      <c r="I670" s="806"/>
      <c r="J670" s="807">
        <v>26314</v>
      </c>
      <c r="K670" s="519"/>
      <c r="L670" s="807">
        <v>6466</v>
      </c>
      <c r="M670" s="519"/>
      <c r="N670" s="807">
        <v>28026</v>
      </c>
      <c r="O670" s="519"/>
      <c r="P670" s="506">
        <f t="shared" si="257"/>
        <v>60806</v>
      </c>
      <c r="Q670" s="507">
        <f t="shared" si="258"/>
        <v>2026.8666666666666</v>
      </c>
      <c r="R670" s="508">
        <f t="shared" si="259"/>
        <v>0</v>
      </c>
      <c r="S670" s="509">
        <f t="shared" si="260"/>
        <v>0</v>
      </c>
      <c r="T670" s="807">
        <v>39065</v>
      </c>
      <c r="U670" s="519"/>
      <c r="V670" s="506">
        <f t="shared" si="261"/>
        <v>60806</v>
      </c>
      <c r="W670" s="510">
        <f t="shared" si="262"/>
        <v>0</v>
      </c>
      <c r="X670" s="517"/>
      <c r="Y670" s="806"/>
      <c r="Z670" s="516"/>
      <c r="AA670" s="806"/>
      <c r="AB670" s="516"/>
      <c r="AC670" s="806"/>
      <c r="AD670" s="516"/>
      <c r="AE670" s="806"/>
      <c r="AF670" s="506">
        <f t="shared" si="263"/>
        <v>0</v>
      </c>
      <c r="AG670" s="507">
        <f t="shared" si="264"/>
        <v>0</v>
      </c>
      <c r="AH670" s="508">
        <f t="shared" si="265"/>
        <v>0</v>
      </c>
      <c r="AI670" s="508">
        <f t="shared" si="266"/>
        <v>0</v>
      </c>
      <c r="AJ670" s="516"/>
      <c r="AK670" s="806"/>
      <c r="AL670" s="506">
        <f t="shared" si="267"/>
        <v>0</v>
      </c>
      <c r="AM670" s="509">
        <f t="shared" si="268"/>
        <v>0</v>
      </c>
      <c r="AN670" s="518"/>
      <c r="AO670" s="808"/>
      <c r="AP670" s="516">
        <v>0</v>
      </c>
      <c r="AQ670" s="808"/>
      <c r="AR670" s="516"/>
      <c r="AS670" s="808"/>
      <c r="AT670" s="516"/>
      <c r="AU670" s="808"/>
      <c r="AV670" s="506">
        <f t="shared" si="269"/>
        <v>0</v>
      </c>
      <c r="AW670" s="511">
        <f t="shared" si="270"/>
        <v>0</v>
      </c>
      <c r="AX670" s="508">
        <f t="shared" si="271"/>
        <v>0</v>
      </c>
      <c r="AY670" s="512">
        <f t="shared" si="272"/>
        <v>0</v>
      </c>
      <c r="AZ670" s="513">
        <f t="shared" si="273"/>
        <v>2026.8666666666666</v>
      </c>
      <c r="BA670" s="508">
        <f t="shared" si="274"/>
        <v>0</v>
      </c>
    </row>
    <row r="671" spans="1:53">
      <c r="A671" s="773" t="s">
        <v>918</v>
      </c>
      <c r="B671" s="792" t="s">
        <v>961</v>
      </c>
      <c r="C671" s="793"/>
      <c r="D671" s="809" t="s">
        <v>962</v>
      </c>
      <c r="E671" s="810">
        <v>11</v>
      </c>
      <c r="F671" s="514" t="s">
        <v>41</v>
      </c>
      <c r="G671" s="515" t="s">
        <v>41</v>
      </c>
      <c r="H671" s="750"/>
      <c r="I671" s="811"/>
      <c r="J671" s="750">
        <v>1607648</v>
      </c>
      <c r="K671" s="811"/>
      <c r="L671" s="658">
        <v>533413</v>
      </c>
      <c r="M671" s="811"/>
      <c r="N671" s="658">
        <v>1707250</v>
      </c>
      <c r="O671" s="811"/>
      <c r="P671" s="506">
        <f t="shared" si="257"/>
        <v>3848311</v>
      </c>
      <c r="Q671" s="507">
        <f t="shared" si="258"/>
        <v>128277.03333333334</v>
      </c>
      <c r="R671" s="508">
        <f t="shared" si="259"/>
        <v>0</v>
      </c>
      <c r="S671" s="509">
        <f t="shared" si="260"/>
        <v>0</v>
      </c>
      <c r="T671" s="658">
        <v>516361</v>
      </c>
      <c r="U671" s="811"/>
      <c r="V671" s="506">
        <f t="shared" si="261"/>
        <v>3848311</v>
      </c>
      <c r="W671" s="510">
        <f t="shared" si="262"/>
        <v>0</v>
      </c>
      <c r="X671" s="517"/>
      <c r="Y671" s="806"/>
      <c r="Z671" s="516"/>
      <c r="AA671" s="806"/>
      <c r="AB671" s="516"/>
      <c r="AC671" s="806"/>
      <c r="AD671" s="516"/>
      <c r="AE671" s="806"/>
      <c r="AF671" s="506">
        <f t="shared" si="263"/>
        <v>0</v>
      </c>
      <c r="AG671" s="507">
        <f t="shared" si="264"/>
        <v>0</v>
      </c>
      <c r="AH671" s="508">
        <f t="shared" si="265"/>
        <v>0</v>
      </c>
      <c r="AI671" s="508">
        <f t="shared" si="266"/>
        <v>0</v>
      </c>
      <c r="AJ671" s="516"/>
      <c r="AK671" s="806"/>
      <c r="AL671" s="506">
        <f t="shared" si="267"/>
        <v>0</v>
      </c>
      <c r="AM671" s="509">
        <f t="shared" si="268"/>
        <v>0</v>
      </c>
      <c r="AN671" s="518"/>
      <c r="AO671" s="808"/>
      <c r="AP671" s="516"/>
      <c r="AQ671" s="808"/>
      <c r="AR671" s="516"/>
      <c r="AS671" s="808"/>
      <c r="AT671" s="516"/>
      <c r="AU671" s="808"/>
      <c r="AV671" s="506">
        <f t="shared" si="269"/>
        <v>0</v>
      </c>
      <c r="AW671" s="511">
        <f t="shared" si="270"/>
        <v>0</v>
      </c>
      <c r="AX671" s="508">
        <f t="shared" si="271"/>
        <v>0</v>
      </c>
      <c r="AY671" s="512">
        <f t="shared" si="272"/>
        <v>0</v>
      </c>
      <c r="AZ671" s="513">
        <f t="shared" si="273"/>
        <v>128277.03333333334</v>
      </c>
      <c r="BA671" s="508">
        <f t="shared" si="274"/>
        <v>0</v>
      </c>
    </row>
    <row r="672" spans="1:53">
      <c r="A672" s="569" t="s">
        <v>429</v>
      </c>
      <c r="B672" s="570" t="s">
        <v>430</v>
      </c>
      <c r="C672" s="599"/>
      <c r="D672" s="600">
        <v>238032</v>
      </c>
      <c r="E672" s="600">
        <v>1</v>
      </c>
      <c r="F672" s="514" t="s">
        <v>41</v>
      </c>
      <c r="G672" s="515" t="s">
        <v>41</v>
      </c>
      <c r="H672" s="516"/>
      <c r="I672" s="519"/>
      <c r="J672" s="516">
        <v>292311</v>
      </c>
      <c r="K672" s="519">
        <v>296949</v>
      </c>
      <c r="L672" s="516">
        <v>40962</v>
      </c>
      <c r="M672" s="519">
        <v>41146</v>
      </c>
      <c r="N672" s="516">
        <v>322365</v>
      </c>
      <c r="O672" s="519">
        <v>323322</v>
      </c>
      <c r="P672" s="506">
        <f t="shared" si="257"/>
        <v>655638</v>
      </c>
      <c r="Q672" s="507">
        <f t="shared" si="258"/>
        <v>21854.6</v>
      </c>
      <c r="R672" s="508">
        <f t="shared" si="259"/>
        <v>661417</v>
      </c>
      <c r="S672" s="509">
        <f t="shared" si="260"/>
        <v>22047.233333333334</v>
      </c>
      <c r="T672" s="516">
        <v>3023</v>
      </c>
      <c r="U672" s="519">
        <v>3343</v>
      </c>
      <c r="V672" s="506">
        <f t="shared" si="261"/>
        <v>655638</v>
      </c>
      <c r="W672" s="510">
        <f t="shared" si="262"/>
        <v>661417</v>
      </c>
      <c r="X672" s="517"/>
      <c r="Y672" s="519"/>
      <c r="Z672" s="516"/>
      <c r="AA672" s="519"/>
      <c r="AB672" s="516"/>
      <c r="AC672" s="519"/>
      <c r="AD672" s="516"/>
      <c r="AE672" s="519"/>
      <c r="AF672" s="506">
        <f t="shared" si="263"/>
        <v>0</v>
      </c>
      <c r="AG672" s="507">
        <f t="shared" si="264"/>
        <v>0</v>
      </c>
      <c r="AH672" s="508">
        <f t="shared" si="265"/>
        <v>0</v>
      </c>
      <c r="AI672" s="508">
        <f t="shared" si="266"/>
        <v>0</v>
      </c>
      <c r="AJ672" s="516"/>
      <c r="AK672" s="519"/>
      <c r="AL672" s="506">
        <f t="shared" si="267"/>
        <v>0</v>
      </c>
      <c r="AM672" s="509">
        <f t="shared" si="268"/>
        <v>0</v>
      </c>
      <c r="AN672" s="518"/>
      <c r="AO672" s="520"/>
      <c r="AP672" s="516">
        <v>50008</v>
      </c>
      <c r="AQ672" s="520">
        <v>48168</v>
      </c>
      <c r="AR672" s="516">
        <v>19728</v>
      </c>
      <c r="AS672" s="520">
        <v>19500</v>
      </c>
      <c r="AT672" s="516">
        <v>48627</v>
      </c>
      <c r="AU672" s="520">
        <v>49007</v>
      </c>
      <c r="AV672" s="506">
        <f t="shared" si="269"/>
        <v>118363</v>
      </c>
      <c r="AW672" s="511">
        <f t="shared" si="270"/>
        <v>4931.791666666667</v>
      </c>
      <c r="AX672" s="508">
        <f t="shared" si="271"/>
        <v>116675</v>
      </c>
      <c r="AY672" s="512">
        <f t="shared" si="272"/>
        <v>4861.458333333333</v>
      </c>
      <c r="AZ672" s="513">
        <f t="shared" si="273"/>
        <v>26786.391666666666</v>
      </c>
      <c r="BA672" s="508">
        <f t="shared" si="274"/>
        <v>26908.691666666666</v>
      </c>
    </row>
    <row r="673" spans="1:53">
      <c r="A673" s="600" t="s">
        <v>429</v>
      </c>
      <c r="B673" s="570" t="s">
        <v>431</v>
      </c>
      <c r="C673" s="599"/>
      <c r="D673" s="600">
        <v>237525</v>
      </c>
      <c r="E673" s="600">
        <v>3</v>
      </c>
      <c r="F673" s="514" t="s">
        <v>41</v>
      </c>
      <c r="G673" s="515" t="s">
        <v>41</v>
      </c>
      <c r="H673" s="516"/>
      <c r="I673" s="519"/>
      <c r="J673" s="516">
        <v>119513</v>
      </c>
      <c r="K673" s="519">
        <v>116953</v>
      </c>
      <c r="L673" s="516">
        <v>19524</v>
      </c>
      <c r="M673" s="519">
        <v>16461</v>
      </c>
      <c r="N673" s="516">
        <v>131409</v>
      </c>
      <c r="O673" s="519">
        <v>130646</v>
      </c>
      <c r="P673" s="506">
        <f t="shared" ref="P673:P675" si="275">SUM(H673,J673,L673,N673)</f>
        <v>270446</v>
      </c>
      <c r="Q673" s="507">
        <f t="shared" ref="Q673:Q675" si="276">+P673/30</f>
        <v>9014.8666666666668</v>
      </c>
      <c r="R673" s="508">
        <f t="shared" ref="R673:R675" si="277">SUM(I673,K673,M673,O673)</f>
        <v>264060</v>
      </c>
      <c r="S673" s="509">
        <f t="shared" ref="S673:S675" si="278">+R673/30</f>
        <v>8802</v>
      </c>
      <c r="T673" s="516">
        <v>4055</v>
      </c>
      <c r="U673" s="519">
        <v>4215</v>
      </c>
      <c r="V673" s="506">
        <f t="shared" ref="V673:V677" si="279">IF(ISBLANK(T673),0,P673)</f>
        <v>270446</v>
      </c>
      <c r="W673" s="510">
        <f t="shared" ref="W673:W677" si="280">IF(ISBLANK(U673),0,R673)</f>
        <v>264060</v>
      </c>
      <c r="X673" s="517"/>
      <c r="Y673" s="519"/>
      <c r="Z673" s="516"/>
      <c r="AA673" s="519"/>
      <c r="AB673" s="516"/>
      <c r="AC673" s="519"/>
      <c r="AD673" s="516"/>
      <c r="AE673" s="519"/>
      <c r="AF673" s="506">
        <f t="shared" ref="AF673:AF675" si="281">SUM(X673,Z673,AB673,AD673)</f>
        <v>0</v>
      </c>
      <c r="AG673" s="507">
        <f t="shared" ref="AG673:AG675" si="282">+AF673/900</f>
        <v>0</v>
      </c>
      <c r="AH673" s="508">
        <f t="shared" ref="AH673:AH675" si="283">SUM(Y673,AA673,AC673,AE673)</f>
        <v>0</v>
      </c>
      <c r="AI673" s="508">
        <f t="shared" ref="AI673:AI675" si="284">+AH673/900</f>
        <v>0</v>
      </c>
      <c r="AJ673" s="516"/>
      <c r="AK673" s="519"/>
      <c r="AL673" s="506">
        <f t="shared" ref="AL673:AL678" si="285">IF(ISBLANK(AJ673),0,AF673)</f>
        <v>0</v>
      </c>
      <c r="AM673" s="509">
        <f t="shared" ref="AM673:AM678" si="286">IF(ISBLANK(AK673),0,AH673)</f>
        <v>0</v>
      </c>
      <c r="AN673" s="518"/>
      <c r="AO673" s="520"/>
      <c r="AP673" s="516">
        <v>24072</v>
      </c>
      <c r="AQ673" s="520">
        <v>22002</v>
      </c>
      <c r="AR673" s="516">
        <v>12682</v>
      </c>
      <c r="AS673" s="520">
        <v>11103</v>
      </c>
      <c r="AT673" s="516">
        <v>21984</v>
      </c>
      <c r="AU673" s="520">
        <v>22379</v>
      </c>
      <c r="AV673" s="506">
        <f t="shared" ref="AV673:AV677" si="287">SUM(AN673,AP673,AR673,AT673)</f>
        <v>58738</v>
      </c>
      <c r="AW673" s="511">
        <f t="shared" ref="AW673:AW677" si="288">+AV673/24</f>
        <v>2447.4166666666665</v>
      </c>
      <c r="AX673" s="508">
        <f t="shared" ref="AX673:AX677" si="289">SUM(AO673,AQ673,AS673,AU673)</f>
        <v>55484</v>
      </c>
      <c r="AY673" s="512">
        <f t="shared" ref="AY673:AY677" si="290">+AX673/24</f>
        <v>2311.8333333333335</v>
      </c>
      <c r="AZ673" s="513">
        <f t="shared" ref="AZ673:AZ677" si="291">SUM(Q673,AG673,AW673)</f>
        <v>11462.283333333333</v>
      </c>
      <c r="BA673" s="508">
        <f t="shared" ref="BA673:BA677" si="292">SUM(S673,AI673,AY673)</f>
        <v>11113.833333333334</v>
      </c>
    </row>
    <row r="674" spans="1:53">
      <c r="A674" s="600" t="s">
        <v>429</v>
      </c>
      <c r="B674" s="570" t="s">
        <v>432</v>
      </c>
      <c r="C674" s="599"/>
      <c r="D674" s="600">
        <v>237367</v>
      </c>
      <c r="E674" s="600">
        <v>5</v>
      </c>
      <c r="F674" s="514" t="s">
        <v>41</v>
      </c>
      <c r="G674" s="515" t="s">
        <v>41</v>
      </c>
      <c r="H674" s="516"/>
      <c r="I674" s="519"/>
      <c r="J674" s="516">
        <v>54393</v>
      </c>
      <c r="K674" s="519">
        <v>52632</v>
      </c>
      <c r="L674" s="516">
        <v>7303</v>
      </c>
      <c r="M674" s="519">
        <v>6860</v>
      </c>
      <c r="N674" s="516">
        <v>57398</v>
      </c>
      <c r="O674" s="519">
        <v>56311</v>
      </c>
      <c r="P674" s="506">
        <f t="shared" si="275"/>
        <v>119094</v>
      </c>
      <c r="Q674" s="507">
        <f t="shared" si="276"/>
        <v>3969.8</v>
      </c>
      <c r="R674" s="508">
        <f t="shared" si="277"/>
        <v>115803</v>
      </c>
      <c r="S674" s="509">
        <f t="shared" si="278"/>
        <v>3860.1</v>
      </c>
      <c r="T674" s="516">
        <v>55</v>
      </c>
      <c r="U674" s="519">
        <v>36</v>
      </c>
      <c r="V674" s="506">
        <f t="shared" si="279"/>
        <v>119094</v>
      </c>
      <c r="W674" s="510">
        <f t="shared" si="280"/>
        <v>115803</v>
      </c>
      <c r="X674" s="517"/>
      <c r="Y674" s="519"/>
      <c r="Z674" s="516"/>
      <c r="AA674" s="519"/>
      <c r="AB674" s="516"/>
      <c r="AC674" s="519"/>
      <c r="AD674" s="516"/>
      <c r="AE674" s="519"/>
      <c r="AF674" s="506">
        <f t="shared" si="281"/>
        <v>0</v>
      </c>
      <c r="AG674" s="507">
        <f t="shared" si="282"/>
        <v>0</v>
      </c>
      <c r="AH674" s="508">
        <f t="shared" si="283"/>
        <v>0</v>
      </c>
      <c r="AI674" s="508">
        <f t="shared" si="284"/>
        <v>0</v>
      </c>
      <c r="AJ674" s="516"/>
      <c r="AK674" s="519"/>
      <c r="AL674" s="506">
        <f t="shared" si="285"/>
        <v>0</v>
      </c>
      <c r="AM674" s="509">
        <f t="shared" si="286"/>
        <v>0</v>
      </c>
      <c r="AN674" s="518"/>
      <c r="AO674" s="520"/>
      <c r="AP674" s="516">
        <v>2053</v>
      </c>
      <c r="AQ674" s="520">
        <v>2255</v>
      </c>
      <c r="AR674" s="516">
        <v>1063</v>
      </c>
      <c r="AS674" s="520">
        <v>1242</v>
      </c>
      <c r="AT674" s="516">
        <v>2369</v>
      </c>
      <c r="AU674" s="520">
        <v>2347</v>
      </c>
      <c r="AV674" s="506">
        <f t="shared" si="287"/>
        <v>5485</v>
      </c>
      <c r="AW674" s="511">
        <f t="shared" si="288"/>
        <v>228.54166666666666</v>
      </c>
      <c r="AX674" s="508">
        <f t="shared" si="289"/>
        <v>5844</v>
      </c>
      <c r="AY674" s="512">
        <f t="shared" si="290"/>
        <v>243.5</v>
      </c>
      <c r="AZ674" s="513">
        <f t="shared" si="291"/>
        <v>4198.3416666666672</v>
      </c>
      <c r="BA674" s="508">
        <f t="shared" si="292"/>
        <v>4103.6000000000004</v>
      </c>
    </row>
    <row r="675" spans="1:53">
      <c r="A675" s="600" t="s">
        <v>429</v>
      </c>
      <c r="B675" s="571" t="s">
        <v>433</v>
      </c>
      <c r="C675" s="601"/>
      <c r="D675" s="600">
        <v>237792</v>
      </c>
      <c r="E675" s="602">
        <v>5</v>
      </c>
      <c r="F675" s="514" t="s">
        <v>41</v>
      </c>
      <c r="G675" s="515" t="s">
        <v>41</v>
      </c>
      <c r="H675" s="516"/>
      <c r="I675" s="519"/>
      <c r="J675" s="516">
        <v>52147</v>
      </c>
      <c r="K675" s="519">
        <v>51726.5</v>
      </c>
      <c r="L675" s="516">
        <v>4462</v>
      </c>
      <c r="M675" s="519">
        <v>4213</v>
      </c>
      <c r="N675" s="516">
        <v>56757.5</v>
      </c>
      <c r="O675" s="519">
        <v>55886.5</v>
      </c>
      <c r="P675" s="506">
        <f t="shared" si="275"/>
        <v>113366.5</v>
      </c>
      <c r="Q675" s="507">
        <f t="shared" si="276"/>
        <v>3778.8833333333332</v>
      </c>
      <c r="R675" s="508">
        <f t="shared" si="277"/>
        <v>111826</v>
      </c>
      <c r="S675" s="509">
        <f t="shared" si="278"/>
        <v>3727.5333333333333</v>
      </c>
      <c r="T675" s="516">
        <v>53</v>
      </c>
      <c r="U675" s="519">
        <v>106</v>
      </c>
      <c r="V675" s="506">
        <f t="shared" si="279"/>
        <v>113366.5</v>
      </c>
      <c r="W675" s="510">
        <f t="shared" si="280"/>
        <v>111826</v>
      </c>
      <c r="X675" s="517"/>
      <c r="Y675" s="519"/>
      <c r="Z675" s="516"/>
      <c r="AA675" s="519"/>
      <c r="AB675" s="516"/>
      <c r="AC675" s="519"/>
      <c r="AD675" s="516"/>
      <c r="AE675" s="519"/>
      <c r="AF675" s="506">
        <f t="shared" si="281"/>
        <v>0</v>
      </c>
      <c r="AG675" s="507">
        <f t="shared" si="282"/>
        <v>0</v>
      </c>
      <c r="AH675" s="508">
        <f t="shared" si="283"/>
        <v>0</v>
      </c>
      <c r="AI675" s="508">
        <f t="shared" si="284"/>
        <v>0</v>
      </c>
      <c r="AJ675" s="516"/>
      <c r="AK675" s="519"/>
      <c r="AL675" s="506">
        <f t="shared" si="285"/>
        <v>0</v>
      </c>
      <c r="AM675" s="509">
        <f t="shared" si="286"/>
        <v>0</v>
      </c>
      <c r="AN675" s="518"/>
      <c r="AO675" s="520"/>
      <c r="AP675" s="516">
        <v>893</v>
      </c>
      <c r="AQ675" s="520">
        <v>958</v>
      </c>
      <c r="AR675" s="516">
        <v>475</v>
      </c>
      <c r="AS675" s="520">
        <v>522</v>
      </c>
      <c r="AT675" s="516">
        <v>938</v>
      </c>
      <c r="AU675" s="520">
        <v>1051</v>
      </c>
      <c r="AV675" s="506">
        <f t="shared" si="287"/>
        <v>2306</v>
      </c>
      <c r="AW675" s="511">
        <f t="shared" si="288"/>
        <v>96.083333333333329</v>
      </c>
      <c r="AX675" s="508">
        <f t="shared" si="289"/>
        <v>2531</v>
      </c>
      <c r="AY675" s="512">
        <f t="shared" si="290"/>
        <v>105.45833333333333</v>
      </c>
      <c r="AZ675" s="513">
        <f t="shared" si="291"/>
        <v>3874.9666666666667</v>
      </c>
      <c r="BA675" s="508">
        <f t="shared" si="292"/>
        <v>3832.9916666666668</v>
      </c>
    </row>
    <row r="676" spans="1:53">
      <c r="A676" s="600" t="s">
        <v>429</v>
      </c>
      <c r="B676" s="570" t="s">
        <v>434</v>
      </c>
      <c r="C676" s="601"/>
      <c r="D676" s="600">
        <v>237215</v>
      </c>
      <c r="E676" s="600">
        <v>6</v>
      </c>
      <c r="F676" s="514" t="s">
        <v>41</v>
      </c>
      <c r="G676" s="515" t="s">
        <v>41</v>
      </c>
      <c r="H676" s="516"/>
      <c r="I676" s="519"/>
      <c r="J676" s="516">
        <v>24279</v>
      </c>
      <c r="K676" s="519">
        <v>24278</v>
      </c>
      <c r="L676" s="516">
        <v>3834</v>
      </c>
      <c r="M676" s="519">
        <v>3108</v>
      </c>
      <c r="N676" s="516">
        <v>25568</v>
      </c>
      <c r="O676" s="519">
        <v>25885</v>
      </c>
      <c r="P676" s="506">
        <f t="shared" ref="P676:P692" si="293">SUM(H676,J676,L676,N676)</f>
        <v>53681</v>
      </c>
      <c r="Q676" s="507">
        <f t="shared" ref="Q676:Q692" si="294">+P676/30</f>
        <v>1789.3666666666666</v>
      </c>
      <c r="R676" s="508">
        <f t="shared" ref="R676:R692" si="295">SUM(I676,K676,M676,O676)</f>
        <v>53271</v>
      </c>
      <c r="S676" s="509">
        <f t="shared" ref="S676:S692" si="296">+R676/30</f>
        <v>1775.7</v>
      </c>
      <c r="T676" s="516">
        <v>275</v>
      </c>
      <c r="U676" s="519">
        <v>349</v>
      </c>
      <c r="V676" s="506">
        <f t="shared" si="279"/>
        <v>53681</v>
      </c>
      <c r="W676" s="510">
        <f t="shared" si="280"/>
        <v>53271</v>
      </c>
      <c r="X676" s="517"/>
      <c r="Y676" s="519"/>
      <c r="Z676" s="516"/>
      <c r="AA676" s="519"/>
      <c r="AB676" s="516"/>
      <c r="AC676" s="519"/>
      <c r="AD676" s="516"/>
      <c r="AE676" s="519"/>
      <c r="AF676" s="506">
        <f t="shared" ref="AF676:AF692" si="297">SUM(X676,Z676,AB676,AD676)</f>
        <v>0</v>
      </c>
      <c r="AG676" s="507">
        <f t="shared" ref="AG676:AG692" si="298">+AF676/900</f>
        <v>0</v>
      </c>
      <c r="AH676" s="508">
        <f t="shared" ref="AH676:AH692" si="299">SUM(Y676,AA676,AC676,AE676)</f>
        <v>0</v>
      </c>
      <c r="AI676" s="508">
        <f t="shared" ref="AI676:AI692" si="300">+AH676/900</f>
        <v>0</v>
      </c>
      <c r="AJ676" s="516"/>
      <c r="AK676" s="519"/>
      <c r="AL676" s="506">
        <f t="shared" si="285"/>
        <v>0</v>
      </c>
      <c r="AM676" s="509">
        <f t="shared" si="286"/>
        <v>0</v>
      </c>
      <c r="AN676" s="518"/>
      <c r="AO676" s="520"/>
      <c r="AP676" s="516"/>
      <c r="AQ676" s="520"/>
      <c r="AR676" s="516"/>
      <c r="AS676" s="520"/>
      <c r="AT676" s="516"/>
      <c r="AU676" s="520"/>
      <c r="AV676" s="506">
        <f t="shared" si="287"/>
        <v>0</v>
      </c>
      <c r="AW676" s="511">
        <f t="shared" si="288"/>
        <v>0</v>
      </c>
      <c r="AX676" s="508">
        <f t="shared" si="289"/>
        <v>0</v>
      </c>
      <c r="AY676" s="512">
        <f t="shared" si="290"/>
        <v>0</v>
      </c>
      <c r="AZ676" s="513">
        <f t="shared" si="291"/>
        <v>1789.3666666666666</v>
      </c>
      <c r="BA676" s="508">
        <f t="shared" si="292"/>
        <v>1775.7</v>
      </c>
    </row>
    <row r="677" spans="1:53">
      <c r="A677" s="600" t="s">
        <v>429</v>
      </c>
      <c r="B677" s="570" t="s">
        <v>435</v>
      </c>
      <c r="C677" s="601"/>
      <c r="D677" s="600">
        <v>237330</v>
      </c>
      <c r="E677" s="600">
        <v>6</v>
      </c>
      <c r="F677" s="514" t="s">
        <v>41</v>
      </c>
      <c r="G677" s="515" t="s">
        <v>41</v>
      </c>
      <c r="H677" s="516"/>
      <c r="I677" s="519"/>
      <c r="J677" s="516">
        <v>37071</v>
      </c>
      <c r="K677" s="519">
        <v>34587</v>
      </c>
      <c r="L677" s="516">
        <v>4258</v>
      </c>
      <c r="M677" s="519">
        <v>4041</v>
      </c>
      <c r="N677" s="516">
        <v>39794</v>
      </c>
      <c r="O677" s="519">
        <v>37969</v>
      </c>
      <c r="P677" s="506">
        <f t="shared" si="293"/>
        <v>81123</v>
      </c>
      <c r="Q677" s="507">
        <f t="shared" si="294"/>
        <v>2704.1</v>
      </c>
      <c r="R677" s="508">
        <f t="shared" si="295"/>
        <v>76597</v>
      </c>
      <c r="S677" s="509">
        <f t="shared" si="296"/>
        <v>2553.2333333333331</v>
      </c>
      <c r="T677" s="516">
        <v>916</v>
      </c>
      <c r="U677" s="519">
        <v>739</v>
      </c>
      <c r="V677" s="506">
        <f t="shared" si="279"/>
        <v>81123</v>
      </c>
      <c r="W677" s="510">
        <f t="shared" si="280"/>
        <v>76597</v>
      </c>
      <c r="X677" s="517"/>
      <c r="Y677" s="519"/>
      <c r="Z677" s="516"/>
      <c r="AA677" s="519"/>
      <c r="AB677" s="516"/>
      <c r="AC677" s="519"/>
      <c r="AD677" s="516"/>
      <c r="AE677" s="519"/>
      <c r="AF677" s="506">
        <f t="shared" si="297"/>
        <v>0</v>
      </c>
      <c r="AG677" s="507">
        <f t="shared" si="298"/>
        <v>0</v>
      </c>
      <c r="AH677" s="508">
        <f t="shared" si="299"/>
        <v>0</v>
      </c>
      <c r="AI677" s="508">
        <f t="shared" si="300"/>
        <v>0</v>
      </c>
      <c r="AJ677" s="516"/>
      <c r="AK677" s="519"/>
      <c r="AL677" s="506">
        <f t="shared" si="285"/>
        <v>0</v>
      </c>
      <c r="AM677" s="509">
        <f t="shared" si="286"/>
        <v>0</v>
      </c>
      <c r="AN677" s="518"/>
      <c r="AO677" s="520"/>
      <c r="AP677" s="516">
        <v>1191</v>
      </c>
      <c r="AQ677" s="520">
        <v>2312</v>
      </c>
      <c r="AR677" s="516">
        <v>1365</v>
      </c>
      <c r="AS677" s="520">
        <v>2046</v>
      </c>
      <c r="AT677" s="516">
        <v>1814</v>
      </c>
      <c r="AU677" s="520">
        <v>1147</v>
      </c>
      <c r="AV677" s="506">
        <f t="shared" si="287"/>
        <v>4370</v>
      </c>
      <c r="AW677" s="511">
        <f t="shared" si="288"/>
        <v>182.08333333333334</v>
      </c>
      <c r="AX677" s="508">
        <f t="shared" si="289"/>
        <v>5505</v>
      </c>
      <c r="AY677" s="512">
        <f t="shared" si="290"/>
        <v>229.375</v>
      </c>
      <c r="AZ677" s="513">
        <f t="shared" si="291"/>
        <v>2886.1833333333334</v>
      </c>
      <c r="BA677" s="508">
        <f t="shared" si="292"/>
        <v>2782.6083333333331</v>
      </c>
    </row>
    <row r="678" spans="1:53">
      <c r="A678" s="600" t="s">
        <v>429</v>
      </c>
      <c r="B678" s="570" t="s">
        <v>436</v>
      </c>
      <c r="C678" s="601"/>
      <c r="D678" s="600">
        <v>237385</v>
      </c>
      <c r="E678" s="600">
        <v>6</v>
      </c>
      <c r="F678" s="514" t="s">
        <v>41</v>
      </c>
      <c r="G678" s="515" t="s">
        <v>41</v>
      </c>
      <c r="H678" s="516"/>
      <c r="I678" s="519"/>
      <c r="J678" s="516">
        <v>20427.099999999999</v>
      </c>
      <c r="K678" s="519">
        <v>19207</v>
      </c>
      <c r="L678" s="516">
        <v>3115</v>
      </c>
      <c r="M678" s="519">
        <v>2725</v>
      </c>
      <c r="N678" s="516">
        <v>21475.1</v>
      </c>
      <c r="O678" s="519">
        <v>21524.1</v>
      </c>
      <c r="P678" s="506">
        <f t="shared" si="293"/>
        <v>45017.2</v>
      </c>
      <c r="Q678" s="507">
        <f t="shared" si="294"/>
        <v>1500.5733333333333</v>
      </c>
      <c r="R678" s="508">
        <f t="shared" si="295"/>
        <v>43456.1</v>
      </c>
      <c r="S678" s="509">
        <f t="shared" si="296"/>
        <v>1448.5366666666666</v>
      </c>
      <c r="T678" s="516">
        <v>1366</v>
      </c>
      <c r="U678" s="519">
        <v>1840</v>
      </c>
      <c r="V678" s="506">
        <f t="shared" ref="V678:V692" si="301">IF(ISBLANK(T678),0,P678)</f>
        <v>45017.2</v>
      </c>
      <c r="W678" s="510">
        <f t="shared" ref="W678:W692" si="302">IF(ISBLANK(U678),0,R678)</f>
        <v>43456.1</v>
      </c>
      <c r="X678" s="517"/>
      <c r="Y678" s="519"/>
      <c r="Z678" s="516"/>
      <c r="AA678" s="519"/>
      <c r="AB678" s="516"/>
      <c r="AC678" s="519"/>
      <c r="AD678" s="516"/>
      <c r="AE678" s="519"/>
      <c r="AF678" s="506">
        <f t="shared" si="297"/>
        <v>0</v>
      </c>
      <c r="AG678" s="507">
        <f t="shared" si="298"/>
        <v>0</v>
      </c>
      <c r="AH678" s="508">
        <f t="shared" si="299"/>
        <v>0</v>
      </c>
      <c r="AI678" s="508">
        <f t="shared" si="300"/>
        <v>0</v>
      </c>
      <c r="AJ678" s="516"/>
      <c r="AK678" s="519"/>
      <c r="AL678" s="506">
        <f t="shared" si="285"/>
        <v>0</v>
      </c>
      <c r="AM678" s="509">
        <f t="shared" si="286"/>
        <v>0</v>
      </c>
      <c r="AN678" s="518"/>
      <c r="AO678" s="520"/>
      <c r="AP678" s="516"/>
      <c r="AQ678" s="520"/>
      <c r="AR678" s="516"/>
      <c r="AS678" s="520"/>
      <c r="AT678" s="516"/>
      <c r="AU678" s="520"/>
      <c r="AV678" s="506">
        <f t="shared" ref="AV678:AV692" si="303">SUM(AN678,AP678,AR678,AT678)</f>
        <v>0</v>
      </c>
      <c r="AW678" s="511">
        <f t="shared" ref="AW678:AW692" si="304">+AV678/24</f>
        <v>0</v>
      </c>
      <c r="AX678" s="508">
        <f t="shared" ref="AX678:AX692" si="305">SUM(AO678,AQ678,AS678,AU678)</f>
        <v>0</v>
      </c>
      <c r="AY678" s="512">
        <f t="shared" ref="AY678:AY692" si="306">+AX678/24</f>
        <v>0</v>
      </c>
      <c r="AZ678" s="513">
        <f t="shared" ref="AZ678:AZ692" si="307">SUM(Q678,AG678,AW678)</f>
        <v>1500.5733333333333</v>
      </c>
      <c r="BA678" s="508">
        <f t="shared" ref="BA678:BA692" si="308">SUM(S678,AI678,AY678)</f>
        <v>1448.5366666666666</v>
      </c>
    </row>
    <row r="679" spans="1:53">
      <c r="A679" s="600" t="s">
        <v>429</v>
      </c>
      <c r="B679" s="570" t="s">
        <v>437</v>
      </c>
      <c r="C679" s="601"/>
      <c r="D679" s="600">
        <v>237932</v>
      </c>
      <c r="E679" s="600">
        <v>6</v>
      </c>
      <c r="F679" s="514" t="s">
        <v>41</v>
      </c>
      <c r="G679" s="515" t="s">
        <v>41</v>
      </c>
      <c r="H679" s="516"/>
      <c r="I679" s="519"/>
      <c r="J679" s="516">
        <v>35259</v>
      </c>
      <c r="K679" s="519">
        <v>35783</v>
      </c>
      <c r="L679" s="516">
        <v>2100</v>
      </c>
      <c r="M679" s="519">
        <v>2472</v>
      </c>
      <c r="N679" s="516">
        <v>39454</v>
      </c>
      <c r="O679" s="519">
        <v>39287</v>
      </c>
      <c r="P679" s="506">
        <f t="shared" si="293"/>
        <v>76813</v>
      </c>
      <c r="Q679" s="507">
        <f t="shared" si="294"/>
        <v>2560.4333333333334</v>
      </c>
      <c r="R679" s="508">
        <f t="shared" si="295"/>
        <v>77542</v>
      </c>
      <c r="S679" s="509">
        <f t="shared" si="296"/>
        <v>2584.7333333333331</v>
      </c>
      <c r="T679" s="516">
        <v>1049</v>
      </c>
      <c r="U679" s="519">
        <v>1473</v>
      </c>
      <c r="V679" s="506">
        <f t="shared" si="301"/>
        <v>76813</v>
      </c>
      <c r="W679" s="510">
        <f t="shared" si="302"/>
        <v>77542</v>
      </c>
      <c r="X679" s="517"/>
      <c r="Y679" s="519"/>
      <c r="Z679" s="516"/>
      <c r="AA679" s="519"/>
      <c r="AB679" s="516"/>
      <c r="AC679" s="519"/>
      <c r="AD679" s="516"/>
      <c r="AE679" s="519"/>
      <c r="AF679" s="506">
        <f t="shared" si="297"/>
        <v>0</v>
      </c>
      <c r="AG679" s="507">
        <f t="shared" si="298"/>
        <v>0</v>
      </c>
      <c r="AH679" s="508">
        <f t="shared" si="299"/>
        <v>0</v>
      </c>
      <c r="AI679" s="508">
        <f t="shared" si="300"/>
        <v>0</v>
      </c>
      <c r="AJ679" s="516"/>
      <c r="AK679" s="519"/>
      <c r="AL679" s="506">
        <f t="shared" ref="AL679:AL692" si="309">IF(ISBLANK(AJ679),0,AF679)</f>
        <v>0</v>
      </c>
      <c r="AM679" s="509">
        <f t="shared" ref="AM679:AM692" si="310">IF(ISBLANK(AK679),0,AH679)</f>
        <v>0</v>
      </c>
      <c r="AN679" s="518"/>
      <c r="AO679" s="520"/>
      <c r="AP679" s="516">
        <v>379</v>
      </c>
      <c r="AQ679" s="520">
        <v>492</v>
      </c>
      <c r="AR679" s="516">
        <v>321</v>
      </c>
      <c r="AS679" s="520">
        <v>641</v>
      </c>
      <c r="AT679" s="516">
        <v>385</v>
      </c>
      <c r="AU679" s="520">
        <v>706</v>
      </c>
      <c r="AV679" s="506">
        <f t="shared" si="303"/>
        <v>1085</v>
      </c>
      <c r="AW679" s="511">
        <f t="shared" si="304"/>
        <v>45.208333333333336</v>
      </c>
      <c r="AX679" s="508">
        <f t="shared" si="305"/>
        <v>1839</v>
      </c>
      <c r="AY679" s="512">
        <f t="shared" si="306"/>
        <v>76.625</v>
      </c>
      <c r="AZ679" s="513">
        <f t="shared" si="307"/>
        <v>2605.6416666666669</v>
      </c>
      <c r="BA679" s="508">
        <f t="shared" si="308"/>
        <v>2661.3583333333331</v>
      </c>
    </row>
    <row r="680" spans="1:53">
      <c r="A680" s="600" t="s">
        <v>429</v>
      </c>
      <c r="B680" s="570" t="s">
        <v>438</v>
      </c>
      <c r="C680" s="601"/>
      <c r="D680" s="600">
        <v>237899</v>
      </c>
      <c r="E680" s="600">
        <v>6</v>
      </c>
      <c r="F680" s="514" t="s">
        <v>41</v>
      </c>
      <c r="G680" s="515" t="s">
        <v>41</v>
      </c>
      <c r="H680" s="516"/>
      <c r="I680" s="519"/>
      <c r="J680" s="516">
        <v>33558</v>
      </c>
      <c r="K680" s="519">
        <v>30993</v>
      </c>
      <c r="L680" s="516">
        <v>2737</v>
      </c>
      <c r="M680" s="519">
        <v>2131</v>
      </c>
      <c r="N680" s="516">
        <v>33566</v>
      </c>
      <c r="O680" s="519">
        <v>31490</v>
      </c>
      <c r="P680" s="506">
        <f t="shared" si="293"/>
        <v>69861</v>
      </c>
      <c r="Q680" s="507">
        <f t="shared" si="294"/>
        <v>2328.6999999999998</v>
      </c>
      <c r="R680" s="508">
        <f t="shared" si="295"/>
        <v>64614</v>
      </c>
      <c r="S680" s="509">
        <f t="shared" si="296"/>
        <v>2153.8000000000002</v>
      </c>
      <c r="T680" s="516">
        <v>3077</v>
      </c>
      <c r="U680" s="519">
        <v>2772</v>
      </c>
      <c r="V680" s="506">
        <f t="shared" si="301"/>
        <v>69861</v>
      </c>
      <c r="W680" s="510">
        <f t="shared" si="302"/>
        <v>64614</v>
      </c>
      <c r="X680" s="517"/>
      <c r="Y680" s="519"/>
      <c r="Z680" s="516"/>
      <c r="AA680" s="519"/>
      <c r="AB680" s="516"/>
      <c r="AC680" s="519"/>
      <c r="AD680" s="516"/>
      <c r="AE680" s="519"/>
      <c r="AF680" s="506">
        <f t="shared" si="297"/>
        <v>0</v>
      </c>
      <c r="AG680" s="507">
        <f t="shared" si="298"/>
        <v>0</v>
      </c>
      <c r="AH680" s="508">
        <f t="shared" si="299"/>
        <v>0</v>
      </c>
      <c r="AI680" s="508">
        <f t="shared" si="300"/>
        <v>0</v>
      </c>
      <c r="AJ680" s="516"/>
      <c r="AK680" s="519"/>
      <c r="AL680" s="506">
        <f t="shared" si="309"/>
        <v>0</v>
      </c>
      <c r="AM680" s="509">
        <f t="shared" si="310"/>
        <v>0</v>
      </c>
      <c r="AN680" s="518"/>
      <c r="AO680" s="520"/>
      <c r="AP680" s="516">
        <v>390</v>
      </c>
      <c r="AQ680" s="520">
        <v>546</v>
      </c>
      <c r="AR680" s="516">
        <v>30</v>
      </c>
      <c r="AS680" s="520">
        <v>72</v>
      </c>
      <c r="AT680" s="516">
        <v>419</v>
      </c>
      <c r="AU680" s="520">
        <v>520</v>
      </c>
      <c r="AV680" s="506">
        <f t="shared" si="303"/>
        <v>839</v>
      </c>
      <c r="AW680" s="511">
        <f t="shared" si="304"/>
        <v>34.958333333333336</v>
      </c>
      <c r="AX680" s="508">
        <f t="shared" si="305"/>
        <v>1138</v>
      </c>
      <c r="AY680" s="512">
        <f t="shared" si="306"/>
        <v>47.416666666666664</v>
      </c>
      <c r="AZ680" s="513">
        <f t="shared" si="307"/>
        <v>2363.6583333333333</v>
      </c>
      <c r="BA680" s="508">
        <f t="shared" si="308"/>
        <v>2201.2166666666667</v>
      </c>
    </row>
    <row r="681" spans="1:53">
      <c r="A681" s="600" t="s">
        <v>429</v>
      </c>
      <c r="B681" s="570" t="s">
        <v>439</v>
      </c>
      <c r="C681" s="601"/>
      <c r="D681" s="600">
        <v>237950</v>
      </c>
      <c r="E681" s="600">
        <v>6</v>
      </c>
      <c r="F681" s="514" t="s">
        <v>41</v>
      </c>
      <c r="G681" s="515" t="s">
        <v>41</v>
      </c>
      <c r="H681" s="516"/>
      <c r="I681" s="519"/>
      <c r="J681" s="516">
        <v>15230</v>
      </c>
      <c r="K681" s="519">
        <v>13594</v>
      </c>
      <c r="L681" s="516">
        <v>1090</v>
      </c>
      <c r="M681" s="519">
        <v>904</v>
      </c>
      <c r="N681" s="516">
        <v>16657</v>
      </c>
      <c r="O681" s="519">
        <v>14289</v>
      </c>
      <c r="P681" s="506">
        <f t="shared" si="293"/>
        <v>32977</v>
      </c>
      <c r="Q681" s="507">
        <f t="shared" si="294"/>
        <v>1099.2333333333333</v>
      </c>
      <c r="R681" s="508">
        <f t="shared" si="295"/>
        <v>28787</v>
      </c>
      <c r="S681" s="509">
        <f t="shared" si="296"/>
        <v>959.56666666666672</v>
      </c>
      <c r="T681" s="516">
        <v>991</v>
      </c>
      <c r="U681" s="519">
        <v>738</v>
      </c>
      <c r="V681" s="506">
        <f t="shared" si="301"/>
        <v>32977</v>
      </c>
      <c r="W681" s="510">
        <f t="shared" si="302"/>
        <v>28787</v>
      </c>
      <c r="X681" s="517"/>
      <c r="Y681" s="519"/>
      <c r="Z681" s="516"/>
      <c r="AA681" s="519"/>
      <c r="AB681" s="516"/>
      <c r="AC681" s="519"/>
      <c r="AD681" s="516"/>
      <c r="AE681" s="519"/>
      <c r="AF681" s="506">
        <f t="shared" si="297"/>
        <v>0</v>
      </c>
      <c r="AG681" s="507">
        <f t="shared" si="298"/>
        <v>0</v>
      </c>
      <c r="AH681" s="508">
        <f t="shared" si="299"/>
        <v>0</v>
      </c>
      <c r="AI681" s="508">
        <f t="shared" si="300"/>
        <v>0</v>
      </c>
      <c r="AJ681" s="516"/>
      <c r="AK681" s="519"/>
      <c r="AL681" s="506">
        <f t="shared" si="309"/>
        <v>0</v>
      </c>
      <c r="AM681" s="509">
        <f t="shared" si="310"/>
        <v>0</v>
      </c>
      <c r="AN681" s="518"/>
      <c r="AO681" s="520"/>
      <c r="AP681" s="516"/>
      <c r="AQ681" s="520"/>
      <c r="AR681" s="516"/>
      <c r="AS681" s="520"/>
      <c r="AT681" s="516"/>
      <c r="AU681" s="520"/>
      <c r="AV681" s="506">
        <f t="shared" si="303"/>
        <v>0</v>
      </c>
      <c r="AW681" s="511">
        <f t="shared" si="304"/>
        <v>0</v>
      </c>
      <c r="AX681" s="508">
        <f t="shared" si="305"/>
        <v>0</v>
      </c>
      <c r="AY681" s="512">
        <f t="shared" si="306"/>
        <v>0</v>
      </c>
      <c r="AZ681" s="513">
        <f t="shared" si="307"/>
        <v>1099.2333333333333</v>
      </c>
      <c r="BA681" s="508">
        <f t="shared" si="308"/>
        <v>959.56666666666672</v>
      </c>
    </row>
    <row r="682" spans="1:53">
      <c r="A682" s="600" t="s">
        <v>429</v>
      </c>
      <c r="B682" s="603" t="s">
        <v>440</v>
      </c>
      <c r="C682" s="601"/>
      <c r="D682" s="600">
        <v>237701</v>
      </c>
      <c r="E682" s="600">
        <v>7</v>
      </c>
      <c r="F682" s="514" t="s">
        <v>41</v>
      </c>
      <c r="G682" s="515" t="s">
        <v>41</v>
      </c>
      <c r="H682" s="516"/>
      <c r="I682" s="519"/>
      <c r="J682" s="516">
        <v>20574</v>
      </c>
      <c r="K682" s="519">
        <v>19111</v>
      </c>
      <c r="L682" s="516">
        <v>1918</v>
      </c>
      <c r="M682" s="519">
        <v>1719</v>
      </c>
      <c r="N682" s="516">
        <v>22570</v>
      </c>
      <c r="O682" s="519">
        <v>22771</v>
      </c>
      <c r="P682" s="506">
        <f t="shared" si="293"/>
        <v>45062</v>
      </c>
      <c r="Q682" s="507">
        <f t="shared" si="294"/>
        <v>1502.0666666666666</v>
      </c>
      <c r="R682" s="508">
        <f t="shared" si="295"/>
        <v>43601</v>
      </c>
      <c r="S682" s="509">
        <f t="shared" si="296"/>
        <v>1453.3666666666666</v>
      </c>
      <c r="T682" s="516">
        <v>2317</v>
      </c>
      <c r="U682" s="519">
        <v>2043</v>
      </c>
      <c r="V682" s="506">
        <f t="shared" si="301"/>
        <v>45062</v>
      </c>
      <c r="W682" s="510">
        <f t="shared" si="302"/>
        <v>43601</v>
      </c>
      <c r="X682" s="517"/>
      <c r="Y682" s="519"/>
      <c r="Z682" s="516"/>
      <c r="AA682" s="519"/>
      <c r="AB682" s="516"/>
      <c r="AC682" s="519"/>
      <c r="AD682" s="516"/>
      <c r="AE682" s="519"/>
      <c r="AF682" s="506">
        <f t="shared" si="297"/>
        <v>0</v>
      </c>
      <c r="AG682" s="507">
        <f t="shared" si="298"/>
        <v>0</v>
      </c>
      <c r="AH682" s="508">
        <f t="shared" si="299"/>
        <v>0</v>
      </c>
      <c r="AI682" s="508">
        <f t="shared" si="300"/>
        <v>0</v>
      </c>
      <c r="AJ682" s="516"/>
      <c r="AK682" s="519"/>
      <c r="AL682" s="506">
        <f t="shared" si="309"/>
        <v>0</v>
      </c>
      <c r="AM682" s="509">
        <f t="shared" si="310"/>
        <v>0</v>
      </c>
      <c r="AN682" s="518"/>
      <c r="AO682" s="520"/>
      <c r="AP682" s="516"/>
      <c r="AQ682" s="520"/>
      <c r="AR682" s="516"/>
      <c r="AS682" s="520"/>
      <c r="AT682" s="516"/>
      <c r="AU682" s="520"/>
      <c r="AV682" s="506">
        <f t="shared" si="303"/>
        <v>0</v>
      </c>
      <c r="AW682" s="511">
        <f t="shared" si="304"/>
        <v>0</v>
      </c>
      <c r="AX682" s="508">
        <f t="shared" si="305"/>
        <v>0</v>
      </c>
      <c r="AY682" s="512">
        <f t="shared" si="306"/>
        <v>0</v>
      </c>
      <c r="AZ682" s="513">
        <f t="shared" si="307"/>
        <v>1502.0666666666666</v>
      </c>
      <c r="BA682" s="508">
        <f t="shared" si="308"/>
        <v>1453.3666666666666</v>
      </c>
    </row>
    <row r="683" spans="1:53">
      <c r="A683" s="600" t="s">
        <v>429</v>
      </c>
      <c r="B683" s="570" t="s">
        <v>441</v>
      </c>
      <c r="C683" s="601"/>
      <c r="D683" s="600">
        <v>237686</v>
      </c>
      <c r="E683" s="600">
        <v>7</v>
      </c>
      <c r="F683" s="514" t="s">
        <v>41</v>
      </c>
      <c r="G683" s="515" t="s">
        <v>41</v>
      </c>
      <c r="H683" s="516"/>
      <c r="I683" s="519"/>
      <c r="J683" s="516">
        <v>47232</v>
      </c>
      <c r="K683" s="519">
        <v>40909</v>
      </c>
      <c r="L683" s="516">
        <v>10936</v>
      </c>
      <c r="M683" s="519">
        <v>8115</v>
      </c>
      <c r="N683" s="516">
        <v>45336</v>
      </c>
      <c r="O683" s="519">
        <v>41550</v>
      </c>
      <c r="P683" s="506">
        <f t="shared" si="293"/>
        <v>103504</v>
      </c>
      <c r="Q683" s="507">
        <f t="shared" si="294"/>
        <v>3450.1333333333332</v>
      </c>
      <c r="R683" s="508">
        <f t="shared" si="295"/>
        <v>90574</v>
      </c>
      <c r="S683" s="509">
        <f t="shared" si="296"/>
        <v>3019.1333333333332</v>
      </c>
      <c r="T683" s="516">
        <v>3426</v>
      </c>
      <c r="U683" s="519">
        <v>3385</v>
      </c>
      <c r="V683" s="506">
        <f t="shared" si="301"/>
        <v>103504</v>
      </c>
      <c r="W683" s="510">
        <f t="shared" si="302"/>
        <v>90574</v>
      </c>
      <c r="X683" s="517"/>
      <c r="Y683" s="519"/>
      <c r="Z683" s="516"/>
      <c r="AA683" s="519"/>
      <c r="AB683" s="516"/>
      <c r="AC683" s="519"/>
      <c r="AD683" s="516"/>
      <c r="AE683" s="519"/>
      <c r="AF683" s="506">
        <f t="shared" si="297"/>
        <v>0</v>
      </c>
      <c r="AG683" s="507">
        <f t="shared" si="298"/>
        <v>0</v>
      </c>
      <c r="AH683" s="508">
        <f t="shared" si="299"/>
        <v>0</v>
      </c>
      <c r="AI683" s="508">
        <f t="shared" si="300"/>
        <v>0</v>
      </c>
      <c r="AJ683" s="516"/>
      <c r="AK683" s="519"/>
      <c r="AL683" s="506">
        <f t="shared" si="309"/>
        <v>0</v>
      </c>
      <c r="AM683" s="509">
        <f t="shared" si="310"/>
        <v>0</v>
      </c>
      <c r="AN683" s="518"/>
      <c r="AO683" s="520"/>
      <c r="AP683" s="516"/>
      <c r="AQ683" s="520"/>
      <c r="AR683" s="516"/>
      <c r="AS683" s="520"/>
      <c r="AT683" s="516"/>
      <c r="AU683" s="520"/>
      <c r="AV683" s="506">
        <f t="shared" si="303"/>
        <v>0</v>
      </c>
      <c r="AW683" s="511">
        <f t="shared" si="304"/>
        <v>0</v>
      </c>
      <c r="AX683" s="508">
        <f t="shared" si="305"/>
        <v>0</v>
      </c>
      <c r="AY683" s="512">
        <f t="shared" si="306"/>
        <v>0</v>
      </c>
      <c r="AZ683" s="513">
        <f t="shared" si="307"/>
        <v>3450.1333333333332</v>
      </c>
      <c r="BA683" s="508">
        <f t="shared" si="308"/>
        <v>3019.1333333333332</v>
      </c>
    </row>
    <row r="684" spans="1:53">
      <c r="A684" s="600" t="s">
        <v>429</v>
      </c>
      <c r="B684" s="571" t="s">
        <v>448</v>
      </c>
      <c r="C684" s="604" t="s">
        <v>451</v>
      </c>
      <c r="D684" s="573">
        <v>447582</v>
      </c>
      <c r="E684" s="605">
        <v>9</v>
      </c>
      <c r="F684" s="514" t="s">
        <v>41</v>
      </c>
      <c r="G684" s="515" t="s">
        <v>41</v>
      </c>
      <c r="H684" s="516"/>
      <c r="I684" s="519"/>
      <c r="J684" s="516">
        <v>28725</v>
      </c>
      <c r="K684" s="519">
        <v>28820</v>
      </c>
      <c r="L684" s="516">
        <v>4482</v>
      </c>
      <c r="M684" s="519">
        <v>6362</v>
      </c>
      <c r="N684" s="516">
        <v>30326.5</v>
      </c>
      <c r="O684" s="519">
        <v>29864</v>
      </c>
      <c r="P684" s="506">
        <f t="shared" si="293"/>
        <v>63533.5</v>
      </c>
      <c r="Q684" s="507">
        <f t="shared" si="294"/>
        <v>2117.7833333333333</v>
      </c>
      <c r="R684" s="508">
        <f t="shared" si="295"/>
        <v>65046</v>
      </c>
      <c r="S684" s="509">
        <f t="shared" si="296"/>
        <v>2168.1999999999998</v>
      </c>
      <c r="T684" s="516">
        <v>1939</v>
      </c>
      <c r="U684" s="519">
        <v>1650</v>
      </c>
      <c r="V684" s="506">
        <f t="shared" si="301"/>
        <v>63533.5</v>
      </c>
      <c r="W684" s="510">
        <f t="shared" si="302"/>
        <v>65046</v>
      </c>
      <c r="X684" s="517"/>
      <c r="Y684" s="519"/>
      <c r="Z684" s="516"/>
      <c r="AA684" s="519"/>
      <c r="AB684" s="516"/>
      <c r="AC684" s="519"/>
      <c r="AD684" s="516"/>
      <c r="AE684" s="519"/>
      <c r="AF684" s="506">
        <f t="shared" si="297"/>
        <v>0</v>
      </c>
      <c r="AG684" s="507">
        <f t="shared" si="298"/>
        <v>0</v>
      </c>
      <c r="AH684" s="508">
        <f t="shared" si="299"/>
        <v>0</v>
      </c>
      <c r="AI684" s="508">
        <f t="shared" si="300"/>
        <v>0</v>
      </c>
      <c r="AJ684" s="516"/>
      <c r="AK684" s="519"/>
      <c r="AL684" s="506">
        <f t="shared" si="309"/>
        <v>0</v>
      </c>
      <c r="AM684" s="509">
        <f t="shared" si="310"/>
        <v>0</v>
      </c>
      <c r="AN684" s="518"/>
      <c r="AO684" s="520"/>
      <c r="AP684" s="516"/>
      <c r="AQ684" s="520"/>
      <c r="AR684" s="516"/>
      <c r="AS684" s="520"/>
      <c r="AT684" s="516"/>
      <c r="AU684" s="520"/>
      <c r="AV684" s="506">
        <f t="shared" si="303"/>
        <v>0</v>
      </c>
      <c r="AW684" s="511">
        <f t="shared" si="304"/>
        <v>0</v>
      </c>
      <c r="AX684" s="508">
        <f t="shared" si="305"/>
        <v>0</v>
      </c>
      <c r="AY684" s="512">
        <f t="shared" si="306"/>
        <v>0</v>
      </c>
      <c r="AZ684" s="513">
        <f t="shared" si="307"/>
        <v>2117.7833333333333</v>
      </c>
      <c r="BA684" s="508">
        <f t="shared" si="308"/>
        <v>2168.1999999999998</v>
      </c>
    </row>
    <row r="685" spans="1:53">
      <c r="A685" s="600" t="s">
        <v>429</v>
      </c>
      <c r="B685" s="606" t="s">
        <v>449</v>
      </c>
      <c r="C685" s="604" t="s">
        <v>451</v>
      </c>
      <c r="D685" s="573">
        <v>443492</v>
      </c>
      <c r="E685" s="605">
        <v>9</v>
      </c>
      <c r="F685" s="514" t="s">
        <v>41</v>
      </c>
      <c r="G685" s="515" t="s">
        <v>41</v>
      </c>
      <c r="H685" s="516"/>
      <c r="I685" s="519"/>
      <c r="J685" s="516">
        <v>30478</v>
      </c>
      <c r="K685" s="519">
        <v>30823</v>
      </c>
      <c r="L685" s="516">
        <v>4727</v>
      </c>
      <c r="M685" s="519">
        <v>4272</v>
      </c>
      <c r="N685" s="516">
        <v>33094</v>
      </c>
      <c r="O685" s="519">
        <v>32273</v>
      </c>
      <c r="P685" s="506">
        <f t="shared" si="293"/>
        <v>68299</v>
      </c>
      <c r="Q685" s="507">
        <f t="shared" si="294"/>
        <v>2276.6333333333332</v>
      </c>
      <c r="R685" s="508">
        <f t="shared" si="295"/>
        <v>67368</v>
      </c>
      <c r="S685" s="509">
        <f t="shared" si="296"/>
        <v>2245.6</v>
      </c>
      <c r="T685" s="516">
        <v>3921</v>
      </c>
      <c r="U685" s="519">
        <v>3833</v>
      </c>
      <c r="V685" s="506">
        <f t="shared" si="301"/>
        <v>68299</v>
      </c>
      <c r="W685" s="510">
        <f t="shared" si="302"/>
        <v>67368</v>
      </c>
      <c r="X685" s="517"/>
      <c r="Y685" s="519"/>
      <c r="Z685" s="516"/>
      <c r="AA685" s="519"/>
      <c r="AB685" s="516"/>
      <c r="AC685" s="519"/>
      <c r="AD685" s="516"/>
      <c r="AE685" s="519"/>
      <c r="AF685" s="506">
        <f t="shared" si="297"/>
        <v>0</v>
      </c>
      <c r="AG685" s="507">
        <f t="shared" si="298"/>
        <v>0</v>
      </c>
      <c r="AH685" s="508">
        <f t="shared" si="299"/>
        <v>0</v>
      </c>
      <c r="AI685" s="508">
        <f t="shared" si="300"/>
        <v>0</v>
      </c>
      <c r="AJ685" s="516"/>
      <c r="AK685" s="519"/>
      <c r="AL685" s="506">
        <f t="shared" si="309"/>
        <v>0</v>
      </c>
      <c r="AM685" s="509">
        <f t="shared" si="310"/>
        <v>0</v>
      </c>
      <c r="AN685" s="518"/>
      <c r="AO685" s="520"/>
      <c r="AP685" s="516"/>
      <c r="AQ685" s="520"/>
      <c r="AR685" s="516"/>
      <c r="AS685" s="520"/>
      <c r="AT685" s="516"/>
      <c r="AU685" s="520"/>
      <c r="AV685" s="506">
        <f t="shared" si="303"/>
        <v>0</v>
      </c>
      <c r="AW685" s="511">
        <f t="shared" si="304"/>
        <v>0</v>
      </c>
      <c r="AX685" s="508">
        <f t="shared" si="305"/>
        <v>0</v>
      </c>
      <c r="AY685" s="512">
        <f t="shared" si="306"/>
        <v>0</v>
      </c>
      <c r="AZ685" s="513">
        <f t="shared" si="307"/>
        <v>2276.6333333333332</v>
      </c>
      <c r="BA685" s="508">
        <f t="shared" si="308"/>
        <v>2245.6</v>
      </c>
    </row>
    <row r="686" spans="1:53">
      <c r="A686" s="600" t="s">
        <v>429</v>
      </c>
      <c r="B686" s="571" t="s">
        <v>442</v>
      </c>
      <c r="C686" s="601" t="s">
        <v>322</v>
      </c>
      <c r="D686" s="573">
        <v>238014</v>
      </c>
      <c r="E686" s="607">
        <v>9</v>
      </c>
      <c r="F686" s="514" t="s">
        <v>41</v>
      </c>
      <c r="G686" s="515" t="s">
        <v>41</v>
      </c>
      <c r="H686" s="516"/>
      <c r="I686" s="519"/>
      <c r="J686" s="516">
        <v>32391.200000000001</v>
      </c>
      <c r="K686" s="519">
        <v>25473</v>
      </c>
      <c r="L686" s="516">
        <v>9928.5</v>
      </c>
      <c r="M686" s="519">
        <v>7144</v>
      </c>
      <c r="N686" s="516">
        <v>29346</v>
      </c>
      <c r="O686" s="519">
        <v>24375.3</v>
      </c>
      <c r="P686" s="506">
        <f t="shared" si="293"/>
        <v>71665.7</v>
      </c>
      <c r="Q686" s="507">
        <f t="shared" si="294"/>
        <v>2388.8566666666666</v>
      </c>
      <c r="R686" s="508">
        <f t="shared" si="295"/>
        <v>56992.3</v>
      </c>
      <c r="S686" s="509">
        <f t="shared" si="296"/>
        <v>1899.7433333333333</v>
      </c>
      <c r="T686" s="516">
        <v>3170.5</v>
      </c>
      <c r="U686" s="519">
        <v>2920</v>
      </c>
      <c r="V686" s="506">
        <f t="shared" si="301"/>
        <v>71665.7</v>
      </c>
      <c r="W686" s="510">
        <f t="shared" si="302"/>
        <v>56992.3</v>
      </c>
      <c r="X686" s="517"/>
      <c r="Y686" s="519"/>
      <c r="Z686" s="516"/>
      <c r="AA686" s="519"/>
      <c r="AB686" s="516"/>
      <c r="AC686" s="519"/>
      <c r="AD686" s="516"/>
      <c r="AE686" s="519"/>
      <c r="AF686" s="506">
        <f t="shared" si="297"/>
        <v>0</v>
      </c>
      <c r="AG686" s="507">
        <f t="shared" si="298"/>
        <v>0</v>
      </c>
      <c r="AH686" s="508">
        <f t="shared" si="299"/>
        <v>0</v>
      </c>
      <c r="AI686" s="508">
        <f t="shared" si="300"/>
        <v>0</v>
      </c>
      <c r="AJ686" s="516"/>
      <c r="AK686" s="519"/>
      <c r="AL686" s="506">
        <f t="shared" si="309"/>
        <v>0</v>
      </c>
      <c r="AM686" s="509">
        <f t="shared" si="310"/>
        <v>0</v>
      </c>
      <c r="AN686" s="518"/>
      <c r="AO686" s="520"/>
      <c r="AP686" s="516"/>
      <c r="AQ686" s="520"/>
      <c r="AR686" s="516"/>
      <c r="AS686" s="520"/>
      <c r="AT686" s="516"/>
      <c r="AU686" s="520"/>
      <c r="AV686" s="506">
        <f t="shared" si="303"/>
        <v>0</v>
      </c>
      <c r="AW686" s="511">
        <f t="shared" si="304"/>
        <v>0</v>
      </c>
      <c r="AX686" s="508">
        <f t="shared" si="305"/>
        <v>0</v>
      </c>
      <c r="AY686" s="512">
        <f t="shared" si="306"/>
        <v>0</v>
      </c>
      <c r="AZ686" s="513">
        <f t="shared" si="307"/>
        <v>2388.8566666666666</v>
      </c>
      <c r="BA686" s="508">
        <f t="shared" si="308"/>
        <v>1899.7433333333333</v>
      </c>
    </row>
    <row r="687" spans="1:53">
      <c r="A687" s="600" t="s">
        <v>429</v>
      </c>
      <c r="B687" s="570" t="s">
        <v>443</v>
      </c>
      <c r="C687" s="608"/>
      <c r="D687" s="573">
        <v>446774</v>
      </c>
      <c r="E687" s="609">
        <v>10</v>
      </c>
      <c r="F687" s="514" t="s">
        <v>41</v>
      </c>
      <c r="G687" s="515" t="s">
        <v>41</v>
      </c>
      <c r="H687" s="516"/>
      <c r="I687" s="519"/>
      <c r="J687" s="516">
        <v>24794.400000000001</v>
      </c>
      <c r="K687" s="519">
        <v>27210.1</v>
      </c>
      <c r="L687" s="516">
        <v>4480</v>
      </c>
      <c r="M687" s="519">
        <v>3371.9</v>
      </c>
      <c r="N687" s="516">
        <v>28410.3</v>
      </c>
      <c r="O687" s="519">
        <v>27962.9</v>
      </c>
      <c r="P687" s="506">
        <f t="shared" si="293"/>
        <v>57684.7</v>
      </c>
      <c r="Q687" s="507">
        <f t="shared" si="294"/>
        <v>1922.8233333333333</v>
      </c>
      <c r="R687" s="508">
        <f t="shared" si="295"/>
        <v>58544.9</v>
      </c>
      <c r="S687" s="509">
        <f t="shared" si="296"/>
        <v>1951.4966666666667</v>
      </c>
      <c r="T687" s="516">
        <v>1299.3</v>
      </c>
      <c r="U687" s="519">
        <v>1075.5999999999999</v>
      </c>
      <c r="V687" s="506">
        <f t="shared" si="301"/>
        <v>57684.7</v>
      </c>
      <c r="W687" s="510">
        <f t="shared" si="302"/>
        <v>58544.9</v>
      </c>
      <c r="X687" s="517"/>
      <c r="Y687" s="519"/>
      <c r="Z687" s="516"/>
      <c r="AA687" s="519"/>
      <c r="AB687" s="516"/>
      <c r="AC687" s="519"/>
      <c r="AD687" s="516"/>
      <c r="AE687" s="519"/>
      <c r="AF687" s="506">
        <f t="shared" si="297"/>
        <v>0</v>
      </c>
      <c r="AG687" s="507">
        <f t="shared" si="298"/>
        <v>0</v>
      </c>
      <c r="AH687" s="508">
        <f t="shared" si="299"/>
        <v>0</v>
      </c>
      <c r="AI687" s="508">
        <f t="shared" si="300"/>
        <v>0</v>
      </c>
      <c r="AJ687" s="516"/>
      <c r="AK687" s="519"/>
      <c r="AL687" s="506">
        <f t="shared" si="309"/>
        <v>0</v>
      </c>
      <c r="AM687" s="509">
        <f t="shared" si="310"/>
        <v>0</v>
      </c>
      <c r="AN687" s="518"/>
      <c r="AO687" s="520"/>
      <c r="AP687" s="516"/>
      <c r="AQ687" s="520"/>
      <c r="AR687" s="516"/>
      <c r="AS687" s="520"/>
      <c r="AT687" s="516"/>
      <c r="AU687" s="520"/>
      <c r="AV687" s="506">
        <f t="shared" si="303"/>
        <v>0</v>
      </c>
      <c r="AW687" s="511">
        <f t="shared" si="304"/>
        <v>0</v>
      </c>
      <c r="AX687" s="508">
        <f t="shared" si="305"/>
        <v>0</v>
      </c>
      <c r="AY687" s="512">
        <f t="shared" si="306"/>
        <v>0</v>
      </c>
      <c r="AZ687" s="513">
        <f t="shared" si="307"/>
        <v>1922.8233333333333</v>
      </c>
      <c r="BA687" s="508">
        <f t="shared" si="308"/>
        <v>1951.4966666666667</v>
      </c>
    </row>
    <row r="688" spans="1:53">
      <c r="A688" s="600" t="s">
        <v>429</v>
      </c>
      <c r="B688" s="570" t="s">
        <v>444</v>
      </c>
      <c r="C688" s="608"/>
      <c r="D688" s="573">
        <v>445674</v>
      </c>
      <c r="E688" s="609">
        <v>10</v>
      </c>
      <c r="F688" s="514" t="s">
        <v>41</v>
      </c>
      <c r="G688" s="515" t="s">
        <v>41</v>
      </c>
      <c r="H688" s="516"/>
      <c r="I688" s="519"/>
      <c r="J688" s="516">
        <v>7919.5</v>
      </c>
      <c r="K688" s="519">
        <v>7584</v>
      </c>
      <c r="L688" s="516">
        <v>415</v>
      </c>
      <c r="M688" s="519">
        <v>528</v>
      </c>
      <c r="N688" s="516">
        <v>9297.2999999999993</v>
      </c>
      <c r="O688" s="519">
        <v>9012</v>
      </c>
      <c r="P688" s="506">
        <f t="shared" si="293"/>
        <v>17631.8</v>
      </c>
      <c r="Q688" s="507">
        <f t="shared" si="294"/>
        <v>587.72666666666669</v>
      </c>
      <c r="R688" s="508">
        <f t="shared" si="295"/>
        <v>17124</v>
      </c>
      <c r="S688" s="509">
        <f t="shared" si="296"/>
        <v>570.79999999999995</v>
      </c>
      <c r="T688" s="516">
        <v>603</v>
      </c>
      <c r="U688" s="519">
        <v>998</v>
      </c>
      <c r="V688" s="506">
        <f t="shared" si="301"/>
        <v>17631.8</v>
      </c>
      <c r="W688" s="510">
        <f t="shared" si="302"/>
        <v>17124</v>
      </c>
      <c r="X688" s="517"/>
      <c r="Y688" s="519"/>
      <c r="Z688" s="516"/>
      <c r="AA688" s="519"/>
      <c r="AB688" s="516"/>
      <c r="AC688" s="519"/>
      <c r="AD688" s="516"/>
      <c r="AE688" s="519"/>
      <c r="AF688" s="506">
        <f t="shared" si="297"/>
        <v>0</v>
      </c>
      <c r="AG688" s="507">
        <f t="shared" si="298"/>
        <v>0</v>
      </c>
      <c r="AH688" s="508">
        <f t="shared" si="299"/>
        <v>0</v>
      </c>
      <c r="AI688" s="508">
        <f t="shared" si="300"/>
        <v>0</v>
      </c>
      <c r="AJ688" s="516"/>
      <c r="AK688" s="519"/>
      <c r="AL688" s="506">
        <f t="shared" si="309"/>
        <v>0</v>
      </c>
      <c r="AM688" s="509">
        <f t="shared" si="310"/>
        <v>0</v>
      </c>
      <c r="AN688" s="518"/>
      <c r="AO688" s="520"/>
      <c r="AP688" s="516"/>
      <c r="AQ688" s="520"/>
      <c r="AR688" s="516"/>
      <c r="AS688" s="520"/>
      <c r="AT688" s="516"/>
      <c r="AU688" s="520"/>
      <c r="AV688" s="506">
        <f t="shared" si="303"/>
        <v>0</v>
      </c>
      <c r="AW688" s="511">
        <f t="shared" si="304"/>
        <v>0</v>
      </c>
      <c r="AX688" s="508">
        <f t="shared" si="305"/>
        <v>0</v>
      </c>
      <c r="AY688" s="512">
        <f t="shared" si="306"/>
        <v>0</v>
      </c>
      <c r="AZ688" s="513">
        <f t="shared" si="307"/>
        <v>587.72666666666669</v>
      </c>
      <c r="BA688" s="508">
        <f t="shared" si="308"/>
        <v>570.79999999999995</v>
      </c>
    </row>
    <row r="689" spans="1:53">
      <c r="A689" s="600" t="s">
        <v>429</v>
      </c>
      <c r="B689" s="570" t="s">
        <v>445</v>
      </c>
      <c r="C689" s="608"/>
      <c r="D689" s="573">
        <v>438708</v>
      </c>
      <c r="E689" s="609">
        <v>10</v>
      </c>
      <c r="F689" s="514" t="s">
        <v>41</v>
      </c>
      <c r="G689" s="515" t="s">
        <v>41</v>
      </c>
      <c r="H689" s="516"/>
      <c r="I689" s="519"/>
      <c r="J689" s="516">
        <v>5136</v>
      </c>
      <c r="K689" s="519">
        <v>6250</v>
      </c>
      <c r="L689" s="516">
        <v>942</v>
      </c>
      <c r="M689" s="519">
        <v>1169</v>
      </c>
      <c r="N689" s="516">
        <v>6472</v>
      </c>
      <c r="O689" s="519">
        <v>6777</v>
      </c>
      <c r="P689" s="506">
        <f t="shared" si="293"/>
        <v>12550</v>
      </c>
      <c r="Q689" s="507">
        <f t="shared" si="294"/>
        <v>418.33333333333331</v>
      </c>
      <c r="R689" s="508">
        <f t="shared" si="295"/>
        <v>14196</v>
      </c>
      <c r="S689" s="509">
        <f t="shared" si="296"/>
        <v>473.2</v>
      </c>
      <c r="T689" s="516">
        <v>1132</v>
      </c>
      <c r="U689" s="519">
        <v>1093</v>
      </c>
      <c r="V689" s="506">
        <f t="shared" si="301"/>
        <v>12550</v>
      </c>
      <c r="W689" s="510">
        <f t="shared" si="302"/>
        <v>14196</v>
      </c>
      <c r="X689" s="517"/>
      <c r="Y689" s="519"/>
      <c r="Z689" s="516"/>
      <c r="AA689" s="519"/>
      <c r="AB689" s="516"/>
      <c r="AC689" s="519"/>
      <c r="AD689" s="516"/>
      <c r="AE689" s="519"/>
      <c r="AF689" s="506">
        <f t="shared" si="297"/>
        <v>0</v>
      </c>
      <c r="AG689" s="507">
        <f t="shared" si="298"/>
        <v>0</v>
      </c>
      <c r="AH689" s="508">
        <f t="shared" si="299"/>
        <v>0</v>
      </c>
      <c r="AI689" s="508">
        <f t="shared" si="300"/>
        <v>0</v>
      </c>
      <c r="AJ689" s="516"/>
      <c r="AK689" s="519"/>
      <c r="AL689" s="506">
        <f t="shared" si="309"/>
        <v>0</v>
      </c>
      <c r="AM689" s="509">
        <f t="shared" si="310"/>
        <v>0</v>
      </c>
      <c r="AN689" s="518"/>
      <c r="AO689" s="520"/>
      <c r="AP689" s="516"/>
      <c r="AQ689" s="520"/>
      <c r="AR689" s="516"/>
      <c r="AS689" s="520"/>
      <c r="AT689" s="516"/>
      <c r="AU689" s="520"/>
      <c r="AV689" s="506">
        <f t="shared" si="303"/>
        <v>0</v>
      </c>
      <c r="AW689" s="511">
        <f t="shared" si="304"/>
        <v>0</v>
      </c>
      <c r="AX689" s="508">
        <f t="shared" si="305"/>
        <v>0</v>
      </c>
      <c r="AY689" s="512">
        <f t="shared" si="306"/>
        <v>0</v>
      </c>
      <c r="AZ689" s="513">
        <f t="shared" si="307"/>
        <v>418.33333333333331</v>
      </c>
      <c r="BA689" s="508">
        <f t="shared" si="308"/>
        <v>473.2</v>
      </c>
    </row>
    <row r="690" spans="1:53">
      <c r="A690" s="600" t="s">
        <v>429</v>
      </c>
      <c r="B690" s="570" t="s">
        <v>446</v>
      </c>
      <c r="C690" s="601"/>
      <c r="D690" s="573">
        <v>445018</v>
      </c>
      <c r="E690" s="609">
        <v>10</v>
      </c>
      <c r="F690" s="514" t="s">
        <v>41</v>
      </c>
      <c r="G690" s="515" t="s">
        <v>41</v>
      </c>
      <c r="H690" s="516"/>
      <c r="I690" s="519"/>
      <c r="J690" s="516">
        <v>17884</v>
      </c>
      <c r="K690" s="519">
        <v>16500.599999999999</v>
      </c>
      <c r="L690" s="516">
        <v>1872</v>
      </c>
      <c r="M690" s="519">
        <v>1627</v>
      </c>
      <c r="N690" s="516">
        <v>17658</v>
      </c>
      <c r="O690" s="519">
        <v>16324</v>
      </c>
      <c r="P690" s="506">
        <f t="shared" si="293"/>
        <v>37414</v>
      </c>
      <c r="Q690" s="507">
        <f t="shared" si="294"/>
        <v>1247.1333333333334</v>
      </c>
      <c r="R690" s="508">
        <f t="shared" si="295"/>
        <v>34451.599999999999</v>
      </c>
      <c r="S690" s="509">
        <f t="shared" si="296"/>
        <v>1148.3866666666665</v>
      </c>
      <c r="T690" s="516">
        <v>166</v>
      </c>
      <c r="U690" s="519">
        <v>182</v>
      </c>
      <c r="V690" s="506">
        <f t="shared" si="301"/>
        <v>37414</v>
      </c>
      <c r="W690" s="510">
        <f t="shared" si="302"/>
        <v>34451.599999999999</v>
      </c>
      <c r="X690" s="517"/>
      <c r="Y690" s="519"/>
      <c r="Z690" s="516"/>
      <c r="AA690" s="519"/>
      <c r="AB690" s="516"/>
      <c r="AC690" s="519"/>
      <c r="AD690" s="516"/>
      <c r="AE690" s="519"/>
      <c r="AF690" s="506">
        <f t="shared" si="297"/>
        <v>0</v>
      </c>
      <c r="AG690" s="507">
        <f t="shared" si="298"/>
        <v>0</v>
      </c>
      <c r="AH690" s="508">
        <f t="shared" si="299"/>
        <v>0</v>
      </c>
      <c r="AI690" s="508">
        <f t="shared" si="300"/>
        <v>0</v>
      </c>
      <c r="AJ690" s="516"/>
      <c r="AK690" s="519"/>
      <c r="AL690" s="506">
        <f t="shared" si="309"/>
        <v>0</v>
      </c>
      <c r="AM690" s="509">
        <f t="shared" si="310"/>
        <v>0</v>
      </c>
      <c r="AN690" s="518"/>
      <c r="AO690" s="520"/>
      <c r="AP690" s="516"/>
      <c r="AQ690" s="520"/>
      <c r="AR690" s="516"/>
      <c r="AS690" s="520"/>
      <c r="AT690" s="516"/>
      <c r="AU690" s="520"/>
      <c r="AV690" s="506">
        <f t="shared" si="303"/>
        <v>0</v>
      </c>
      <c r="AW690" s="511">
        <f t="shared" si="304"/>
        <v>0</v>
      </c>
      <c r="AX690" s="508">
        <f t="shared" si="305"/>
        <v>0</v>
      </c>
      <c r="AY690" s="512">
        <f t="shared" si="306"/>
        <v>0</v>
      </c>
      <c r="AZ690" s="513">
        <f t="shared" si="307"/>
        <v>1247.1333333333334</v>
      </c>
      <c r="BA690" s="508">
        <f t="shared" si="308"/>
        <v>1148.3866666666665</v>
      </c>
    </row>
    <row r="691" spans="1:53">
      <c r="A691" s="600" t="s">
        <v>429</v>
      </c>
      <c r="B691" s="571" t="s">
        <v>447</v>
      </c>
      <c r="C691" s="601"/>
      <c r="D691" s="610">
        <v>444954</v>
      </c>
      <c r="E691" s="609">
        <v>10</v>
      </c>
      <c r="F691" s="514" t="s">
        <v>41</v>
      </c>
      <c r="G691" s="515" t="s">
        <v>41</v>
      </c>
      <c r="H691" s="516"/>
      <c r="I691" s="519"/>
      <c r="J691" s="516">
        <v>26117.8</v>
      </c>
      <c r="K691" s="519">
        <v>23594.400000000001</v>
      </c>
      <c r="L691" s="516">
        <v>5014</v>
      </c>
      <c r="M691" s="519">
        <v>5964.2</v>
      </c>
      <c r="N691" s="516">
        <v>27935.599999999999</v>
      </c>
      <c r="O691" s="519">
        <v>26481</v>
      </c>
      <c r="P691" s="506">
        <f t="shared" si="293"/>
        <v>59067.399999999994</v>
      </c>
      <c r="Q691" s="507">
        <f t="shared" si="294"/>
        <v>1968.9133333333332</v>
      </c>
      <c r="R691" s="508">
        <f t="shared" si="295"/>
        <v>56039.600000000006</v>
      </c>
      <c r="S691" s="509">
        <f t="shared" si="296"/>
        <v>1867.9866666666669</v>
      </c>
      <c r="T691" s="516">
        <v>1376</v>
      </c>
      <c r="U691" s="519">
        <v>1854.2</v>
      </c>
      <c r="V691" s="506">
        <f t="shared" si="301"/>
        <v>59067.399999999994</v>
      </c>
      <c r="W691" s="510">
        <f t="shared" si="302"/>
        <v>56039.600000000006</v>
      </c>
      <c r="X691" s="517"/>
      <c r="Y691" s="519"/>
      <c r="Z691" s="516"/>
      <c r="AA691" s="519"/>
      <c r="AB691" s="516"/>
      <c r="AC691" s="519"/>
      <c r="AD691" s="516"/>
      <c r="AE691" s="519"/>
      <c r="AF691" s="506">
        <f t="shared" si="297"/>
        <v>0</v>
      </c>
      <c r="AG691" s="507">
        <f t="shared" si="298"/>
        <v>0</v>
      </c>
      <c r="AH691" s="508">
        <f t="shared" si="299"/>
        <v>0</v>
      </c>
      <c r="AI691" s="508">
        <f t="shared" si="300"/>
        <v>0</v>
      </c>
      <c r="AJ691" s="516"/>
      <c r="AK691" s="519"/>
      <c r="AL691" s="506">
        <f t="shared" si="309"/>
        <v>0</v>
      </c>
      <c r="AM691" s="509">
        <f t="shared" si="310"/>
        <v>0</v>
      </c>
      <c r="AN691" s="518"/>
      <c r="AO691" s="520"/>
      <c r="AP691" s="516"/>
      <c r="AQ691" s="520"/>
      <c r="AR691" s="516"/>
      <c r="AS691" s="520"/>
      <c r="AT691" s="516"/>
      <c r="AU691" s="520"/>
      <c r="AV691" s="506">
        <f t="shared" si="303"/>
        <v>0</v>
      </c>
      <c r="AW691" s="511">
        <f t="shared" si="304"/>
        <v>0</v>
      </c>
      <c r="AX691" s="508">
        <f t="shared" si="305"/>
        <v>0</v>
      </c>
      <c r="AY691" s="512">
        <f t="shared" si="306"/>
        <v>0</v>
      </c>
      <c r="AZ691" s="513">
        <f t="shared" si="307"/>
        <v>1968.9133333333332</v>
      </c>
      <c r="BA691" s="508">
        <f t="shared" si="308"/>
        <v>1867.9866666666669</v>
      </c>
    </row>
    <row r="692" spans="1:53">
      <c r="A692" s="600" t="s">
        <v>429</v>
      </c>
      <c r="B692" s="570" t="s">
        <v>450</v>
      </c>
      <c r="C692" s="601"/>
      <c r="D692" s="600">
        <v>237817</v>
      </c>
      <c r="E692" s="600">
        <v>10</v>
      </c>
      <c r="F692" s="514" t="s">
        <v>41</v>
      </c>
      <c r="G692" s="515" t="s">
        <v>41</v>
      </c>
      <c r="H692" s="516"/>
      <c r="I692" s="519"/>
      <c r="J692" s="516">
        <v>21340</v>
      </c>
      <c r="K692" s="519">
        <v>20922</v>
      </c>
      <c r="L692" s="516">
        <v>2679</v>
      </c>
      <c r="M692" s="519">
        <v>1980</v>
      </c>
      <c r="N692" s="516">
        <v>25278</v>
      </c>
      <c r="O692" s="519">
        <v>24143</v>
      </c>
      <c r="P692" s="506">
        <f t="shared" si="293"/>
        <v>49297</v>
      </c>
      <c r="Q692" s="507">
        <f t="shared" si="294"/>
        <v>1643.2333333333333</v>
      </c>
      <c r="R692" s="508">
        <f t="shared" si="295"/>
        <v>47045</v>
      </c>
      <c r="S692" s="509">
        <f t="shared" si="296"/>
        <v>1568.1666666666667</v>
      </c>
      <c r="T692" s="516">
        <v>3273</v>
      </c>
      <c r="U692" s="519">
        <v>1688</v>
      </c>
      <c r="V692" s="506">
        <f t="shared" si="301"/>
        <v>49297</v>
      </c>
      <c r="W692" s="510">
        <f t="shared" si="302"/>
        <v>47045</v>
      </c>
      <c r="X692" s="517"/>
      <c r="Y692" s="519"/>
      <c r="Z692" s="516"/>
      <c r="AA692" s="519"/>
      <c r="AB692" s="516"/>
      <c r="AC692" s="519"/>
      <c r="AD692" s="516"/>
      <c r="AE692" s="519"/>
      <c r="AF692" s="506">
        <f t="shared" si="297"/>
        <v>0</v>
      </c>
      <c r="AG692" s="507">
        <f t="shared" si="298"/>
        <v>0</v>
      </c>
      <c r="AH692" s="508">
        <f t="shared" si="299"/>
        <v>0</v>
      </c>
      <c r="AI692" s="508">
        <f t="shared" si="300"/>
        <v>0</v>
      </c>
      <c r="AJ692" s="516"/>
      <c r="AK692" s="519"/>
      <c r="AL692" s="506">
        <f t="shared" si="309"/>
        <v>0</v>
      </c>
      <c r="AM692" s="509">
        <f t="shared" si="310"/>
        <v>0</v>
      </c>
      <c r="AN692" s="518"/>
      <c r="AO692" s="520"/>
      <c r="AP692" s="516"/>
      <c r="AQ692" s="520"/>
      <c r="AR692" s="516"/>
      <c r="AS692" s="520"/>
      <c r="AT692" s="516"/>
      <c r="AU692" s="520"/>
      <c r="AV692" s="506">
        <f t="shared" si="303"/>
        <v>0</v>
      </c>
      <c r="AW692" s="511">
        <f t="shared" si="304"/>
        <v>0</v>
      </c>
      <c r="AX692" s="508">
        <f t="shared" si="305"/>
        <v>0</v>
      </c>
      <c r="AY692" s="512">
        <f t="shared" si="306"/>
        <v>0</v>
      </c>
      <c r="AZ692" s="513">
        <f t="shared" si="307"/>
        <v>1643.2333333333333</v>
      </c>
      <c r="BA692" s="508">
        <f t="shared" si="308"/>
        <v>1568.1666666666667</v>
      </c>
    </row>
  </sheetData>
  <sortState ref="A7:BA606">
    <sortCondition ref="A7:A606"/>
    <sortCondition ref="E7:E606"/>
    <sortCondition ref="B7:B606"/>
  </sortState>
  <mergeCells count="1">
    <mergeCell ref="AZ3:BA3"/>
  </mergeCells>
  <phoneticPr fontId="0" type="noConversion"/>
  <conditionalFormatting sqref="AQ1 AO1 AE1 I1 AA1 Y1 AC1 K1 O1 M1 AU1 AS1">
    <cfRule type="expression" dxfId="183" priority="461" stopIfTrue="1">
      <formula>I1&lt;(H1-(H1*0.1))</formula>
    </cfRule>
    <cfRule type="expression" dxfId="182" priority="462" stopIfTrue="1">
      <formula>I1&gt;(H1+(H1*0.1))</formula>
    </cfRule>
  </conditionalFormatting>
  <conditionalFormatting sqref="AQ1 AO1 O1 AE1 M1 K1 I1 U1 AA1 AC1 AK1 Y1 AS1 AU1">
    <cfRule type="cellIs" dxfId="181" priority="413" stopIfTrue="1" operator="greaterThan">
      <formula>H1+(H1*0.1)</formula>
    </cfRule>
    <cfRule type="cellIs" dxfId="180" priority="414" stopIfTrue="1" operator="lessThan">
      <formula>H1-(H1*0.1)</formula>
    </cfRule>
  </conditionalFormatting>
  <conditionalFormatting sqref="AS1">
    <cfRule type="cellIs" dxfId="179" priority="361" stopIfTrue="1" operator="greaterThan">
      <formula>AR1+(AR1*0.1)</formula>
    </cfRule>
    <cfRule type="cellIs" dxfId="178" priority="362" stopIfTrue="1" operator="lessThan">
      <formula>AR1-(AR1*0.1)</formula>
    </cfRule>
  </conditionalFormatting>
  <conditionalFormatting sqref="AU1">
    <cfRule type="cellIs" dxfId="177" priority="359" stopIfTrue="1" operator="greaterThan">
      <formula>AT1+(AT1*0.1)</formula>
    </cfRule>
    <cfRule type="cellIs" dxfId="176" priority="360" stopIfTrue="1" operator="lessThan">
      <formula>AT1-(AT1*0.1)</formula>
    </cfRule>
  </conditionalFormatting>
  <conditionalFormatting sqref="AJ1">
    <cfRule type="expression" dxfId="175" priority="477" stopIfTrue="1">
      <formula>AJ1&lt;(AF1-(AF1*0.1))</formula>
    </cfRule>
    <cfRule type="expression" dxfId="174" priority="478" stopIfTrue="1">
      <formula>AJ1&gt;(AF1+(AF1*0.1))</formula>
    </cfRule>
  </conditionalFormatting>
  <conditionalFormatting sqref="AK1">
    <cfRule type="expression" dxfId="173" priority="479" stopIfTrue="1">
      <formula>AK1&lt;(AH1-(AH1*0.1))</formula>
    </cfRule>
    <cfRule type="expression" dxfId="172" priority="480" stopIfTrue="1">
      <formula>AK1&gt;(AH1+(AH1*0.1))</formula>
    </cfRule>
  </conditionalFormatting>
  <conditionalFormatting sqref="AQ1 AO1 M1 Y1 AA1 AC1 AE1 AK1 I1 K1 U1 O1 AS1 AU1">
    <cfRule type="expression" dxfId="171" priority="309">
      <formula>I1&gt;(H1+(H1*0.1))</formula>
    </cfRule>
    <cfRule type="expression" dxfId="170" priority="310">
      <formula>I1&lt;(H1-(H1*0.1))</formula>
    </cfRule>
  </conditionalFormatting>
  <conditionalFormatting sqref="U1">
    <cfRule type="expression" dxfId="169" priority="295">
      <formula>U1&gt;(T1+(T1*0.1))</formula>
    </cfRule>
    <cfRule type="expression" dxfId="168" priority="296">
      <formula>U1&lt;(T1-(T1*0.1))</formula>
    </cfRule>
  </conditionalFormatting>
  <conditionalFormatting sqref="O1">
    <cfRule type="expression" dxfId="167" priority="193">
      <formula>O1&gt;(N1+(N1*0.1))</formula>
    </cfRule>
    <cfRule type="expression" dxfId="166" priority="194">
      <formula>O1&lt;(N1-(N1*0.1))</formula>
    </cfRule>
  </conditionalFormatting>
  <conditionalFormatting sqref="AQ1 AS1 AU1">
    <cfRule type="expression" dxfId="165" priority="189">
      <formula>AQ1&gt;(AP1+(AP1*0.1))</formula>
    </cfRule>
    <cfRule type="expression" dxfId="164" priority="190">
      <formula>AQ1&lt;(AP1-(AP1*0.1))</formula>
    </cfRule>
  </conditionalFormatting>
  <conditionalFormatting sqref="AN1:AU1">
    <cfRule type="expression" dxfId="163" priority="183" stopIfTrue="1">
      <formula>AN1&lt;(AJ1-(AJ1*0.1))</formula>
    </cfRule>
    <cfRule type="expression" dxfId="162" priority="184" stopIfTrue="1">
      <formula>AN1&gt;(AJ1+(AJ1*0.1))</formula>
    </cfRule>
  </conditionalFormatting>
  <conditionalFormatting sqref="AO1">
    <cfRule type="expression" dxfId="161" priority="181" stopIfTrue="1">
      <formula>AO1&lt;(AL1-(AL1*0.1))</formula>
    </cfRule>
    <cfRule type="expression" dxfId="160" priority="182" stopIfTrue="1">
      <formula>AO1&gt;(AL1+(AL1*0.1))</formula>
    </cfRule>
  </conditionalFormatting>
  <conditionalFormatting sqref="AP1">
    <cfRule type="expression" dxfId="159" priority="179" stopIfTrue="1">
      <formula>AP1&lt;(AO1-(AO1*0.1))</formula>
    </cfRule>
    <cfRule type="expression" dxfId="158" priority="180" stopIfTrue="1">
      <formula>AP1&gt;(AO1+(AO1*0.1))</formula>
    </cfRule>
  </conditionalFormatting>
  <conditionalFormatting sqref="AP1">
    <cfRule type="cellIs" dxfId="157" priority="177" stopIfTrue="1" operator="greaterThan">
      <formula>AO1+(AO1*0.1)</formula>
    </cfRule>
    <cfRule type="cellIs" dxfId="156" priority="178" stopIfTrue="1" operator="lessThan">
      <formula>AO1-(AO1*0.1)</formula>
    </cfRule>
  </conditionalFormatting>
  <conditionalFormatting sqref="AP1">
    <cfRule type="expression" dxfId="155" priority="175">
      <formula>AP1&gt;(AO1+(AO1*0.1))</formula>
    </cfRule>
    <cfRule type="expression" dxfId="154" priority="176">
      <formula>AP1&lt;(AO1-(AO1*0.1))</formula>
    </cfRule>
  </conditionalFormatting>
  <conditionalFormatting sqref="AP1">
    <cfRule type="expression" dxfId="153" priority="173" stopIfTrue="1">
      <formula>AP1&lt;(AM1-(AM1*0.1))</formula>
    </cfRule>
    <cfRule type="expression" dxfId="152" priority="174" stopIfTrue="1">
      <formula>AP1&gt;(AM1+(AM1*0.1))</formula>
    </cfRule>
  </conditionalFormatting>
  <conditionalFormatting sqref="AO7:AQ31 AE7:AE31 I7:I31 AA7:AA31 Y7:Y31 AC7:AC31 K7:K31 O7:O31 M7:M31 AU7:AU31 AS7:AS31">
    <cfRule type="expression" dxfId="151" priority="167" stopIfTrue="1">
      <formula>I7&lt;(H7-(H7*0.1))</formula>
    </cfRule>
    <cfRule type="expression" dxfId="150" priority="168" stopIfTrue="1">
      <formula>I7&gt;(H7+(H7*0.1))</formula>
    </cfRule>
  </conditionalFormatting>
  <conditionalFormatting sqref="AO7:AQ31 O7:O31 AE7:AE31 M7:M31 K7:K31 I7:I31 U7:U31 AA7:AA31 AC7:AC31 AK7:AK31 Y7:Y31 AS7:AS31 AU7:AU31">
    <cfRule type="cellIs" dxfId="149" priority="165" stopIfTrue="1" operator="greaterThan">
      <formula>H7+(H7*0.1)</formula>
    </cfRule>
    <cfRule type="cellIs" dxfId="148" priority="166" stopIfTrue="1" operator="lessThan">
      <formula>H7-(H7*0.1)</formula>
    </cfRule>
  </conditionalFormatting>
  <conditionalFormatting sqref="AN7:AU31 AJ7:AJ31">
    <cfRule type="expression" dxfId="147" priority="169" stopIfTrue="1">
      <formula>AJ7&lt;(AF7-(AF7*0.1))</formula>
    </cfRule>
    <cfRule type="expression" dxfId="146" priority="170" stopIfTrue="1">
      <formula>AJ7&gt;(AF7+(AF7*0.1))</formula>
    </cfRule>
  </conditionalFormatting>
  <conditionalFormatting sqref="AO7:AP31 AK7:AK31">
    <cfRule type="expression" dxfId="145" priority="171" stopIfTrue="1">
      <formula>AK7&lt;(AH7-(AH7*0.1))</formula>
    </cfRule>
    <cfRule type="expression" dxfId="144" priority="172" stopIfTrue="1">
      <formula>AK7&gt;(AH7+(AH7*0.1))</formula>
    </cfRule>
  </conditionalFormatting>
  <conditionalFormatting sqref="AO7:AQ31 M7:M31 Y7:Y31 AA7:AA31 AC7:AC31 AE7:AE31 AK7:AK31 I7:I31 K7:K31 U7:U31 O7:O31 AS7:AS31 AU7:AU31">
    <cfRule type="expression" dxfId="143" priority="163">
      <formula>I7&gt;(H7+(H7*0.1))</formula>
    </cfRule>
    <cfRule type="expression" dxfId="142" priority="164">
      <formula>I7&lt;(H7-(H7*0.1))</formula>
    </cfRule>
  </conditionalFormatting>
  <conditionalFormatting sqref="I56:I60 K56:K59 M56:M60 U56:U60 Y56:Y60 AA56:AA60 AC56:AC60 AE56:AE60 AK56:AK60 AO56:AO60 AQ56:AQ60 AS56:AS60 AU56:AU60 AU62:AU85 AS62:AS85 AQ62:AQ85 AO62:AO85 AK62:AK85 AE62:AE85 AC62:AC85 AA62:AA85 Y62:Y85 U62:U85 O78:O85 M62:M85 K62:K74 I62:I85 I87:I93 K87:K93 M87:M93 O87:O93 U87:U93 Y87:Y93 AA87:AA93 AC87:AC93 AE87:AE93 AK87:AK93 AO87:AO93 AQ87:AQ93 AS87:AS93 AU87:AU93 AU122 AS122 AQ122 AO122 AK122 AE122 AC122 AA122 Y122 U122 O122 M122 K122 I122 I618:I628 K618:K628 M618:M628 O618:O628 Y618:Y628 AA618:AA628 AC618:AC628 AE618:AE628 AK618:AK628 AO618:AO628 AQ618:AQ628 AS618:AS628 AU618:AU628 U618:U628 U672:U692 AU672:AU692 AS672:AS692 AQ672:AQ692 AO672:AO692 AK672:AK692 AE672:AE692 AC672:AC692 AA672:AA692 Y672:Y692 O672:O692 M672:M692 K672:K692 I672:I692 I236:I270 K236:K270 M236:M270 O236:O270 U236:U270 Y232:Y270 AA235:AA270 AC235:AC270 AE235:AE270 AK232:AK270 AO232:AO270 AQ232:AQ270 AS232:AS270 AU232:AU270 AU286:AU293 AS286:AS293 AQ286:AQ293 AO286:AO293 AK286:AK293 AE286:AE293 AC286:AC293 AA286:AA293 Y286:Y293 U286:U293 O286:O293 M286:M293 K286:K293 I286:I293 K76:K85">
    <cfRule type="expression" dxfId="141" priority="151">
      <formula>AND(H56=0,(I56&gt;0))</formula>
    </cfRule>
    <cfRule type="expression" dxfId="140" priority="152">
      <formula>((I56-H56)/H56)&gt;0.05</formula>
    </cfRule>
  </conditionalFormatting>
  <conditionalFormatting sqref="I123:I154 K123:K154 M123:M154 O123:O154 U123:U154 Y123:Y154 AA123:AA154 AC123:AC154 AE123:AE154 AK123:AK154 AO123:AO154 AQ123:AQ154 AS123:AS154 AU123:AU154">
    <cfRule type="expression" dxfId="139" priority="149">
      <formula>AND(H123=0,(I123&gt;0))</formula>
    </cfRule>
    <cfRule type="expression" dxfId="138" priority="150">
      <formula>((I123-H123)/H123)&gt;0.05</formula>
    </cfRule>
  </conditionalFormatting>
  <conditionalFormatting sqref="I155:I169 K155:K169 M155:M169 O155:O169 U155:U169 Y155:Y169 AA155:AA169 AC155:AC169 AE155:AE169 AK155:AK169 AO155:AO169 AQ155:AQ169 AS155:AS169 AU155:AU169">
    <cfRule type="expression" dxfId="137" priority="147">
      <formula>AND(H155=0,(I155&gt;0))</formula>
    </cfRule>
    <cfRule type="expression" dxfId="136" priority="148">
      <formula>((I155-H155)/H155)&gt;0.05</formula>
    </cfRule>
  </conditionalFormatting>
  <conditionalFormatting sqref="I170:I202 K170:K202 M170:M202 O170:O202 U170:U202 Y170:Y202 AA170:AA202 AC170:AC202 AE170:AE202 AK170:AK202 AO170:AO202 AQ170:AQ202 AS170:AS202 AU170:AU202">
    <cfRule type="expression" dxfId="135" priority="145">
      <formula>AND(H170=0,(I170&gt;0))</formula>
    </cfRule>
    <cfRule type="expression" dxfId="134" priority="146">
      <formula>((I170-H170)/H170)&gt;0.05</formula>
    </cfRule>
  </conditionalFormatting>
  <conditionalFormatting sqref="I203 K203 M203 O203 U203 Y203:Y204 AA203:AA204 AC203:AC204 AE203:AE204 AK203:AK204 AO203:AO204 AQ203:AQ204 AS203:AS204 AU203:AU204 AU206:AU210 AS206:AS210 AQ206:AQ210 AO206:AO210 AK206:AK210 AE206:AE210 AC206:AC210 AA206:AA210 Y206:Y210">
    <cfRule type="expression" dxfId="133" priority="143">
      <formula>AND(H203=0,(I203&gt;0))</formula>
    </cfRule>
    <cfRule type="expression" dxfId="132" priority="144">
      <formula>((I203-H203)/H203)&gt;0.05</formula>
    </cfRule>
  </conditionalFormatting>
  <conditionalFormatting sqref="Y211:Y231 AA211:AA229 AC211:AC229 AE211:AE229 AK211:AK231 AO211:AO231 AQ211:AQ231 AS211:AS231 AU211:AU231">
    <cfRule type="expression" dxfId="131" priority="141">
      <formula>AND(X211=0,(Y211&gt;0))</formula>
    </cfRule>
    <cfRule type="expression" dxfId="130" priority="142">
      <formula>((Y211-X211)/X211)&gt;0.05</formula>
    </cfRule>
  </conditionalFormatting>
  <conditionalFormatting sqref="I294:I320 K294:K320 M294:M308 O294:O320 U294:U320 Y294:Y320 AA294:AA320 AC294:AC320 AE294:AE320 AK294:AK320 AO294:AO320 AQ294:AQ320 AS294:AS320 AU294:AU320 M312:M320">
    <cfRule type="expression" dxfId="129" priority="135">
      <formula>AND(H294=0,(I294&gt;0))</formula>
    </cfRule>
    <cfRule type="expression" dxfId="128" priority="136">
      <formula>((I294-H294)/H294)&gt;0.05</formula>
    </cfRule>
  </conditionalFormatting>
  <conditionalFormatting sqref="M309:M310">
    <cfRule type="expression" dxfId="127" priority="137">
      <formula>AND(L310=0,(M309&gt;0))</formula>
    </cfRule>
    <cfRule type="expression" dxfId="126" priority="138">
      <formula>((M309-L310)/L310)&gt;0.05</formula>
    </cfRule>
  </conditionalFormatting>
  <conditionalFormatting sqref="I321:I355 Y321:Y355 AA321:AA355 AC321:AC355 AE321:AE355 AK321:AK435 AO321:AO435 AQ356:AQ423 AS356:AS423 AU356:AU423 AQ427:AQ435 AS427:AS435 AU427:AU435">
    <cfRule type="expression" dxfId="125" priority="133">
      <formula>AND(H321=0,(I321&gt;0))</formula>
    </cfRule>
    <cfRule type="expression" dxfId="124" priority="134">
      <formula>((I321-H321)/H321)&gt;0.05</formula>
    </cfRule>
  </conditionalFormatting>
  <conditionalFormatting sqref="K321:K355">
    <cfRule type="expression" dxfId="123" priority="131">
      <formula>AND(J321=0,(K321&gt;0))</formula>
    </cfRule>
    <cfRule type="expression" dxfId="122" priority="132">
      <formula>((K321-J321)/J321)&gt;0.05</formula>
    </cfRule>
  </conditionalFormatting>
  <conditionalFormatting sqref="K356:K435">
    <cfRule type="expression" dxfId="121" priority="129">
      <formula>AND(J356=0,(K356&gt;0))</formula>
    </cfRule>
    <cfRule type="expression" dxfId="120" priority="130">
      <formula>((K356-J356)/J356)&gt;0.05</formula>
    </cfRule>
  </conditionalFormatting>
  <conditionalFormatting sqref="I356:I435">
    <cfRule type="expression" dxfId="119" priority="127">
      <formula>AND(H356=0,(I356&gt;0))</formula>
    </cfRule>
    <cfRule type="expression" dxfId="118" priority="128">
      <formula>((I356-H356)/H356)&gt;0.05</formula>
    </cfRule>
  </conditionalFormatting>
  <conditionalFormatting sqref="M321:M355">
    <cfRule type="expression" dxfId="117" priority="125">
      <formula>AND(L321=0,(M321&gt;0))</formula>
    </cfRule>
    <cfRule type="expression" dxfId="116" priority="126">
      <formula>((M321-L321)/L321)&gt;0.05</formula>
    </cfRule>
  </conditionalFormatting>
  <conditionalFormatting sqref="M356:M435">
    <cfRule type="expression" dxfId="115" priority="123">
      <formula>AND(L356=0,(M356&gt;0))</formula>
    </cfRule>
    <cfRule type="expression" dxfId="114" priority="124">
      <formula>((M356-L356)/L356)&gt;0.05</formula>
    </cfRule>
  </conditionalFormatting>
  <conditionalFormatting sqref="O321:O355">
    <cfRule type="expression" dxfId="113" priority="121">
      <formula>AND(N321=0,(O321&gt;0))</formula>
    </cfRule>
    <cfRule type="expression" dxfId="112" priority="122">
      <formula>((O321-N321)/N321)&gt;0.05</formula>
    </cfRule>
  </conditionalFormatting>
  <conditionalFormatting sqref="O356:O435">
    <cfRule type="expression" dxfId="111" priority="119">
      <formula>AND(N356=0,(O356&gt;0))</formula>
    </cfRule>
    <cfRule type="expression" dxfId="110" priority="120">
      <formula>((O356-N356)/N356)&gt;0.05</formula>
    </cfRule>
  </conditionalFormatting>
  <conditionalFormatting sqref="Y356:Y391">
    <cfRule type="expression" dxfId="109" priority="117">
      <formula>AND(X356=0,(Y356&gt;0))</formula>
    </cfRule>
    <cfRule type="expression" dxfId="108" priority="118">
      <formula>((Y356-X356)/X356)&gt;0.05</formula>
    </cfRule>
  </conditionalFormatting>
  <conditionalFormatting sqref="Y392:Y435">
    <cfRule type="expression" dxfId="107" priority="115">
      <formula>AND(X392=0,(Y392&gt;0))</formula>
    </cfRule>
    <cfRule type="expression" dxfId="106" priority="116">
      <formula>((Y392-X392)/X392)&gt;0.05</formula>
    </cfRule>
  </conditionalFormatting>
  <conditionalFormatting sqref="AA356:AA391">
    <cfRule type="expression" dxfId="105" priority="113">
      <formula>AND(Z356=0,(AA356&gt;0))</formula>
    </cfRule>
    <cfRule type="expression" dxfId="104" priority="114">
      <formula>((AA356-Z356)/Z356)&gt;0.05</formula>
    </cfRule>
  </conditionalFormatting>
  <conditionalFormatting sqref="AA392:AA435">
    <cfRule type="expression" dxfId="103" priority="111">
      <formula>AND(Z392=0,(AA392&gt;0))</formula>
    </cfRule>
    <cfRule type="expression" dxfId="102" priority="112">
      <formula>((AA392-Z392)/Z392)&gt;0.05</formula>
    </cfRule>
  </conditionalFormatting>
  <conditionalFormatting sqref="AC356:AC391">
    <cfRule type="expression" dxfId="101" priority="109">
      <formula>AND(AB356=0,(AC356&gt;0))</formula>
    </cfRule>
    <cfRule type="expression" dxfId="100" priority="110">
      <formula>((AC356-AB356)/AB356)&gt;0.05</formula>
    </cfRule>
  </conditionalFormatting>
  <conditionalFormatting sqref="AC392:AC435">
    <cfRule type="expression" dxfId="99" priority="107">
      <formula>AND(AB392=0,(AC392&gt;0))</formula>
    </cfRule>
    <cfRule type="expression" dxfId="98" priority="108">
      <formula>((AC392-AB392)/AB392)&gt;0.05</formula>
    </cfRule>
  </conditionalFormatting>
  <conditionalFormatting sqref="AE356:AE391">
    <cfRule type="expression" dxfId="97" priority="105">
      <formula>AND(AD356=0,(AE356&gt;0))</formula>
    </cfRule>
    <cfRule type="expression" dxfId="96" priority="106">
      <formula>((AE356-AD356)/AD356)&gt;0.05</formula>
    </cfRule>
  </conditionalFormatting>
  <conditionalFormatting sqref="AE392:AE435">
    <cfRule type="expression" dxfId="95" priority="103">
      <formula>AND(AD392=0,(AE392&gt;0))</formula>
    </cfRule>
    <cfRule type="expression" dxfId="94" priority="104">
      <formula>((AE392-AD392)/AD392)&gt;0.05</formula>
    </cfRule>
  </conditionalFormatting>
  <conditionalFormatting sqref="AQ321:AQ355">
    <cfRule type="expression" dxfId="93" priority="101">
      <formula>AND(AP321=0,(AQ321&gt;0))</formula>
    </cfRule>
    <cfRule type="expression" dxfId="92" priority="102">
      <formula>((AQ321-AP321)/AP321)&gt;0.05</formula>
    </cfRule>
  </conditionalFormatting>
  <conditionalFormatting sqref="AS321:AS355">
    <cfRule type="expression" dxfId="91" priority="99">
      <formula>AND(AR321=0,(AS321&gt;0))</formula>
    </cfRule>
    <cfRule type="expression" dxfId="90" priority="100">
      <formula>((AS321-AR321)/AR321)&gt;0.05</formula>
    </cfRule>
  </conditionalFormatting>
  <conditionalFormatting sqref="AU321:AU355">
    <cfRule type="expression" dxfId="89" priority="97">
      <formula>AND(AT321=0,(AU321&gt;0))</formula>
    </cfRule>
    <cfRule type="expression" dxfId="88" priority="98">
      <formula>((AU321-AT321)/AT321)&gt;0.05</formula>
    </cfRule>
  </conditionalFormatting>
  <conditionalFormatting sqref="AQ424:AQ426">
    <cfRule type="expression" dxfId="87" priority="95">
      <formula>AND(AP424=0,(AQ424&gt;0))</formula>
    </cfRule>
    <cfRule type="expression" dxfId="86" priority="96">
      <formula>((AQ424-AP424)/AP424)&gt;0.05</formula>
    </cfRule>
  </conditionalFormatting>
  <conditionalFormatting sqref="AS424:AS426">
    <cfRule type="expression" dxfId="85" priority="93">
      <formula>AND(AR424=0,(AS424&gt;0))</formula>
    </cfRule>
    <cfRule type="expression" dxfId="84" priority="94">
      <formula>((AS424-AR424)/AR424)&gt;0.05</formula>
    </cfRule>
  </conditionalFormatting>
  <conditionalFormatting sqref="AU424:AU426">
    <cfRule type="expression" dxfId="83" priority="91">
      <formula>AND(AT424=0,(AU424&gt;0))</formula>
    </cfRule>
    <cfRule type="expression" dxfId="82" priority="92">
      <formula>((AU424-AT424)/AT424)&gt;0.05</formula>
    </cfRule>
  </conditionalFormatting>
  <conditionalFormatting sqref="U321:U355">
    <cfRule type="expression" dxfId="81" priority="89">
      <formula>AND(T321=0,(U321&gt;0))</formula>
    </cfRule>
    <cfRule type="expression" dxfId="80" priority="90">
      <formula>((U321-T321)/T321)&gt;0.05</formula>
    </cfRule>
  </conditionalFormatting>
  <conditionalFormatting sqref="U356:U424 U426">
    <cfRule type="expression" dxfId="79" priority="85">
      <formula>AND(T356=0,(U356&gt;0))</formula>
    </cfRule>
    <cfRule type="expression" dxfId="78" priority="86">
      <formula>((U356-T356)/T356)&gt;0.05</formula>
    </cfRule>
  </conditionalFormatting>
  <conditionalFormatting sqref="U425">
    <cfRule type="expression" dxfId="77" priority="87">
      <formula>AND(T424=0,(U425&gt;0))</formula>
    </cfRule>
    <cfRule type="expression" dxfId="76" priority="88">
      <formula>((U425-T424)/T424)&gt;0.05</formula>
    </cfRule>
  </conditionalFormatting>
  <conditionalFormatting sqref="U427:U435">
    <cfRule type="expression" dxfId="75" priority="83">
      <formula>AND(T427=0,(U427&gt;0))</formula>
    </cfRule>
    <cfRule type="expression" dxfId="74" priority="84">
      <formula>((U427-T427)/T427)&gt;0.05</formula>
    </cfRule>
  </conditionalFormatting>
  <conditionalFormatting sqref="I436:I484 K436:K484 M436:M484 O436:O484 U436:U484 Y436:Y484 AA436:AA484 AC436:AC484 AE436:AE484 AK436:AK484 AO436:AO484 AQ436:AQ484 AS436:AS484 AU436:AU484">
    <cfRule type="expression" dxfId="73" priority="81">
      <formula>AND(H436=0,(I436&gt;0))</formula>
    </cfRule>
    <cfRule type="expression" dxfId="72" priority="82">
      <formula>((I436-H436)/H436)&gt;0.05</formula>
    </cfRule>
  </conditionalFormatting>
  <conditionalFormatting sqref="AP437">
    <cfRule type="expression" dxfId="71" priority="79">
      <formula>AND(AO437=0,(AP437&gt;0))</formula>
    </cfRule>
    <cfRule type="expression" dxfId="70" priority="80">
      <formula>((AP437-AO437)/AO437)&gt;0.05</formula>
    </cfRule>
  </conditionalFormatting>
  <conditionalFormatting sqref="AP444">
    <cfRule type="expression" dxfId="69" priority="77">
      <formula>AND(AO444=0,(AP444&gt;0))</formula>
    </cfRule>
    <cfRule type="expression" dxfId="68" priority="78">
      <formula>((AP444-AO444)/AO444)&gt;0.05</formula>
    </cfRule>
  </conditionalFormatting>
  <conditionalFormatting sqref="AT439">
    <cfRule type="expression" dxfId="67" priority="75">
      <formula>AND(AS439=0,(AT439&gt;0))</formula>
    </cfRule>
    <cfRule type="expression" dxfId="66" priority="76">
      <formula>((AT439-AS439)/AS439)&gt;0.05</formula>
    </cfRule>
  </conditionalFormatting>
  <conditionalFormatting sqref="I61 K61 M61 U61 Y61 AA61 AC61 AE61 AK61 AO61 AQ61 AS61 AU61">
    <cfRule type="expression" dxfId="65" priority="73">
      <formula>AND(H61=0,(I61&gt;0))</formula>
    </cfRule>
    <cfRule type="expression" dxfId="64" priority="74">
      <formula>((I61-H61)/H61)&gt;0.05</formula>
    </cfRule>
  </conditionalFormatting>
  <conditionalFormatting sqref="I86 K86 M86 O86 U86 Y86 AA86 AC86 AE86 AK86 AO86 AQ86 AS86 AU86">
    <cfRule type="expression" dxfId="63" priority="71">
      <formula>AND(H86=0,(I86&gt;0))</formula>
    </cfRule>
    <cfRule type="expression" dxfId="62" priority="72">
      <formula>((I86-H86)/H86)&gt;0.05</formula>
    </cfRule>
  </conditionalFormatting>
  <conditionalFormatting sqref="I485:I516 K485:K516 M485:M516 O485:O516 U485:U516 Y485:Y516 AA485:AA516 AC485:AC516 AE485:AE516 AK485:AK516 AO485:AO516 AQ485:AQ516 AS485:AS516 AU485:AU516">
    <cfRule type="expression" dxfId="61" priority="69">
      <formula>AND(H485=0,(I485&gt;0))</formula>
    </cfRule>
    <cfRule type="expression" dxfId="60" priority="70">
      <formula>((I485-H485)/H485)&gt;0.05</formula>
    </cfRule>
  </conditionalFormatting>
  <conditionalFormatting sqref="I517:I532 K517:K532 M517:M532 O517:O532 U517:U532 Y517:Y532 AA517:AA532 AC517:AC532 AE517:AE532 AK517:AK532 AO517:AO532 AQ517:AQ532 AS517:AS532 AU517:AU532">
    <cfRule type="expression" dxfId="59" priority="65">
      <formula>AND(H517=0,(I517&gt;0))</formula>
    </cfRule>
    <cfRule type="expression" dxfId="58" priority="66">
      <formula>((I517-H517)/H517)&gt;0.05</formula>
    </cfRule>
  </conditionalFormatting>
  <conditionalFormatting sqref="I533:I564 K533:K564 M533:M564 O533:O564 U533:U564 Y533:Y564 AA533:AA564 AC533:AC564 AE533:AE564 AK533:AK564 AO533:AO564 AQ533:AQ564 AS533:AS564 AU533:AU564">
    <cfRule type="expression" dxfId="57" priority="63">
      <formula>AND(H533=0,(I533&gt;0))</formula>
    </cfRule>
    <cfRule type="expression" dxfId="56" priority="64">
      <formula>((I533-H533)/H533)&gt;0.05</formula>
    </cfRule>
  </conditionalFormatting>
  <conditionalFormatting sqref="I565:I574 K565:K574 M565:M574 O565:O574 U565:U574 Y565:Y574 AA565:AA574 AC565:AC574 AE565:AE574 AK565:AK574 AO565:AO574 AQ565:AQ574 AS565:AS574 AU565:AU574">
    <cfRule type="expression" dxfId="55" priority="61">
      <formula>AND(H565=0,(I565&gt;0))</formula>
    </cfRule>
    <cfRule type="expression" dxfId="54" priority="62">
      <formula>((I565-H565)/H565)&gt;0.05</formula>
    </cfRule>
  </conditionalFormatting>
  <conditionalFormatting sqref="I575:I585 K575:K585 M575:M585 O575:O585 U575:U585 Y575:Y585 AA575:AA585 AC575:AC585 AE575:AE585 AK575:AK585 AO575:AO585 AQ575:AQ585 AS575:AS585 AU575:AU585">
    <cfRule type="expression" dxfId="53" priority="57">
      <formula>AND(H575=0,(I575&gt;0))</formula>
    </cfRule>
    <cfRule type="expression" dxfId="52" priority="58">
      <formula>((I575-H575)/H575)&gt;0.05</formula>
    </cfRule>
  </conditionalFormatting>
  <conditionalFormatting sqref="I586:I590 K586:K587 M586:M587 O586:O587 U586:U590 Y586:Y590 AA586:AA590 AC586:AC590 AE586:AE590 AK586:AK590 AO586:AO590 AQ586:AQ590 AS586:AS590 AU586:AU590">
    <cfRule type="expression" dxfId="51" priority="55">
      <formula>AND(H586=0,(I586&gt;0))</formula>
    </cfRule>
    <cfRule type="expression" dxfId="50" priority="56">
      <formula>((I586-H586)/H586)&gt;0.05</formula>
    </cfRule>
  </conditionalFormatting>
  <conditionalFormatting sqref="K588:K590">
    <cfRule type="expression" dxfId="49" priority="53">
      <formula>AND(J588=0,(K588&gt;0))</formula>
    </cfRule>
    <cfRule type="expression" dxfId="48" priority="54">
      <formula>((K588-J588)/J588)&gt;0.05</formula>
    </cfRule>
  </conditionalFormatting>
  <conditionalFormatting sqref="M588:M590">
    <cfRule type="expression" dxfId="47" priority="51">
      <formula>AND(L588=0,(M588&gt;0))</formula>
    </cfRule>
    <cfRule type="expression" dxfId="46" priority="52">
      <formula>((M588-L588)/L588)&gt;0.05</formula>
    </cfRule>
  </conditionalFormatting>
  <conditionalFormatting sqref="O588:O590">
    <cfRule type="expression" dxfId="45" priority="49">
      <formula>AND(N588=0,(O588&gt;0))</formula>
    </cfRule>
    <cfRule type="expression" dxfId="44" priority="50">
      <formula>((O588-N588)/N588)&gt;0.05</formula>
    </cfRule>
  </conditionalFormatting>
  <conditionalFormatting sqref="I32:I55 K32:K55 M32:M55 O32:O55 U32:U55 Y32:Y55 AA32:AA55 AC32:AC55 AE32:AE55 AK32:AK55 AO32:AO55 AQ32:AQ55 AS32:AS55 AU32:AU55">
    <cfRule type="expression" dxfId="43" priority="47">
      <formula>AND(H32=0,(I32&gt;0))</formula>
    </cfRule>
    <cfRule type="expression" dxfId="42" priority="48">
      <formula>((I32-H32)/H32)&gt;0.05</formula>
    </cfRule>
  </conditionalFormatting>
  <conditionalFormatting sqref="I591:I617 K591:K617 M591:M617 O591:O617 U591:U617 Y591:Y617 AA591:AA617 AC591:AC617 AE591:AE617 AK591:AK617 AO591:AO617 AQ591:AQ617 AS591:AS617 AU591:AU617">
    <cfRule type="expression" dxfId="41" priority="45">
      <formula>AND(H591=0,(I591&gt;0))</formula>
    </cfRule>
    <cfRule type="expression" dxfId="40" priority="46">
      <formula>((I591-H591)/H591)&gt;0.05</formula>
    </cfRule>
  </conditionalFormatting>
  <conditionalFormatting sqref="I94:I121 K94:K121 M94:M121 O94:O121 Y94:Y121 AA94:AA121 AC94:AC121 AE94:AE121 AK94:AK121 AO94:AO121 AQ94:AQ121 AS94:AS121 AU94:AU121 U94:U121">
    <cfRule type="expression" dxfId="39" priority="39">
      <formula>AND(H94=0,(I94&gt;0))</formula>
    </cfRule>
    <cfRule type="expression" dxfId="38" priority="40">
      <formula>((I94-H94)/H94)&gt;0.05</formula>
    </cfRule>
  </conditionalFormatting>
  <conditionalFormatting sqref="I629:I671 K629:K671 M629:M671 O629:O671 U629:U671 Y629:Y671 AA629:AA671 AC629:AC671 AE629:AE671 AK629:AK671 AO629:AO671 AQ629:AQ671 AS629:AS671 AU629:AU671">
    <cfRule type="expression" dxfId="37" priority="37">
      <formula>AND(H629=0,(I629&gt;0))</formula>
    </cfRule>
    <cfRule type="expression" dxfId="36" priority="38">
      <formula>((I629-H629)/H629)&gt;0.05</formula>
    </cfRule>
  </conditionalFormatting>
  <conditionalFormatting sqref="I271:I285 K271:K285 M271:M285 O271:O285 U271:U285 Y271:Y285 AA271:AA285 AC271:AC285 AE271:AE285 AK271:AK285 AO271:AO285 AQ271:AQ285 AS271:AS285 AU271:AU285">
    <cfRule type="expression" dxfId="35" priority="35">
      <formula>AND(H271=0,(I271&gt;0))</formula>
    </cfRule>
    <cfRule type="expression" dxfId="34" priority="36">
      <formula>((I271-H271)/H271)&gt;0.05</formula>
    </cfRule>
  </conditionalFormatting>
  <conditionalFormatting sqref="K60">
    <cfRule type="expression" dxfId="33" priority="33">
      <formula>AND(J60=0,(K60&gt;0))</formula>
    </cfRule>
    <cfRule type="expression" dxfId="32" priority="34">
      <formula>((K60-J60)/J60)&gt;0.05</formula>
    </cfRule>
  </conditionalFormatting>
  <conditionalFormatting sqref="K75">
    <cfRule type="expression" dxfId="31" priority="31">
      <formula>AND(J75=0,(K75&gt;0))</formula>
    </cfRule>
    <cfRule type="expression" dxfId="30" priority="32">
      <formula>((K75-J75)/J75)&gt;0.05</formula>
    </cfRule>
  </conditionalFormatting>
  <conditionalFormatting sqref="Y205 AA205 AC205 AE205 AK205 AO205 AQ205 AS205 AU205">
    <cfRule type="expression" dxfId="29" priority="29">
      <formula>AND(X205=0,(Y205&gt;0))</formula>
    </cfRule>
    <cfRule type="expression" dxfId="28" priority="30">
      <formula>((Y205-X205)/X205)&gt;0.05</formula>
    </cfRule>
  </conditionalFormatting>
  <conditionalFormatting sqref="I232:I235 K232:K235 M232:M235 O232:O235">
    <cfRule type="expression" dxfId="27" priority="27">
      <formula>AND(H232=0,(I232&gt;0))</formula>
    </cfRule>
    <cfRule type="expression" dxfId="26" priority="28">
      <formula>((I232-H232)/H232)&gt;0.05</formula>
    </cfRule>
  </conditionalFormatting>
  <conditionalFormatting sqref="I204:I210 K204:K210 M204:M210 O204:O207 O209">
    <cfRule type="expression" dxfId="25" priority="25">
      <formula>AND(H204=0,(I204&gt;0))</formula>
    </cfRule>
    <cfRule type="expression" dxfId="24" priority="26">
      <formula>((I204-H204)/H204)&gt;0.05</formula>
    </cfRule>
  </conditionalFormatting>
  <conditionalFormatting sqref="I211:I231 K211:K231 M211:M231 O211:O231">
    <cfRule type="expression" dxfId="23" priority="23">
      <formula>AND(H211=0,(I211&gt;0))</formula>
    </cfRule>
    <cfRule type="expression" dxfId="22" priority="24">
      <formula>((I211-H211)/H211)&gt;0.05</formula>
    </cfRule>
  </conditionalFormatting>
  <conditionalFormatting sqref="O208">
    <cfRule type="expression" dxfId="21" priority="21">
      <formula>AND(N208=0,(O208&gt;0))</formula>
    </cfRule>
    <cfRule type="expression" dxfId="20" priority="22">
      <formula>((O208-N208)/N208)&gt;0.05</formula>
    </cfRule>
  </conditionalFormatting>
  <conditionalFormatting sqref="O210">
    <cfRule type="expression" dxfId="19" priority="19">
      <formula>AND(N210=0,(O210&gt;0))</formula>
    </cfRule>
    <cfRule type="expression" dxfId="18" priority="20">
      <formula>((O210-N210)/N210)&gt;0.05</formula>
    </cfRule>
  </conditionalFormatting>
  <conditionalFormatting sqref="U232:U235">
    <cfRule type="expression" dxfId="17" priority="17">
      <formula>AND(T232=0,(U232&gt;0))</formula>
    </cfRule>
    <cfRule type="expression" dxfId="16" priority="18">
      <formula>((U232-T232)/T232)&gt;0.05</formula>
    </cfRule>
  </conditionalFormatting>
  <conditionalFormatting sqref="U204:U210">
    <cfRule type="expression" dxfId="15" priority="15">
      <formula>AND(T204=0,(U204&gt;0))</formula>
    </cfRule>
    <cfRule type="expression" dxfId="14" priority="16">
      <formula>((U204-T204)/T204)&gt;0.05</formula>
    </cfRule>
  </conditionalFormatting>
  <conditionalFormatting sqref="U211:U231">
    <cfRule type="expression" dxfId="13" priority="13">
      <formula>AND(T211=0,(U211&gt;0))</formula>
    </cfRule>
    <cfRule type="expression" dxfId="12" priority="14">
      <formula>((U211-T211)/T211)&gt;0.05</formula>
    </cfRule>
  </conditionalFormatting>
  <conditionalFormatting sqref="AA232:AA234 AC232:AC234">
    <cfRule type="expression" dxfId="11" priority="11">
      <formula>AND(Z232=0,(AA232&gt;0))</formula>
    </cfRule>
    <cfRule type="expression" dxfId="10" priority="12">
      <formula>((AA232-Z232)/Z232)&gt;0.05</formula>
    </cfRule>
  </conditionalFormatting>
  <conditionalFormatting sqref="AA230:AA231 AC230:AC231">
    <cfRule type="expression" dxfId="9" priority="9">
      <formula>AND(Z230=0,(AA230&gt;0))</formula>
    </cfRule>
    <cfRule type="expression" dxfId="8" priority="10">
      <formula>((AA230-Z230)/Z230)&gt;0.05</formula>
    </cfRule>
  </conditionalFormatting>
  <conditionalFormatting sqref="AE232:AE234">
    <cfRule type="expression" dxfId="7" priority="7">
      <formula>AND(AD232=0,(AE232&gt;0))</formula>
    </cfRule>
    <cfRule type="expression" dxfId="6" priority="8">
      <formula>((AE232-AD232)/AD232)&gt;0.05</formula>
    </cfRule>
  </conditionalFormatting>
  <conditionalFormatting sqref="AE230:AE231">
    <cfRule type="expression" dxfId="5" priority="5">
      <formula>AND(AD230=0,(AE230&gt;0))</formula>
    </cfRule>
    <cfRule type="expression" dxfId="4" priority="6">
      <formula>((AE230-AD230)/AD230)&gt;0.05</formula>
    </cfRule>
  </conditionalFormatting>
  <conditionalFormatting sqref="O56:O60 O62:O77">
    <cfRule type="expression" dxfId="3" priority="3">
      <formula>AND(N56=0,(O56&gt;0))</formula>
    </cfRule>
    <cfRule type="expression" dxfId="2" priority="4">
      <formula>((O56-N56)/N56)&gt;0.05</formula>
    </cfRule>
  </conditionalFormatting>
  <conditionalFormatting sqref="O61">
    <cfRule type="expression" dxfId="1" priority="1">
      <formula>AND(N61=0,(O61&gt;0))</formula>
    </cfRule>
    <cfRule type="expression" dxfId="0" priority="2">
      <formula>((O61-N61)/N61)&gt;0.05</formula>
    </cfRule>
  </conditionalFormatting>
  <pageMargins left="0.75" right="0.75" top="1" bottom="1" header="0.5" footer="0.5"/>
  <pageSetup paperSize="5"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220"/>
  <sheetViews>
    <sheetView workbookViewId="0"/>
  </sheetViews>
  <sheetFormatPr defaultRowHeight="12.75"/>
  <cols>
    <col min="1" max="1" width="7.5" style="361" customWidth="1"/>
    <col min="2" max="2" width="44.1640625" style="214" customWidth="1"/>
    <col min="3" max="8" width="15" style="214" customWidth="1"/>
    <col min="9" max="9" width="16.83203125" style="214" customWidth="1"/>
    <col min="10" max="13" width="13.6640625" style="214" customWidth="1"/>
    <col min="14" max="14" width="16.33203125" style="214" customWidth="1"/>
    <col min="15" max="16" width="13.83203125" style="214" customWidth="1"/>
    <col min="17" max="17" width="11" style="214" customWidth="1"/>
    <col min="18" max="18" width="10.6640625" style="214" customWidth="1"/>
    <col min="19" max="19" width="11.33203125" style="214" customWidth="1"/>
    <col min="20" max="20" width="10" style="214" customWidth="1"/>
    <col min="21" max="21" width="11.33203125" style="214" customWidth="1"/>
    <col min="22" max="22" width="11.1640625" style="214" customWidth="1"/>
    <col min="23" max="23" width="11.33203125" style="214" customWidth="1"/>
    <col min="24" max="24" width="10.1640625" style="214" customWidth="1"/>
    <col min="25" max="25" width="11.33203125" style="214" customWidth="1"/>
    <col min="26" max="26" width="9.6640625" style="214" customWidth="1"/>
    <col min="27" max="27" width="10.1640625" style="214" customWidth="1"/>
    <col min="28" max="31" width="2.1640625" style="214" customWidth="1"/>
    <col min="32" max="32" width="23.5" style="214" customWidth="1"/>
    <col min="33" max="33" width="12.6640625" style="214" customWidth="1"/>
    <col min="34" max="34" width="16" style="214" customWidth="1"/>
    <col min="35" max="35" width="16.5" style="214" customWidth="1"/>
    <col min="36" max="36" width="14.6640625" style="214" customWidth="1"/>
    <col min="37" max="37" width="14" style="214" customWidth="1"/>
    <col min="38" max="16384" width="9.33203125" style="214"/>
  </cols>
  <sheetData>
    <row r="1" spans="1:31" s="73" customFormat="1">
      <c r="A1" s="84"/>
      <c r="B1" s="83"/>
      <c r="C1" s="4"/>
      <c r="D1" s="4"/>
      <c r="E1" s="4"/>
      <c r="F1" s="4"/>
      <c r="G1" s="4"/>
      <c r="H1" s="4"/>
      <c r="I1" s="4"/>
      <c r="J1" s="4"/>
      <c r="K1" s="4"/>
      <c r="L1" s="4"/>
      <c r="M1" s="82"/>
      <c r="N1" s="4"/>
      <c r="T1" s="248"/>
      <c r="U1" s="248"/>
      <c r="V1" s="248"/>
      <c r="W1" s="248"/>
      <c r="X1" s="248"/>
      <c r="Y1" s="248"/>
      <c r="Z1" s="248"/>
      <c r="AA1" s="248"/>
    </row>
    <row r="2" spans="1:31">
      <c r="A2" s="335"/>
      <c r="B2" s="336"/>
      <c r="C2" s="337"/>
      <c r="D2" s="338"/>
      <c r="E2" s="338"/>
      <c r="F2" s="338"/>
      <c r="G2" s="338"/>
      <c r="H2" s="338"/>
      <c r="I2" s="338"/>
      <c r="J2" s="343"/>
      <c r="K2" s="338"/>
      <c r="L2" s="338"/>
      <c r="M2" s="339"/>
      <c r="N2" s="341"/>
      <c r="O2" s="343"/>
      <c r="P2" s="338"/>
      <c r="Q2" s="338"/>
      <c r="R2" s="338"/>
      <c r="S2" s="338"/>
      <c r="T2" s="350"/>
      <c r="U2" s="350"/>
      <c r="V2" s="350"/>
      <c r="W2" s="350"/>
      <c r="X2" s="350"/>
      <c r="Y2" s="350"/>
      <c r="Z2" s="350"/>
      <c r="AA2" s="352"/>
      <c r="AB2" s="444"/>
      <c r="AC2" s="444"/>
      <c r="AD2" s="444"/>
      <c r="AE2" s="334"/>
    </row>
    <row r="3" spans="1:31" s="73" customFormat="1">
      <c r="A3" s="335"/>
      <c r="B3" s="336"/>
      <c r="C3" s="337"/>
      <c r="D3" s="338"/>
      <c r="E3" s="338"/>
      <c r="F3" s="338"/>
      <c r="G3" s="338"/>
      <c r="H3" s="338"/>
      <c r="I3" s="348"/>
      <c r="J3" s="337"/>
      <c r="K3" s="338"/>
      <c r="L3" s="338"/>
      <c r="M3" s="338"/>
      <c r="N3" s="348"/>
      <c r="O3" s="337"/>
      <c r="P3" s="338"/>
      <c r="Q3" s="348"/>
      <c r="R3" s="337"/>
      <c r="S3" s="337"/>
      <c r="T3" s="349"/>
      <c r="U3" s="349"/>
      <c r="V3" s="349"/>
      <c r="W3" s="349"/>
      <c r="X3" s="349"/>
      <c r="Y3" s="349"/>
      <c r="Z3" s="349"/>
      <c r="AA3" s="353"/>
      <c r="AB3" s="444"/>
      <c r="AC3" s="444"/>
      <c r="AD3" s="444"/>
      <c r="AE3" s="334"/>
    </row>
    <row r="4" spans="1:31">
      <c r="A4" s="335"/>
      <c r="B4" s="340"/>
      <c r="C4" s="344"/>
      <c r="D4" s="345"/>
      <c r="E4" s="345"/>
      <c r="F4" s="345"/>
      <c r="G4" s="345"/>
      <c r="H4" s="345"/>
      <c r="I4" s="249"/>
      <c r="J4" s="346"/>
      <c r="K4" s="347"/>
      <c r="L4" s="347"/>
      <c r="M4" s="347"/>
      <c r="N4" s="249"/>
      <c r="O4" s="346"/>
      <c r="P4" s="347"/>
      <c r="Q4" s="249"/>
      <c r="R4" s="337"/>
      <c r="S4" s="443"/>
      <c r="T4" s="349"/>
      <c r="U4" s="251"/>
      <c r="V4" s="351"/>
      <c r="W4" s="250"/>
      <c r="X4" s="351"/>
      <c r="Y4" s="250"/>
      <c r="Z4" s="349"/>
      <c r="AA4" s="252"/>
      <c r="AB4" s="444"/>
      <c r="AC4" s="444"/>
      <c r="AD4" s="444"/>
      <c r="AE4" s="334"/>
    </row>
    <row r="5" spans="1:31">
      <c r="A5" s="342"/>
      <c r="B5" s="340"/>
      <c r="C5" s="337"/>
      <c r="D5" s="341"/>
      <c r="E5" s="341"/>
      <c r="F5" s="341"/>
      <c r="G5" s="341"/>
      <c r="H5" s="341"/>
      <c r="I5" s="337"/>
      <c r="J5" s="337"/>
      <c r="K5" s="341"/>
      <c r="L5" s="341"/>
      <c r="M5" s="341"/>
      <c r="N5" s="337"/>
      <c r="O5" s="337"/>
      <c r="P5" s="341"/>
      <c r="Q5" s="337"/>
      <c r="R5" s="337"/>
      <c r="S5" s="337"/>
      <c r="T5" s="349"/>
      <c r="U5" s="349"/>
      <c r="V5" s="349"/>
      <c r="W5" s="349"/>
      <c r="X5" s="349"/>
      <c r="Y5" s="349"/>
      <c r="Z5" s="349"/>
      <c r="AA5" s="357"/>
      <c r="AB5" s="444"/>
      <c r="AC5" s="444"/>
      <c r="AD5" s="444"/>
      <c r="AE5" s="334"/>
    </row>
    <row r="6" spans="1:31">
      <c r="A6" s="241"/>
      <c r="B6" s="242"/>
      <c r="C6" s="243"/>
      <c r="D6" s="244"/>
      <c r="E6" s="244"/>
      <c r="F6" s="244"/>
      <c r="G6" s="244"/>
      <c r="H6" s="244"/>
      <c r="I6" s="243"/>
      <c r="J6" s="243"/>
      <c r="K6" s="244"/>
      <c r="L6" s="244"/>
      <c r="M6" s="244"/>
      <c r="N6" s="243"/>
      <c r="O6" s="243"/>
      <c r="P6" s="244"/>
      <c r="Q6" s="243"/>
      <c r="R6" s="243"/>
      <c r="S6" s="243"/>
      <c r="T6" s="312"/>
      <c r="U6" s="312"/>
      <c r="V6" s="312"/>
      <c r="W6" s="312"/>
      <c r="X6" s="312"/>
      <c r="Y6" s="312"/>
      <c r="Z6" s="312"/>
      <c r="AA6" s="358"/>
      <c r="AB6" s="444"/>
      <c r="AC6" s="444"/>
      <c r="AD6" s="444"/>
      <c r="AE6" s="334"/>
    </row>
    <row r="7" spans="1:31" s="73" customFormat="1">
      <c r="A7" s="241"/>
      <c r="B7" s="245"/>
      <c r="C7" s="733"/>
      <c r="D7" s="254"/>
      <c r="E7" s="734"/>
      <c r="F7" s="254"/>
      <c r="G7" s="254"/>
      <c r="H7" s="254"/>
      <c r="I7" s="253"/>
      <c r="J7" s="253"/>
      <c r="K7" s="734"/>
      <c r="L7" s="734"/>
      <c r="M7" s="734"/>
      <c r="N7" s="253"/>
      <c r="O7" s="356"/>
      <c r="P7" s="254"/>
      <c r="Q7" s="733"/>
      <c r="R7" s="733"/>
      <c r="S7" s="253"/>
      <c r="T7" s="313"/>
      <c r="U7" s="313"/>
      <c r="V7" s="313"/>
      <c r="W7" s="313"/>
      <c r="X7" s="313"/>
      <c r="Y7" s="313"/>
      <c r="Z7" s="313"/>
      <c r="AA7" s="359"/>
      <c r="AB7" s="445"/>
      <c r="AC7" s="445"/>
      <c r="AD7" s="445"/>
      <c r="AE7" s="334"/>
    </row>
    <row r="8" spans="1:31" s="73" customFormat="1">
      <c r="A8" s="241"/>
      <c r="B8" s="242"/>
      <c r="C8" s="243"/>
      <c r="D8" s="244"/>
      <c r="E8" s="244"/>
      <c r="F8" s="244"/>
      <c r="G8" s="244"/>
      <c r="H8" s="244"/>
      <c r="I8" s="243"/>
      <c r="J8" s="243"/>
      <c r="K8" s="244"/>
      <c r="L8" s="244"/>
      <c r="M8" s="244"/>
      <c r="N8" s="243"/>
      <c r="O8" s="314"/>
      <c r="P8" s="244"/>
      <c r="Q8" s="243"/>
      <c r="R8" s="243"/>
      <c r="S8" s="243"/>
      <c r="T8" s="312"/>
      <c r="U8" s="312"/>
      <c r="V8" s="312"/>
      <c r="W8" s="312"/>
      <c r="X8" s="312"/>
      <c r="Y8" s="312"/>
      <c r="Z8" s="312"/>
      <c r="AA8" s="360"/>
      <c r="AB8" s="444"/>
      <c r="AC8" s="444"/>
      <c r="AD8" s="444"/>
      <c r="AE8" s="334"/>
    </row>
    <row r="9" spans="1:31" s="73" customFormat="1">
      <c r="A9" s="241"/>
      <c r="B9" s="242"/>
      <c r="C9" s="243"/>
      <c r="D9" s="244"/>
      <c r="E9" s="244"/>
      <c r="F9" s="244"/>
      <c r="G9" s="244"/>
      <c r="H9" s="244"/>
      <c r="I9" s="243"/>
      <c r="J9" s="243"/>
      <c r="K9" s="244"/>
      <c r="L9" s="244"/>
      <c r="M9" s="244"/>
      <c r="N9" s="243"/>
      <c r="O9" s="314"/>
      <c r="P9" s="244"/>
      <c r="Q9" s="243"/>
      <c r="R9" s="243"/>
      <c r="S9" s="243"/>
      <c r="T9" s="312"/>
      <c r="U9" s="312"/>
      <c r="V9" s="312"/>
      <c r="W9" s="312"/>
      <c r="X9" s="312"/>
      <c r="Y9" s="312"/>
      <c r="Z9" s="312"/>
      <c r="AA9" s="360"/>
      <c r="AB9" s="444"/>
      <c r="AC9" s="444"/>
      <c r="AD9" s="444"/>
      <c r="AE9" s="334"/>
    </row>
    <row r="10" spans="1:31" s="73" customFormat="1">
      <c r="A10" s="241"/>
      <c r="B10" s="245"/>
      <c r="C10" s="253"/>
      <c r="D10" s="254"/>
      <c r="E10" s="254"/>
      <c r="F10" s="254"/>
      <c r="G10" s="254"/>
      <c r="H10" s="254"/>
      <c r="I10" s="253"/>
      <c r="J10" s="253"/>
      <c r="K10" s="254"/>
      <c r="L10" s="254"/>
      <c r="M10" s="254"/>
      <c r="N10" s="253"/>
      <c r="O10" s="356"/>
      <c r="P10" s="254"/>
      <c r="Q10" s="253"/>
      <c r="R10" s="253"/>
      <c r="S10" s="253"/>
      <c r="T10" s="313"/>
      <c r="U10" s="313"/>
      <c r="V10" s="313"/>
      <c r="W10" s="313"/>
      <c r="X10" s="313"/>
      <c r="Y10" s="313"/>
      <c r="Z10" s="313"/>
      <c r="AA10" s="359"/>
      <c r="AB10" s="445"/>
      <c r="AC10" s="445"/>
      <c r="AD10" s="445"/>
      <c r="AE10" s="334"/>
    </row>
    <row r="11" spans="1:31" s="73" customFormat="1">
      <c r="A11" s="241"/>
      <c r="B11" s="242"/>
      <c r="C11" s="243"/>
      <c r="D11" s="244"/>
      <c r="E11" s="244"/>
      <c r="F11" s="244"/>
      <c r="G11" s="244"/>
      <c r="H11" s="244"/>
      <c r="I11" s="243"/>
      <c r="J11" s="243"/>
      <c r="K11" s="244"/>
      <c r="L11" s="244"/>
      <c r="M11" s="244"/>
      <c r="N11" s="243"/>
      <c r="O11" s="314"/>
      <c r="P11" s="244"/>
      <c r="Q11" s="243"/>
      <c r="R11" s="243"/>
      <c r="S11" s="243"/>
      <c r="T11" s="312"/>
      <c r="U11" s="312"/>
      <c r="V11" s="312"/>
      <c r="W11" s="312"/>
      <c r="X11" s="312"/>
      <c r="Y11" s="312"/>
      <c r="Z11" s="312"/>
      <c r="AA11" s="360"/>
      <c r="AB11" s="444"/>
      <c r="AC11" s="444"/>
      <c r="AD11" s="444"/>
      <c r="AE11" s="334"/>
    </row>
    <row r="12" spans="1:31" s="73" customFormat="1">
      <c r="A12" s="241"/>
      <c r="B12" s="242"/>
      <c r="C12" s="243"/>
      <c r="D12" s="244"/>
      <c r="E12" s="244"/>
      <c r="F12" s="244"/>
      <c r="G12" s="244"/>
      <c r="H12" s="244"/>
      <c r="I12" s="243"/>
      <c r="J12" s="243"/>
      <c r="K12" s="244"/>
      <c r="L12" s="244"/>
      <c r="M12" s="244"/>
      <c r="N12" s="243"/>
      <c r="O12" s="314"/>
      <c r="P12" s="244"/>
      <c r="Q12" s="243"/>
      <c r="R12" s="243"/>
      <c r="S12" s="243"/>
      <c r="T12" s="312"/>
      <c r="U12" s="312"/>
      <c r="V12" s="312"/>
      <c r="W12" s="312"/>
      <c r="X12" s="312"/>
      <c r="Y12" s="312"/>
      <c r="Z12" s="312"/>
      <c r="AA12" s="360"/>
      <c r="AB12" s="444"/>
      <c r="AC12" s="444"/>
      <c r="AD12" s="444"/>
      <c r="AE12" s="334"/>
    </row>
    <row r="13" spans="1:31" s="73" customFormat="1">
      <c r="A13" s="241"/>
      <c r="B13" s="245"/>
      <c r="C13" s="733"/>
      <c r="D13" s="254"/>
      <c r="E13" s="734"/>
      <c r="F13" s="254"/>
      <c r="G13" s="254"/>
      <c r="H13" s="254"/>
      <c r="I13" s="253"/>
      <c r="J13" s="253"/>
      <c r="K13" s="254"/>
      <c r="L13" s="254"/>
      <c r="M13" s="254"/>
      <c r="N13" s="253"/>
      <c r="O13" s="356"/>
      <c r="P13" s="254"/>
      <c r="Q13" s="253"/>
      <c r="R13" s="253"/>
      <c r="S13" s="253"/>
      <c r="T13" s="313"/>
      <c r="U13" s="313"/>
      <c r="V13" s="313"/>
      <c r="W13" s="313"/>
      <c r="X13" s="313"/>
      <c r="Y13" s="313"/>
      <c r="Z13" s="313"/>
      <c r="AA13" s="359"/>
      <c r="AB13" s="445"/>
      <c r="AC13" s="445"/>
      <c r="AD13" s="445"/>
      <c r="AE13" s="334"/>
    </row>
    <row r="14" spans="1:31" s="73" customFormat="1">
      <c r="A14" s="241"/>
      <c r="B14" s="242"/>
      <c r="C14" s="243"/>
      <c r="D14" s="244"/>
      <c r="E14" s="244"/>
      <c r="F14" s="244"/>
      <c r="G14" s="244"/>
      <c r="H14" s="244"/>
      <c r="I14" s="243"/>
      <c r="J14" s="243"/>
      <c r="K14" s="244"/>
      <c r="L14" s="244"/>
      <c r="M14" s="244"/>
      <c r="N14" s="243"/>
      <c r="O14" s="314"/>
      <c r="P14" s="244"/>
      <c r="Q14" s="243"/>
      <c r="R14" s="243"/>
      <c r="S14" s="243"/>
      <c r="T14" s="312"/>
      <c r="U14" s="312"/>
      <c r="V14" s="312"/>
      <c r="W14" s="312"/>
      <c r="X14" s="312"/>
      <c r="Y14" s="312"/>
      <c r="Z14" s="312"/>
      <c r="AA14" s="360"/>
      <c r="AB14" s="444"/>
      <c r="AC14" s="444"/>
      <c r="AD14" s="444"/>
      <c r="AE14" s="334"/>
    </row>
    <row r="15" spans="1:31" s="73" customFormat="1">
      <c r="A15" s="241"/>
      <c r="B15" s="242"/>
      <c r="C15" s="243"/>
      <c r="D15" s="244"/>
      <c r="E15" s="244"/>
      <c r="F15" s="244"/>
      <c r="G15" s="244"/>
      <c r="H15" s="244"/>
      <c r="I15" s="243"/>
      <c r="J15" s="243"/>
      <c r="K15" s="244"/>
      <c r="L15" s="244"/>
      <c r="M15" s="244"/>
      <c r="N15" s="243"/>
      <c r="O15" s="314"/>
      <c r="P15" s="244"/>
      <c r="Q15" s="243"/>
      <c r="R15" s="243"/>
      <c r="S15" s="243"/>
      <c r="T15" s="312"/>
      <c r="U15" s="312"/>
      <c r="V15" s="312"/>
      <c r="W15" s="312"/>
      <c r="X15" s="312"/>
      <c r="Y15" s="312"/>
      <c r="Z15" s="312"/>
      <c r="AA15" s="360"/>
      <c r="AB15" s="444"/>
      <c r="AC15" s="444"/>
      <c r="AD15" s="444"/>
      <c r="AE15" s="334"/>
    </row>
    <row r="16" spans="1:31" s="73" customFormat="1">
      <c r="A16" s="246"/>
      <c r="B16" s="311"/>
      <c r="C16" s="253"/>
      <c r="D16" s="254"/>
      <c r="E16" s="254"/>
      <c r="F16" s="254"/>
      <c r="G16" s="254"/>
      <c r="H16" s="254"/>
      <c r="I16" s="253"/>
      <c r="J16" s="253"/>
      <c r="K16" s="254"/>
      <c r="L16" s="254"/>
      <c r="M16" s="254"/>
      <c r="N16" s="253"/>
      <c r="O16" s="356"/>
      <c r="P16" s="254"/>
      <c r="Q16" s="253"/>
      <c r="R16" s="253"/>
      <c r="S16" s="253"/>
      <c r="T16" s="313"/>
      <c r="U16" s="313"/>
      <c r="V16" s="313"/>
      <c r="W16" s="313"/>
      <c r="X16" s="313"/>
      <c r="Y16" s="313"/>
      <c r="Z16" s="313"/>
      <c r="AA16" s="359"/>
      <c r="AB16" s="445"/>
      <c r="AC16" s="445"/>
      <c r="AD16" s="445"/>
      <c r="AE16" s="334"/>
    </row>
    <row r="17" spans="1:31" s="73" customFormat="1">
      <c r="A17" s="342"/>
      <c r="B17" s="340"/>
      <c r="C17" s="337"/>
      <c r="D17" s="341"/>
      <c r="E17" s="341"/>
      <c r="F17" s="341"/>
      <c r="G17" s="341"/>
      <c r="H17" s="341"/>
      <c r="I17" s="337"/>
      <c r="J17" s="337"/>
      <c r="K17" s="341"/>
      <c r="L17" s="341"/>
      <c r="M17" s="341"/>
      <c r="N17" s="337"/>
      <c r="O17" s="337"/>
      <c r="P17" s="341"/>
      <c r="Q17" s="337"/>
      <c r="R17" s="337"/>
      <c r="S17" s="337"/>
      <c r="T17" s="349"/>
      <c r="U17" s="349"/>
      <c r="V17" s="349"/>
      <c r="W17" s="349"/>
      <c r="X17" s="349"/>
      <c r="Y17" s="349"/>
      <c r="Z17" s="349"/>
      <c r="AA17" s="357"/>
      <c r="AB17" s="444"/>
      <c r="AC17" s="444"/>
      <c r="AD17" s="444"/>
      <c r="AE17" s="334"/>
    </row>
    <row r="18" spans="1:31" s="73" customFormat="1">
      <c r="A18" s="241"/>
      <c r="B18" s="242"/>
      <c r="C18" s="243"/>
      <c r="D18" s="244"/>
      <c r="E18" s="244"/>
      <c r="F18" s="244"/>
      <c r="G18" s="244"/>
      <c r="H18" s="244"/>
      <c r="I18" s="243"/>
      <c r="J18" s="243"/>
      <c r="K18" s="244"/>
      <c r="L18" s="244"/>
      <c r="M18" s="244"/>
      <c r="N18" s="243"/>
      <c r="O18" s="243"/>
      <c r="P18" s="244"/>
      <c r="Q18" s="243"/>
      <c r="R18" s="243"/>
      <c r="S18" s="243"/>
      <c r="T18" s="312"/>
      <c r="U18" s="312"/>
      <c r="V18" s="312"/>
      <c r="W18" s="312"/>
      <c r="X18" s="312"/>
      <c r="Y18" s="312"/>
      <c r="Z18" s="312"/>
      <c r="AA18" s="358"/>
      <c r="AB18" s="444"/>
      <c r="AC18" s="444"/>
      <c r="AD18" s="444"/>
      <c r="AE18" s="334"/>
    </row>
    <row r="19" spans="1:31" s="73" customFormat="1">
      <c r="A19" s="241"/>
      <c r="B19" s="245"/>
      <c r="C19" s="733"/>
      <c r="D19" s="254"/>
      <c r="E19" s="254"/>
      <c r="F19" s="254"/>
      <c r="G19" s="254"/>
      <c r="H19" s="734"/>
      <c r="I19" s="253"/>
      <c r="J19" s="253"/>
      <c r="K19" s="254"/>
      <c r="L19" s="734"/>
      <c r="M19" s="734"/>
      <c r="N19" s="253"/>
      <c r="O19" s="356"/>
      <c r="P19" s="254"/>
      <c r="Q19" s="253"/>
      <c r="R19" s="253"/>
      <c r="S19" s="253"/>
      <c r="T19" s="313"/>
      <c r="U19" s="313"/>
      <c r="V19" s="313"/>
      <c r="W19" s="313"/>
      <c r="X19" s="313"/>
      <c r="Y19" s="313"/>
      <c r="Z19" s="313"/>
      <c r="AA19" s="359"/>
      <c r="AB19" s="445"/>
      <c r="AC19" s="445"/>
      <c r="AD19" s="445"/>
      <c r="AE19" s="334"/>
    </row>
    <row r="20" spans="1:31" s="73" customFormat="1">
      <c r="A20" s="241"/>
      <c r="B20" s="242"/>
      <c r="C20" s="243"/>
      <c r="D20" s="244"/>
      <c r="E20" s="244"/>
      <c r="F20" s="244"/>
      <c r="G20" s="244"/>
      <c r="H20" s="244"/>
      <c r="I20" s="243"/>
      <c r="J20" s="243"/>
      <c r="K20" s="244"/>
      <c r="L20" s="244"/>
      <c r="M20" s="244"/>
      <c r="N20" s="243"/>
      <c r="O20" s="314"/>
      <c r="P20" s="244"/>
      <c r="Q20" s="243"/>
      <c r="R20" s="243"/>
      <c r="S20" s="243"/>
      <c r="T20" s="312"/>
      <c r="U20" s="312"/>
      <c r="V20" s="312"/>
      <c r="W20" s="312"/>
      <c r="X20" s="312"/>
      <c r="Y20" s="312"/>
      <c r="Z20" s="312"/>
      <c r="AA20" s="360"/>
      <c r="AB20" s="444"/>
      <c r="AC20" s="444"/>
      <c r="AD20" s="444"/>
      <c r="AE20" s="334"/>
    </row>
    <row r="21" spans="1:31" s="73" customFormat="1">
      <c r="A21" s="241"/>
      <c r="B21" s="242"/>
      <c r="C21" s="243"/>
      <c r="D21" s="244"/>
      <c r="E21" s="244"/>
      <c r="F21" s="244"/>
      <c r="G21" s="244"/>
      <c r="H21" s="244"/>
      <c r="I21" s="243"/>
      <c r="J21" s="243"/>
      <c r="K21" s="244"/>
      <c r="L21" s="244"/>
      <c r="M21" s="244"/>
      <c r="N21" s="243"/>
      <c r="O21" s="314"/>
      <c r="P21" s="244"/>
      <c r="Q21" s="243"/>
      <c r="R21" s="243"/>
      <c r="S21" s="243"/>
      <c r="T21" s="312"/>
      <c r="U21" s="312"/>
      <c r="V21" s="312"/>
      <c r="W21" s="312"/>
      <c r="X21" s="312"/>
      <c r="Y21" s="312"/>
      <c r="Z21" s="312"/>
      <c r="AA21" s="360"/>
      <c r="AB21" s="444"/>
      <c r="AC21" s="444"/>
      <c r="AD21" s="444"/>
      <c r="AE21" s="334"/>
    </row>
    <row r="22" spans="1:31" s="73" customFormat="1">
      <c r="A22" s="241"/>
      <c r="B22" s="245"/>
      <c r="C22" s="253"/>
      <c r="D22" s="254"/>
      <c r="E22" s="254"/>
      <c r="F22" s="254"/>
      <c r="G22" s="254"/>
      <c r="H22" s="254"/>
      <c r="I22" s="253"/>
      <c r="J22" s="253"/>
      <c r="K22" s="254"/>
      <c r="L22" s="254"/>
      <c r="M22" s="254"/>
      <c r="N22" s="253"/>
      <c r="O22" s="356"/>
      <c r="P22" s="254"/>
      <c r="Q22" s="253"/>
      <c r="R22" s="253"/>
      <c r="S22" s="253"/>
      <c r="T22" s="313"/>
      <c r="U22" s="313"/>
      <c r="V22" s="313"/>
      <c r="W22" s="313"/>
      <c r="X22" s="313"/>
      <c r="Y22" s="313"/>
      <c r="Z22" s="313"/>
      <c r="AA22" s="359"/>
      <c r="AB22" s="445"/>
      <c r="AC22" s="445"/>
      <c r="AD22" s="445"/>
      <c r="AE22" s="334"/>
    </row>
    <row r="23" spans="1:31" s="73" customFormat="1">
      <c r="A23" s="241"/>
      <c r="B23" s="242"/>
      <c r="C23" s="243"/>
      <c r="D23" s="244"/>
      <c r="E23" s="244"/>
      <c r="F23" s="244"/>
      <c r="G23" s="244"/>
      <c r="H23" s="244"/>
      <c r="I23" s="243"/>
      <c r="J23" s="243"/>
      <c r="K23" s="244"/>
      <c r="L23" s="244"/>
      <c r="M23" s="244"/>
      <c r="N23" s="243"/>
      <c r="O23" s="314"/>
      <c r="P23" s="244"/>
      <c r="Q23" s="243"/>
      <c r="R23" s="243"/>
      <c r="S23" s="243"/>
      <c r="T23" s="312"/>
      <c r="U23" s="312"/>
      <c r="V23" s="312"/>
      <c r="W23" s="312"/>
      <c r="X23" s="312"/>
      <c r="Y23" s="312"/>
      <c r="Z23" s="312"/>
      <c r="AA23" s="360"/>
      <c r="AB23" s="444"/>
      <c r="AC23" s="444"/>
      <c r="AD23" s="444"/>
      <c r="AE23" s="334"/>
    </row>
    <row r="24" spans="1:31" s="73" customFormat="1">
      <c r="A24" s="241"/>
      <c r="B24" s="242"/>
      <c r="C24" s="243"/>
      <c r="D24" s="244"/>
      <c r="E24" s="244"/>
      <c r="F24" s="244"/>
      <c r="G24" s="244"/>
      <c r="H24" s="244"/>
      <c r="I24" s="243"/>
      <c r="J24" s="243"/>
      <c r="K24" s="244"/>
      <c r="L24" s="244"/>
      <c r="M24" s="244"/>
      <c r="N24" s="243"/>
      <c r="O24" s="314"/>
      <c r="P24" s="244"/>
      <c r="Q24" s="243"/>
      <c r="R24" s="243"/>
      <c r="S24" s="243"/>
      <c r="T24" s="312"/>
      <c r="U24" s="312"/>
      <c r="V24" s="312"/>
      <c r="W24" s="312"/>
      <c r="X24" s="312"/>
      <c r="Y24" s="312"/>
      <c r="Z24" s="312"/>
      <c r="AA24" s="360"/>
      <c r="AB24" s="444"/>
      <c r="AC24" s="444"/>
      <c r="AD24" s="444"/>
      <c r="AE24" s="334"/>
    </row>
    <row r="25" spans="1:31" s="73" customFormat="1">
      <c r="A25" s="241"/>
      <c r="B25" s="245"/>
      <c r="C25" s="253"/>
      <c r="D25" s="254"/>
      <c r="E25" s="254"/>
      <c r="F25" s="254"/>
      <c r="G25" s="254"/>
      <c r="H25" s="254"/>
      <c r="I25" s="253"/>
      <c r="J25" s="253"/>
      <c r="K25" s="254"/>
      <c r="L25" s="254"/>
      <c r="M25" s="254"/>
      <c r="N25" s="253"/>
      <c r="O25" s="356"/>
      <c r="P25" s="254"/>
      <c r="Q25" s="253"/>
      <c r="R25" s="253"/>
      <c r="S25" s="253"/>
      <c r="T25" s="313"/>
      <c r="U25" s="313"/>
      <c r="V25" s="313"/>
      <c r="W25" s="313"/>
      <c r="X25" s="313"/>
      <c r="Y25" s="313"/>
      <c r="Z25" s="313"/>
      <c r="AA25" s="359"/>
      <c r="AB25" s="445"/>
      <c r="AC25" s="445"/>
      <c r="AD25" s="445"/>
      <c r="AE25" s="334"/>
    </row>
    <row r="26" spans="1:31" s="73" customFormat="1">
      <c r="A26" s="241"/>
      <c r="B26" s="242"/>
      <c r="C26" s="243"/>
      <c r="D26" s="244"/>
      <c r="E26" s="244"/>
      <c r="F26" s="244"/>
      <c r="G26" s="244"/>
      <c r="H26" s="244"/>
      <c r="I26" s="243"/>
      <c r="J26" s="243"/>
      <c r="K26" s="244"/>
      <c r="L26" s="244"/>
      <c r="M26" s="244"/>
      <c r="N26" s="243"/>
      <c r="O26" s="314"/>
      <c r="P26" s="244"/>
      <c r="Q26" s="243"/>
      <c r="R26" s="243"/>
      <c r="S26" s="243"/>
      <c r="T26" s="312"/>
      <c r="U26" s="312"/>
      <c r="V26" s="312"/>
      <c r="W26" s="312"/>
      <c r="X26" s="312"/>
      <c r="Y26" s="312"/>
      <c r="Z26" s="312"/>
      <c r="AA26" s="360"/>
      <c r="AB26" s="444"/>
      <c r="AC26" s="444"/>
      <c r="AD26" s="444"/>
      <c r="AE26" s="334"/>
    </row>
    <row r="27" spans="1:31" s="73" customFormat="1">
      <c r="A27" s="241"/>
      <c r="B27" s="242"/>
      <c r="C27" s="243"/>
      <c r="D27" s="244"/>
      <c r="E27" s="244"/>
      <c r="F27" s="244"/>
      <c r="G27" s="244"/>
      <c r="H27" s="244"/>
      <c r="I27" s="243"/>
      <c r="J27" s="243"/>
      <c r="K27" s="244"/>
      <c r="L27" s="244"/>
      <c r="M27" s="244"/>
      <c r="N27" s="243"/>
      <c r="O27" s="314"/>
      <c r="P27" s="244"/>
      <c r="Q27" s="243"/>
      <c r="R27" s="243"/>
      <c r="S27" s="243"/>
      <c r="T27" s="312"/>
      <c r="U27" s="312"/>
      <c r="V27" s="312"/>
      <c r="W27" s="312"/>
      <c r="X27" s="312"/>
      <c r="Y27" s="312"/>
      <c r="Z27" s="312"/>
      <c r="AA27" s="360"/>
      <c r="AB27" s="444"/>
      <c r="AC27" s="444"/>
      <c r="AD27" s="444"/>
      <c r="AE27" s="334"/>
    </row>
    <row r="28" spans="1:31" s="73" customFormat="1">
      <c r="A28" s="246"/>
      <c r="B28" s="311"/>
      <c r="C28" s="253"/>
      <c r="D28" s="254"/>
      <c r="E28" s="254"/>
      <c r="F28" s="254"/>
      <c r="G28" s="254"/>
      <c r="H28" s="254"/>
      <c r="I28" s="253"/>
      <c r="J28" s="253"/>
      <c r="K28" s="254"/>
      <c r="L28" s="254"/>
      <c r="M28" s="254"/>
      <c r="N28" s="253"/>
      <c r="O28" s="356"/>
      <c r="P28" s="254"/>
      <c r="Q28" s="253"/>
      <c r="R28" s="253"/>
      <c r="S28" s="253"/>
      <c r="T28" s="313"/>
      <c r="U28" s="313"/>
      <c r="V28" s="313"/>
      <c r="W28" s="313"/>
      <c r="X28" s="313"/>
      <c r="Y28" s="313"/>
      <c r="Z28" s="313"/>
      <c r="AA28" s="359"/>
      <c r="AB28" s="445"/>
      <c r="AC28" s="445"/>
      <c r="AD28" s="445"/>
      <c r="AE28" s="334"/>
    </row>
    <row r="29" spans="1:31" s="73" customFormat="1">
      <c r="A29" s="342"/>
      <c r="B29" s="340"/>
      <c r="C29" s="337"/>
      <c r="D29" s="341"/>
      <c r="E29" s="341"/>
      <c r="F29" s="341"/>
      <c r="G29" s="341"/>
      <c r="H29" s="341"/>
      <c r="I29" s="337"/>
      <c r="J29" s="337"/>
      <c r="K29" s="341"/>
      <c r="L29" s="341"/>
      <c r="M29" s="341"/>
      <c r="N29" s="337"/>
      <c r="O29" s="337"/>
      <c r="P29" s="341"/>
      <c r="Q29" s="337"/>
      <c r="R29" s="337"/>
      <c r="S29" s="337"/>
      <c r="T29" s="349"/>
      <c r="U29" s="349"/>
      <c r="V29" s="349"/>
      <c r="W29" s="349"/>
      <c r="X29" s="349"/>
      <c r="Y29" s="349"/>
      <c r="Z29" s="349"/>
      <c r="AA29" s="357"/>
      <c r="AB29" s="444"/>
      <c r="AC29" s="444"/>
      <c r="AD29" s="444"/>
      <c r="AE29" s="334"/>
    </row>
    <row r="30" spans="1:31" s="73" customFormat="1">
      <c r="A30" s="241"/>
      <c r="B30" s="242"/>
      <c r="C30" s="243"/>
      <c r="D30" s="244"/>
      <c r="E30" s="244"/>
      <c r="F30" s="244"/>
      <c r="G30" s="244"/>
      <c r="H30" s="244"/>
      <c r="I30" s="243"/>
      <c r="J30" s="243"/>
      <c r="K30" s="244"/>
      <c r="L30" s="244"/>
      <c r="M30" s="244"/>
      <c r="N30" s="243"/>
      <c r="O30" s="243"/>
      <c r="P30" s="244"/>
      <c r="Q30" s="243"/>
      <c r="R30" s="243"/>
      <c r="S30" s="243"/>
      <c r="T30" s="312"/>
      <c r="U30" s="312"/>
      <c r="V30" s="312"/>
      <c r="W30" s="312"/>
      <c r="X30" s="312"/>
      <c r="Y30" s="312"/>
      <c r="Z30" s="312"/>
      <c r="AA30" s="358"/>
      <c r="AB30" s="444"/>
      <c r="AC30" s="444"/>
      <c r="AD30" s="444"/>
      <c r="AE30" s="334"/>
    </row>
    <row r="31" spans="1:31" s="73" customFormat="1">
      <c r="A31" s="241"/>
      <c r="B31" s="245"/>
      <c r="C31" s="253"/>
      <c r="D31" s="254"/>
      <c r="E31" s="254"/>
      <c r="F31" s="254"/>
      <c r="G31" s="254"/>
      <c r="H31" s="254"/>
      <c r="I31" s="253"/>
      <c r="J31" s="253"/>
      <c r="K31" s="254"/>
      <c r="L31" s="254"/>
      <c r="M31" s="254"/>
      <c r="N31" s="253"/>
      <c r="O31" s="356"/>
      <c r="P31" s="254"/>
      <c r="Q31" s="253"/>
      <c r="R31" s="253"/>
      <c r="S31" s="253"/>
      <c r="T31" s="313"/>
      <c r="U31" s="313"/>
      <c r="V31" s="313"/>
      <c r="W31" s="313"/>
      <c r="X31" s="313"/>
      <c r="Y31" s="313"/>
      <c r="Z31" s="313"/>
      <c r="AA31" s="359"/>
      <c r="AB31" s="445"/>
      <c r="AC31" s="445"/>
      <c r="AD31" s="445"/>
      <c r="AE31" s="334"/>
    </row>
    <row r="32" spans="1:31" s="73" customFormat="1">
      <c r="A32" s="241"/>
      <c r="B32" s="242"/>
      <c r="C32" s="243"/>
      <c r="D32" s="244"/>
      <c r="E32" s="244"/>
      <c r="F32" s="244"/>
      <c r="G32" s="244"/>
      <c r="H32" s="244"/>
      <c r="I32" s="243"/>
      <c r="J32" s="243"/>
      <c r="K32" s="244"/>
      <c r="L32" s="244"/>
      <c r="M32" s="244"/>
      <c r="N32" s="243"/>
      <c r="O32" s="314"/>
      <c r="P32" s="244"/>
      <c r="Q32" s="243"/>
      <c r="R32" s="243"/>
      <c r="S32" s="243"/>
      <c r="T32" s="312"/>
      <c r="U32" s="312"/>
      <c r="V32" s="312"/>
      <c r="W32" s="312"/>
      <c r="X32" s="312"/>
      <c r="Y32" s="312"/>
      <c r="Z32" s="312"/>
      <c r="AA32" s="360"/>
      <c r="AB32" s="444"/>
      <c r="AC32" s="444"/>
      <c r="AD32" s="444"/>
      <c r="AE32" s="334"/>
    </row>
    <row r="33" spans="1:31" s="73" customFormat="1">
      <c r="A33" s="241"/>
      <c r="B33" s="242"/>
      <c r="C33" s="243"/>
      <c r="D33" s="244"/>
      <c r="E33" s="244"/>
      <c r="F33" s="244"/>
      <c r="G33" s="244"/>
      <c r="H33" s="244"/>
      <c r="I33" s="243"/>
      <c r="J33" s="243"/>
      <c r="K33" s="244"/>
      <c r="L33" s="244"/>
      <c r="M33" s="244"/>
      <c r="N33" s="243"/>
      <c r="O33" s="314"/>
      <c r="P33" s="244"/>
      <c r="Q33" s="243"/>
      <c r="R33" s="243"/>
      <c r="S33" s="243"/>
      <c r="T33" s="312"/>
      <c r="U33" s="312"/>
      <c r="V33" s="312"/>
      <c r="W33" s="312"/>
      <c r="X33" s="312"/>
      <c r="Y33" s="312"/>
      <c r="Z33" s="312"/>
      <c r="AA33" s="360"/>
      <c r="AB33" s="444"/>
      <c r="AC33" s="444"/>
      <c r="AD33" s="444"/>
      <c r="AE33" s="334"/>
    </row>
    <row r="34" spans="1:31" s="73" customFormat="1">
      <c r="A34" s="241"/>
      <c r="B34" s="245"/>
      <c r="C34" s="253"/>
      <c r="D34" s="254"/>
      <c r="E34" s="254"/>
      <c r="F34" s="254"/>
      <c r="G34" s="254"/>
      <c r="H34" s="254"/>
      <c r="I34" s="253"/>
      <c r="J34" s="253"/>
      <c r="K34" s="254"/>
      <c r="L34" s="254"/>
      <c r="M34" s="254"/>
      <c r="N34" s="253"/>
      <c r="O34" s="356"/>
      <c r="P34" s="254"/>
      <c r="Q34" s="253"/>
      <c r="R34" s="253"/>
      <c r="S34" s="253"/>
      <c r="T34" s="313"/>
      <c r="U34" s="313"/>
      <c r="V34" s="313"/>
      <c r="W34" s="313"/>
      <c r="X34" s="313"/>
      <c r="Y34" s="313"/>
      <c r="Z34" s="313"/>
      <c r="AA34" s="359"/>
      <c r="AB34" s="445"/>
      <c r="AC34" s="445"/>
      <c r="AD34" s="445"/>
      <c r="AE34" s="334"/>
    </row>
    <row r="35" spans="1:31" s="73" customFormat="1">
      <c r="A35" s="241"/>
      <c r="B35" s="242"/>
      <c r="C35" s="243"/>
      <c r="D35" s="244"/>
      <c r="E35" s="244"/>
      <c r="F35" s="244"/>
      <c r="G35" s="244"/>
      <c r="H35" s="244"/>
      <c r="I35" s="243"/>
      <c r="J35" s="243"/>
      <c r="K35" s="244"/>
      <c r="L35" s="244"/>
      <c r="M35" s="244"/>
      <c r="N35" s="243"/>
      <c r="O35" s="314"/>
      <c r="P35" s="244"/>
      <c r="Q35" s="243"/>
      <c r="R35" s="243"/>
      <c r="S35" s="243"/>
      <c r="T35" s="312"/>
      <c r="U35" s="312"/>
      <c r="V35" s="312"/>
      <c r="W35" s="312"/>
      <c r="X35" s="312"/>
      <c r="Y35" s="312"/>
      <c r="Z35" s="312"/>
      <c r="AA35" s="360"/>
      <c r="AB35" s="444"/>
      <c r="AC35" s="444"/>
      <c r="AD35" s="444"/>
      <c r="AE35" s="334"/>
    </row>
    <row r="36" spans="1:31" s="73" customFormat="1">
      <c r="A36" s="241"/>
      <c r="B36" s="242"/>
      <c r="C36" s="243"/>
      <c r="D36" s="244"/>
      <c r="E36" s="244"/>
      <c r="F36" s="244"/>
      <c r="G36" s="244"/>
      <c r="H36" s="244"/>
      <c r="I36" s="243"/>
      <c r="J36" s="243"/>
      <c r="K36" s="244"/>
      <c r="L36" s="244"/>
      <c r="M36" s="244"/>
      <c r="N36" s="243"/>
      <c r="O36" s="314"/>
      <c r="P36" s="244"/>
      <c r="Q36" s="243"/>
      <c r="R36" s="243"/>
      <c r="S36" s="243"/>
      <c r="T36" s="312"/>
      <c r="U36" s="312"/>
      <c r="V36" s="312"/>
      <c r="W36" s="312"/>
      <c r="X36" s="312"/>
      <c r="Y36" s="312"/>
      <c r="Z36" s="312"/>
      <c r="AA36" s="360"/>
      <c r="AB36" s="444"/>
      <c r="AC36" s="444"/>
      <c r="AD36" s="444"/>
      <c r="AE36" s="334"/>
    </row>
    <row r="37" spans="1:31" s="73" customFormat="1">
      <c r="A37" s="241"/>
      <c r="B37" s="245"/>
      <c r="C37" s="253"/>
      <c r="D37" s="254"/>
      <c r="E37" s="734"/>
      <c r="F37" s="254"/>
      <c r="G37" s="254"/>
      <c r="H37" s="254"/>
      <c r="I37" s="253"/>
      <c r="J37" s="253"/>
      <c r="K37" s="254"/>
      <c r="L37" s="254"/>
      <c r="M37" s="254"/>
      <c r="N37" s="253"/>
      <c r="O37" s="356"/>
      <c r="P37" s="254"/>
      <c r="Q37" s="253"/>
      <c r="R37" s="253"/>
      <c r="S37" s="253"/>
      <c r="T37" s="313"/>
      <c r="U37" s="313"/>
      <c r="V37" s="313"/>
      <c r="W37" s="313"/>
      <c r="X37" s="313"/>
      <c r="Y37" s="313"/>
      <c r="Z37" s="313"/>
      <c r="AA37" s="359"/>
      <c r="AB37" s="445"/>
      <c r="AC37" s="445"/>
      <c r="AD37" s="445"/>
      <c r="AE37" s="334"/>
    </row>
    <row r="38" spans="1:31" s="73" customFormat="1">
      <c r="A38" s="241"/>
      <c r="B38" s="242"/>
      <c r="C38" s="243"/>
      <c r="D38" s="244"/>
      <c r="E38" s="244"/>
      <c r="F38" s="244"/>
      <c r="G38" s="244"/>
      <c r="H38" s="244"/>
      <c r="I38" s="243"/>
      <c r="J38" s="243"/>
      <c r="K38" s="244"/>
      <c r="L38" s="244"/>
      <c r="M38" s="244"/>
      <c r="N38" s="243"/>
      <c r="O38" s="314"/>
      <c r="P38" s="244"/>
      <c r="Q38" s="243"/>
      <c r="R38" s="243"/>
      <c r="S38" s="243"/>
      <c r="T38" s="312"/>
      <c r="U38" s="312"/>
      <c r="V38" s="312"/>
      <c r="W38" s="312"/>
      <c r="X38" s="312"/>
      <c r="Y38" s="312"/>
      <c r="Z38" s="312"/>
      <c r="AA38" s="360"/>
      <c r="AB38" s="444"/>
      <c r="AC38" s="444"/>
      <c r="AD38" s="444"/>
      <c r="AE38" s="334"/>
    </row>
    <row r="39" spans="1:31" s="73" customFormat="1">
      <c r="A39" s="241"/>
      <c r="B39" s="242"/>
      <c r="C39" s="243"/>
      <c r="D39" s="244"/>
      <c r="E39" s="244"/>
      <c r="F39" s="244"/>
      <c r="G39" s="244"/>
      <c r="H39" s="244"/>
      <c r="I39" s="243"/>
      <c r="J39" s="243"/>
      <c r="K39" s="244"/>
      <c r="L39" s="244"/>
      <c r="M39" s="244"/>
      <c r="N39" s="243"/>
      <c r="O39" s="314"/>
      <c r="P39" s="244"/>
      <c r="Q39" s="243"/>
      <c r="R39" s="243"/>
      <c r="S39" s="243"/>
      <c r="T39" s="312"/>
      <c r="U39" s="312"/>
      <c r="V39" s="312"/>
      <c r="W39" s="312"/>
      <c r="X39" s="312"/>
      <c r="Y39" s="312"/>
      <c r="Z39" s="312"/>
      <c r="AA39" s="360"/>
      <c r="AB39" s="444"/>
      <c r="AC39" s="444"/>
      <c r="AD39" s="444"/>
      <c r="AE39" s="334"/>
    </row>
    <row r="40" spans="1:31" s="73" customFormat="1">
      <c r="A40" s="246"/>
      <c r="B40" s="311"/>
      <c r="C40" s="253"/>
      <c r="D40" s="254"/>
      <c r="E40" s="254"/>
      <c r="F40" s="254"/>
      <c r="G40" s="254"/>
      <c r="H40" s="254"/>
      <c r="I40" s="253"/>
      <c r="J40" s="253"/>
      <c r="K40" s="254"/>
      <c r="L40" s="254"/>
      <c r="M40" s="254"/>
      <c r="N40" s="253"/>
      <c r="O40" s="356"/>
      <c r="P40" s="254"/>
      <c r="Q40" s="253"/>
      <c r="R40" s="253"/>
      <c r="S40" s="253"/>
      <c r="T40" s="313"/>
      <c r="U40" s="313"/>
      <c r="V40" s="313"/>
      <c r="W40" s="313"/>
      <c r="X40" s="313"/>
      <c r="Y40" s="313"/>
      <c r="Z40" s="313"/>
      <c r="AA40" s="359"/>
      <c r="AB40" s="445"/>
      <c r="AC40" s="445"/>
      <c r="AD40" s="445"/>
      <c r="AE40" s="334"/>
    </row>
    <row r="41" spans="1:31" s="73" customFormat="1">
      <c r="A41" s="342"/>
      <c r="B41" s="340"/>
      <c r="C41" s="337"/>
      <c r="D41" s="341"/>
      <c r="E41" s="341"/>
      <c r="F41" s="341"/>
      <c r="G41" s="341"/>
      <c r="H41" s="341"/>
      <c r="I41" s="337"/>
      <c r="J41" s="337"/>
      <c r="K41" s="341"/>
      <c r="L41" s="341"/>
      <c r="M41" s="341"/>
      <c r="N41" s="337"/>
      <c r="O41" s="337"/>
      <c r="P41" s="341"/>
      <c r="Q41" s="337"/>
      <c r="R41" s="337"/>
      <c r="S41" s="337"/>
      <c r="T41" s="349"/>
      <c r="U41" s="349"/>
      <c r="V41" s="349"/>
      <c r="W41" s="349"/>
      <c r="X41" s="349"/>
      <c r="Y41" s="349"/>
      <c r="Z41" s="349"/>
      <c r="AA41" s="357"/>
      <c r="AB41" s="444"/>
      <c r="AC41" s="444"/>
      <c r="AD41" s="444"/>
      <c r="AE41" s="334"/>
    </row>
    <row r="42" spans="1:31" s="73" customFormat="1">
      <c r="A42" s="241"/>
      <c r="B42" s="242"/>
      <c r="C42" s="243"/>
      <c r="D42" s="244"/>
      <c r="E42" s="244"/>
      <c r="F42" s="244"/>
      <c r="G42" s="244"/>
      <c r="H42" s="244"/>
      <c r="I42" s="243"/>
      <c r="J42" s="243"/>
      <c r="K42" s="244"/>
      <c r="L42" s="244"/>
      <c r="M42" s="244"/>
      <c r="N42" s="243"/>
      <c r="O42" s="243"/>
      <c r="P42" s="244"/>
      <c r="Q42" s="243"/>
      <c r="R42" s="243"/>
      <c r="S42" s="243"/>
      <c r="T42" s="312"/>
      <c r="U42" s="312"/>
      <c r="V42" s="312"/>
      <c r="W42" s="312"/>
      <c r="X42" s="312"/>
      <c r="Y42" s="312"/>
      <c r="Z42" s="312"/>
      <c r="AA42" s="358"/>
      <c r="AB42" s="444"/>
      <c r="AC42" s="444"/>
      <c r="AD42" s="444"/>
      <c r="AE42" s="334"/>
    </row>
    <row r="43" spans="1:31" s="73" customFormat="1">
      <c r="A43" s="241"/>
      <c r="B43" s="245"/>
      <c r="C43" s="253"/>
      <c r="D43" s="254"/>
      <c r="E43" s="254"/>
      <c r="F43" s="254"/>
      <c r="G43" s="254"/>
      <c r="H43" s="254"/>
      <c r="I43" s="253"/>
      <c r="J43" s="733"/>
      <c r="K43" s="734"/>
      <c r="L43" s="254"/>
      <c r="M43" s="254"/>
      <c r="N43" s="253"/>
      <c r="O43" s="356"/>
      <c r="P43" s="254"/>
      <c r="Q43" s="253"/>
      <c r="R43" s="253"/>
      <c r="S43" s="253"/>
      <c r="T43" s="313"/>
      <c r="U43" s="313"/>
      <c r="V43" s="313"/>
      <c r="W43" s="313"/>
      <c r="X43" s="313"/>
      <c r="Y43" s="313"/>
      <c r="Z43" s="313"/>
      <c r="AA43" s="359"/>
      <c r="AB43" s="445"/>
      <c r="AC43" s="445"/>
      <c r="AD43" s="445"/>
      <c r="AE43" s="334"/>
    </row>
    <row r="44" spans="1:31" s="73" customFormat="1">
      <c r="A44" s="241"/>
      <c r="B44" s="242"/>
      <c r="C44" s="243"/>
      <c r="D44" s="244"/>
      <c r="E44" s="244"/>
      <c r="F44" s="244"/>
      <c r="G44" s="244"/>
      <c r="H44" s="244"/>
      <c r="I44" s="243"/>
      <c r="J44" s="243"/>
      <c r="K44" s="244"/>
      <c r="L44" s="244"/>
      <c r="M44" s="244"/>
      <c r="N44" s="243"/>
      <c r="O44" s="314"/>
      <c r="P44" s="244"/>
      <c r="Q44" s="243"/>
      <c r="R44" s="243"/>
      <c r="S44" s="243"/>
      <c r="T44" s="312"/>
      <c r="U44" s="312"/>
      <c r="V44" s="312"/>
      <c r="W44" s="312"/>
      <c r="X44" s="312"/>
      <c r="Y44" s="312"/>
      <c r="Z44" s="312"/>
      <c r="AA44" s="360"/>
      <c r="AB44" s="444"/>
      <c r="AC44" s="444"/>
      <c r="AD44" s="444"/>
      <c r="AE44" s="334"/>
    </row>
    <row r="45" spans="1:31" s="73" customFormat="1">
      <c r="A45" s="241"/>
      <c r="B45" s="242"/>
      <c r="C45" s="243"/>
      <c r="D45" s="244"/>
      <c r="E45" s="244"/>
      <c r="F45" s="244"/>
      <c r="G45" s="244"/>
      <c r="H45" s="244"/>
      <c r="I45" s="243"/>
      <c r="J45" s="243"/>
      <c r="K45" s="244"/>
      <c r="L45" s="244"/>
      <c r="M45" s="244"/>
      <c r="N45" s="243"/>
      <c r="O45" s="314"/>
      <c r="P45" s="244"/>
      <c r="Q45" s="243"/>
      <c r="R45" s="243"/>
      <c r="S45" s="243"/>
      <c r="T45" s="312"/>
      <c r="U45" s="312"/>
      <c r="V45" s="312"/>
      <c r="W45" s="312"/>
      <c r="X45" s="312"/>
      <c r="Y45" s="312"/>
      <c r="Z45" s="312"/>
      <c r="AA45" s="360"/>
      <c r="AB45" s="444"/>
      <c r="AC45" s="444"/>
      <c r="AD45" s="444"/>
      <c r="AE45" s="334"/>
    </row>
    <row r="46" spans="1:31" s="73" customFormat="1">
      <c r="A46" s="241"/>
      <c r="B46" s="245"/>
      <c r="C46" s="253"/>
      <c r="D46" s="254"/>
      <c r="E46" s="254"/>
      <c r="F46" s="254"/>
      <c r="G46" s="254"/>
      <c r="H46" s="254"/>
      <c r="I46" s="253"/>
      <c r="J46" s="733"/>
      <c r="K46" s="734"/>
      <c r="L46" s="734"/>
      <c r="M46" s="734"/>
      <c r="N46" s="253"/>
      <c r="O46" s="356"/>
      <c r="P46" s="254"/>
      <c r="Q46" s="253"/>
      <c r="R46" s="253"/>
      <c r="S46" s="253"/>
      <c r="T46" s="313"/>
      <c r="U46" s="313"/>
      <c r="V46" s="313"/>
      <c r="W46" s="313"/>
      <c r="X46" s="313"/>
      <c r="Y46" s="313"/>
      <c r="Z46" s="313"/>
      <c r="AA46" s="359"/>
      <c r="AB46" s="445"/>
      <c r="AC46" s="445"/>
      <c r="AD46" s="445"/>
      <c r="AE46" s="334"/>
    </row>
    <row r="47" spans="1:31" s="73" customFormat="1">
      <c r="A47" s="241"/>
      <c r="B47" s="242"/>
      <c r="C47" s="243"/>
      <c r="D47" s="244"/>
      <c r="E47" s="244"/>
      <c r="F47" s="244"/>
      <c r="G47" s="244"/>
      <c r="H47" s="244"/>
      <c r="I47" s="243"/>
      <c r="J47" s="243"/>
      <c r="K47" s="244"/>
      <c r="L47" s="244"/>
      <c r="M47" s="244"/>
      <c r="N47" s="243"/>
      <c r="O47" s="314"/>
      <c r="P47" s="244"/>
      <c r="Q47" s="243"/>
      <c r="R47" s="243"/>
      <c r="S47" s="243"/>
      <c r="T47" s="312"/>
      <c r="U47" s="312"/>
      <c r="V47" s="312"/>
      <c r="W47" s="312"/>
      <c r="X47" s="312"/>
      <c r="Y47" s="312"/>
      <c r="Z47" s="312"/>
      <c r="AA47" s="360"/>
      <c r="AB47" s="444"/>
      <c r="AC47" s="444"/>
      <c r="AD47" s="444"/>
      <c r="AE47" s="334"/>
    </row>
    <row r="48" spans="1:31" s="73" customFormat="1">
      <c r="A48" s="241"/>
      <c r="B48" s="242"/>
      <c r="C48" s="243"/>
      <c r="D48" s="244"/>
      <c r="E48" s="244"/>
      <c r="F48" s="244"/>
      <c r="G48" s="244"/>
      <c r="H48" s="244"/>
      <c r="I48" s="243"/>
      <c r="J48" s="243"/>
      <c r="K48" s="244"/>
      <c r="L48" s="244"/>
      <c r="M48" s="244"/>
      <c r="N48" s="243"/>
      <c r="O48" s="314"/>
      <c r="P48" s="244"/>
      <c r="Q48" s="243"/>
      <c r="R48" s="243"/>
      <c r="S48" s="243"/>
      <c r="T48" s="312"/>
      <c r="U48" s="312"/>
      <c r="V48" s="312"/>
      <c r="W48" s="312"/>
      <c r="X48" s="312"/>
      <c r="Y48" s="312"/>
      <c r="Z48" s="312"/>
      <c r="AA48" s="360"/>
      <c r="AB48" s="444"/>
      <c r="AC48" s="444"/>
      <c r="AD48" s="444"/>
      <c r="AE48" s="334"/>
    </row>
    <row r="49" spans="1:31" s="73" customFormat="1">
      <c r="A49" s="241"/>
      <c r="B49" s="245"/>
      <c r="C49" s="253"/>
      <c r="D49" s="254"/>
      <c r="E49" s="254"/>
      <c r="F49" s="254"/>
      <c r="G49" s="254"/>
      <c r="H49" s="254"/>
      <c r="I49" s="253"/>
      <c r="J49" s="253"/>
      <c r="K49" s="254"/>
      <c r="L49" s="254"/>
      <c r="M49" s="254"/>
      <c r="N49" s="253"/>
      <c r="O49" s="356"/>
      <c r="P49" s="254"/>
      <c r="Q49" s="253"/>
      <c r="R49" s="253"/>
      <c r="S49" s="253"/>
      <c r="T49" s="313"/>
      <c r="U49" s="313"/>
      <c r="V49" s="313"/>
      <c r="W49" s="313"/>
      <c r="X49" s="313"/>
      <c r="Y49" s="313"/>
      <c r="Z49" s="313"/>
      <c r="AA49" s="359"/>
      <c r="AB49" s="445"/>
      <c r="AC49" s="445"/>
      <c r="AD49" s="445"/>
      <c r="AE49" s="334"/>
    </row>
    <row r="50" spans="1:31" s="73" customFormat="1">
      <c r="A50" s="241"/>
      <c r="B50" s="242"/>
      <c r="C50" s="243"/>
      <c r="D50" s="244"/>
      <c r="E50" s="244"/>
      <c r="F50" s="244"/>
      <c r="G50" s="244"/>
      <c r="H50" s="244"/>
      <c r="I50" s="243"/>
      <c r="J50" s="243"/>
      <c r="K50" s="244"/>
      <c r="L50" s="244"/>
      <c r="M50" s="244"/>
      <c r="N50" s="243"/>
      <c r="O50" s="314"/>
      <c r="P50" s="244"/>
      <c r="Q50" s="243"/>
      <c r="R50" s="243"/>
      <c r="S50" s="243"/>
      <c r="T50" s="312"/>
      <c r="U50" s="312"/>
      <c r="V50" s="312"/>
      <c r="W50" s="312"/>
      <c r="X50" s="312"/>
      <c r="Y50" s="312"/>
      <c r="Z50" s="312"/>
      <c r="AA50" s="360"/>
      <c r="AB50" s="444"/>
      <c r="AC50" s="444"/>
      <c r="AD50" s="444"/>
      <c r="AE50" s="334"/>
    </row>
    <row r="51" spans="1:31" s="73" customFormat="1">
      <c r="A51" s="241"/>
      <c r="B51" s="242"/>
      <c r="C51" s="243"/>
      <c r="D51" s="244"/>
      <c r="E51" s="244"/>
      <c r="F51" s="244"/>
      <c r="G51" s="244"/>
      <c r="H51" s="244"/>
      <c r="I51" s="243"/>
      <c r="J51" s="243"/>
      <c r="K51" s="244"/>
      <c r="L51" s="244"/>
      <c r="M51" s="244"/>
      <c r="N51" s="243"/>
      <c r="O51" s="314"/>
      <c r="P51" s="244"/>
      <c r="Q51" s="243"/>
      <c r="R51" s="243"/>
      <c r="S51" s="243"/>
      <c r="T51" s="312"/>
      <c r="U51" s="312"/>
      <c r="V51" s="312"/>
      <c r="W51" s="312"/>
      <c r="X51" s="312"/>
      <c r="Y51" s="312"/>
      <c r="Z51" s="312"/>
      <c r="AA51" s="360"/>
      <c r="AB51" s="444"/>
      <c r="AC51" s="444"/>
      <c r="AD51" s="444"/>
      <c r="AE51" s="334"/>
    </row>
    <row r="52" spans="1:31" s="73" customFormat="1">
      <c r="A52" s="246"/>
      <c r="B52" s="311"/>
      <c r="C52" s="253"/>
      <c r="D52" s="254"/>
      <c r="E52" s="254"/>
      <c r="F52" s="254"/>
      <c r="G52" s="254"/>
      <c r="H52" s="254"/>
      <c r="I52" s="253"/>
      <c r="J52" s="253"/>
      <c r="K52" s="254"/>
      <c r="L52" s="254"/>
      <c r="M52" s="254"/>
      <c r="N52" s="253"/>
      <c r="O52" s="356"/>
      <c r="P52" s="254"/>
      <c r="Q52" s="253"/>
      <c r="R52" s="253"/>
      <c r="S52" s="253"/>
      <c r="T52" s="313"/>
      <c r="U52" s="313"/>
      <c r="V52" s="313"/>
      <c r="W52" s="313"/>
      <c r="X52" s="313"/>
      <c r="Y52" s="313"/>
      <c r="Z52" s="313"/>
      <c r="AA52" s="359"/>
      <c r="AB52" s="445"/>
      <c r="AC52" s="445"/>
      <c r="AD52" s="445"/>
      <c r="AE52" s="334"/>
    </row>
    <row r="53" spans="1:31" s="73" customFormat="1">
      <c r="A53" s="342"/>
      <c r="B53" s="340"/>
      <c r="C53" s="337"/>
      <c r="D53" s="341"/>
      <c r="E53" s="341"/>
      <c r="F53" s="341"/>
      <c r="G53" s="341"/>
      <c r="H53" s="341"/>
      <c r="I53" s="337"/>
      <c r="J53" s="337"/>
      <c r="K53" s="341"/>
      <c r="L53" s="341"/>
      <c r="M53" s="341"/>
      <c r="N53" s="337"/>
      <c r="O53" s="337"/>
      <c r="P53" s="341"/>
      <c r="Q53" s="337"/>
      <c r="R53" s="337"/>
      <c r="S53" s="337"/>
      <c r="T53" s="349"/>
      <c r="U53" s="349"/>
      <c r="V53" s="349"/>
      <c r="W53" s="349"/>
      <c r="X53" s="349"/>
      <c r="Y53" s="349"/>
      <c r="Z53" s="349"/>
      <c r="AA53" s="357"/>
      <c r="AB53" s="444"/>
      <c r="AC53" s="444"/>
      <c r="AD53" s="444"/>
      <c r="AE53" s="334"/>
    </row>
    <row r="54" spans="1:31" s="73" customFormat="1">
      <c r="A54" s="241"/>
      <c r="B54" s="242"/>
      <c r="C54" s="243"/>
      <c r="D54" s="244"/>
      <c r="E54" s="244"/>
      <c r="F54" s="244"/>
      <c r="G54" s="244"/>
      <c r="H54" s="244"/>
      <c r="I54" s="243"/>
      <c r="J54" s="243"/>
      <c r="K54" s="244"/>
      <c r="L54" s="244"/>
      <c r="M54" s="244"/>
      <c r="N54" s="243"/>
      <c r="O54" s="243"/>
      <c r="P54" s="244"/>
      <c r="Q54" s="243"/>
      <c r="R54" s="243"/>
      <c r="S54" s="243"/>
      <c r="T54" s="312"/>
      <c r="U54" s="312"/>
      <c r="V54" s="312"/>
      <c r="W54" s="312"/>
      <c r="X54" s="312"/>
      <c r="Y54" s="312"/>
      <c r="Z54" s="312"/>
      <c r="AA54" s="358"/>
      <c r="AB54" s="444"/>
      <c r="AC54" s="444"/>
      <c r="AD54" s="444"/>
      <c r="AE54" s="334"/>
    </row>
    <row r="55" spans="1:31" s="73" customFormat="1">
      <c r="A55" s="241"/>
      <c r="B55" s="245"/>
      <c r="C55" s="253"/>
      <c r="D55" s="254"/>
      <c r="E55" s="254"/>
      <c r="F55" s="254"/>
      <c r="G55" s="254"/>
      <c r="H55" s="734"/>
      <c r="I55" s="253"/>
      <c r="J55" s="733"/>
      <c r="K55" s="734"/>
      <c r="L55" s="734"/>
      <c r="M55" s="254"/>
      <c r="N55" s="253"/>
      <c r="O55" s="356"/>
      <c r="P55" s="254"/>
      <c r="Q55" s="733"/>
      <c r="R55" s="253"/>
      <c r="S55" s="253"/>
      <c r="T55" s="313"/>
      <c r="U55" s="313"/>
      <c r="V55" s="313"/>
      <c r="W55" s="313"/>
      <c r="X55" s="313"/>
      <c r="Y55" s="313"/>
      <c r="Z55" s="313"/>
      <c r="AA55" s="359"/>
      <c r="AB55" s="445"/>
      <c r="AC55" s="445"/>
      <c r="AD55" s="445"/>
      <c r="AE55" s="334"/>
    </row>
    <row r="56" spans="1:31" s="73" customFormat="1">
      <c r="A56" s="241"/>
      <c r="B56" s="242"/>
      <c r="C56" s="243"/>
      <c r="D56" s="244"/>
      <c r="E56" s="244"/>
      <c r="F56" s="244"/>
      <c r="G56" s="244"/>
      <c r="H56" s="244"/>
      <c r="I56" s="243"/>
      <c r="J56" s="243"/>
      <c r="K56" s="244"/>
      <c r="L56" s="244"/>
      <c r="M56" s="244"/>
      <c r="N56" s="243"/>
      <c r="O56" s="314"/>
      <c r="P56" s="244"/>
      <c r="Q56" s="243"/>
      <c r="R56" s="243"/>
      <c r="S56" s="243"/>
      <c r="T56" s="312"/>
      <c r="U56" s="312"/>
      <c r="V56" s="312"/>
      <c r="W56" s="312"/>
      <c r="X56" s="312"/>
      <c r="Y56" s="312"/>
      <c r="Z56" s="312"/>
      <c r="AA56" s="360"/>
      <c r="AB56" s="444"/>
      <c r="AC56" s="444"/>
      <c r="AD56" s="444"/>
      <c r="AE56" s="334"/>
    </row>
    <row r="57" spans="1:31" s="73" customFormat="1">
      <c r="A57" s="241"/>
      <c r="B57" s="242"/>
      <c r="C57" s="243"/>
      <c r="D57" s="244"/>
      <c r="E57" s="244"/>
      <c r="F57" s="244"/>
      <c r="G57" s="244"/>
      <c r="H57" s="244"/>
      <c r="I57" s="243"/>
      <c r="J57" s="243"/>
      <c r="K57" s="244"/>
      <c r="L57" s="244"/>
      <c r="M57" s="244"/>
      <c r="N57" s="243"/>
      <c r="O57" s="314"/>
      <c r="P57" s="244"/>
      <c r="Q57" s="243"/>
      <c r="R57" s="243"/>
      <c r="S57" s="243"/>
      <c r="T57" s="312"/>
      <c r="U57" s="312"/>
      <c r="V57" s="312"/>
      <c r="W57" s="312"/>
      <c r="X57" s="312"/>
      <c r="Y57" s="312"/>
      <c r="Z57" s="312"/>
      <c r="AA57" s="360"/>
      <c r="AB57" s="444"/>
      <c r="AC57" s="444"/>
      <c r="AD57" s="444"/>
      <c r="AE57" s="334"/>
    </row>
    <row r="58" spans="1:31" s="73" customFormat="1">
      <c r="A58" s="241"/>
      <c r="B58" s="245"/>
      <c r="C58" s="253"/>
      <c r="D58" s="254"/>
      <c r="E58" s="254"/>
      <c r="F58" s="254"/>
      <c r="G58" s="254"/>
      <c r="H58" s="254"/>
      <c r="I58" s="253"/>
      <c r="J58" s="253"/>
      <c r="K58" s="254"/>
      <c r="L58" s="254"/>
      <c r="M58" s="254"/>
      <c r="N58" s="253"/>
      <c r="O58" s="356"/>
      <c r="P58" s="254"/>
      <c r="Q58" s="253"/>
      <c r="R58" s="253"/>
      <c r="S58" s="253"/>
      <c r="T58" s="313"/>
      <c r="U58" s="313"/>
      <c r="V58" s="313"/>
      <c r="W58" s="313"/>
      <c r="X58" s="313"/>
      <c r="Y58" s="313"/>
      <c r="Z58" s="313"/>
      <c r="AA58" s="359"/>
      <c r="AB58" s="445"/>
      <c r="AC58" s="445"/>
      <c r="AD58" s="445"/>
      <c r="AE58" s="334"/>
    </row>
    <row r="59" spans="1:31" s="73" customFormat="1">
      <c r="A59" s="241"/>
      <c r="B59" s="242"/>
      <c r="C59" s="243"/>
      <c r="D59" s="244"/>
      <c r="E59" s="244"/>
      <c r="F59" s="244"/>
      <c r="G59" s="244"/>
      <c r="H59" s="244"/>
      <c r="I59" s="243"/>
      <c r="J59" s="243"/>
      <c r="K59" s="244"/>
      <c r="L59" s="244"/>
      <c r="M59" s="244"/>
      <c r="N59" s="243"/>
      <c r="O59" s="314"/>
      <c r="P59" s="244"/>
      <c r="Q59" s="243"/>
      <c r="R59" s="243"/>
      <c r="S59" s="243"/>
      <c r="T59" s="312"/>
      <c r="U59" s="312"/>
      <c r="V59" s="312"/>
      <c r="W59" s="312"/>
      <c r="X59" s="312"/>
      <c r="Y59" s="312"/>
      <c r="Z59" s="312"/>
      <c r="AA59" s="360"/>
      <c r="AB59" s="444"/>
      <c r="AC59" s="444"/>
      <c r="AD59" s="444"/>
      <c r="AE59" s="334"/>
    </row>
    <row r="60" spans="1:31" s="73" customFormat="1">
      <c r="A60" s="241"/>
      <c r="B60" s="242"/>
      <c r="C60" s="243"/>
      <c r="D60" s="244"/>
      <c r="E60" s="244"/>
      <c r="F60" s="244"/>
      <c r="G60" s="244"/>
      <c r="H60" s="244"/>
      <c r="I60" s="243"/>
      <c r="J60" s="243"/>
      <c r="K60" s="244"/>
      <c r="L60" s="244"/>
      <c r="M60" s="244"/>
      <c r="N60" s="243"/>
      <c r="O60" s="314"/>
      <c r="P60" s="244"/>
      <c r="Q60" s="243"/>
      <c r="R60" s="243"/>
      <c r="S60" s="243"/>
      <c r="T60" s="312"/>
      <c r="U60" s="312"/>
      <c r="V60" s="312"/>
      <c r="W60" s="312"/>
      <c r="X60" s="312"/>
      <c r="Y60" s="312"/>
      <c r="Z60" s="312"/>
      <c r="AA60" s="360"/>
      <c r="AB60" s="444"/>
      <c r="AC60" s="444"/>
      <c r="AD60" s="444"/>
      <c r="AE60" s="334"/>
    </row>
    <row r="61" spans="1:31" s="73" customFormat="1">
      <c r="A61" s="241"/>
      <c r="B61" s="245"/>
      <c r="C61" s="253"/>
      <c r="D61" s="254"/>
      <c r="E61" s="254"/>
      <c r="F61" s="254"/>
      <c r="G61" s="254"/>
      <c r="H61" s="254"/>
      <c r="I61" s="253"/>
      <c r="J61" s="253"/>
      <c r="K61" s="254"/>
      <c r="L61" s="254"/>
      <c r="M61" s="254"/>
      <c r="N61" s="253"/>
      <c r="O61" s="356"/>
      <c r="P61" s="254"/>
      <c r="Q61" s="253"/>
      <c r="R61" s="253"/>
      <c r="S61" s="253"/>
      <c r="T61" s="313"/>
      <c r="U61" s="313"/>
      <c r="V61" s="313"/>
      <c r="W61" s="313"/>
      <c r="X61" s="313"/>
      <c r="Y61" s="313"/>
      <c r="Z61" s="313"/>
      <c r="AA61" s="359"/>
      <c r="AB61" s="445"/>
      <c r="AC61" s="445"/>
      <c r="AD61" s="445"/>
      <c r="AE61" s="334"/>
    </row>
    <row r="62" spans="1:31" s="73" customFormat="1">
      <c r="A62" s="241"/>
      <c r="B62" s="242"/>
      <c r="C62" s="243"/>
      <c r="D62" s="244"/>
      <c r="E62" s="244"/>
      <c r="F62" s="244"/>
      <c r="G62" s="244"/>
      <c r="H62" s="244"/>
      <c r="I62" s="243"/>
      <c r="J62" s="243"/>
      <c r="K62" s="244"/>
      <c r="L62" s="244"/>
      <c r="M62" s="244"/>
      <c r="N62" s="243"/>
      <c r="O62" s="314"/>
      <c r="P62" s="244"/>
      <c r="Q62" s="243"/>
      <c r="R62" s="243"/>
      <c r="S62" s="243"/>
      <c r="T62" s="312"/>
      <c r="U62" s="312"/>
      <c r="V62" s="312"/>
      <c r="W62" s="312"/>
      <c r="X62" s="312"/>
      <c r="Y62" s="312"/>
      <c r="Z62" s="312"/>
      <c r="AA62" s="360"/>
      <c r="AB62" s="444"/>
      <c r="AC62" s="444"/>
      <c r="AD62" s="444"/>
      <c r="AE62" s="334"/>
    </row>
    <row r="63" spans="1:31" s="73" customFormat="1">
      <c r="A63" s="241"/>
      <c r="B63" s="242"/>
      <c r="C63" s="243"/>
      <c r="D63" s="244"/>
      <c r="E63" s="244"/>
      <c r="F63" s="244"/>
      <c r="G63" s="244"/>
      <c r="H63" s="244"/>
      <c r="I63" s="243"/>
      <c r="J63" s="243"/>
      <c r="K63" s="244"/>
      <c r="L63" s="244"/>
      <c r="M63" s="244"/>
      <c r="N63" s="243"/>
      <c r="O63" s="314"/>
      <c r="P63" s="244"/>
      <c r="Q63" s="243"/>
      <c r="R63" s="243"/>
      <c r="S63" s="243"/>
      <c r="T63" s="312"/>
      <c r="U63" s="312"/>
      <c r="V63" s="312"/>
      <c r="W63" s="312"/>
      <c r="X63" s="312"/>
      <c r="Y63" s="312"/>
      <c r="Z63" s="312"/>
      <c r="AA63" s="360"/>
      <c r="AB63" s="444"/>
      <c r="AC63" s="444"/>
      <c r="AD63" s="444"/>
      <c r="AE63" s="334"/>
    </row>
    <row r="64" spans="1:31" s="73" customFormat="1">
      <c r="A64" s="246"/>
      <c r="B64" s="311"/>
      <c r="C64" s="253"/>
      <c r="D64" s="254"/>
      <c r="E64" s="254"/>
      <c r="F64" s="254"/>
      <c r="G64" s="254"/>
      <c r="H64" s="254"/>
      <c r="I64" s="253"/>
      <c r="J64" s="253"/>
      <c r="K64" s="254"/>
      <c r="L64" s="254"/>
      <c r="M64" s="254"/>
      <c r="N64" s="253"/>
      <c r="O64" s="356"/>
      <c r="P64" s="254"/>
      <c r="Q64" s="253"/>
      <c r="R64" s="253"/>
      <c r="S64" s="253"/>
      <c r="T64" s="313"/>
      <c r="U64" s="313"/>
      <c r="V64" s="313"/>
      <c r="W64" s="313"/>
      <c r="X64" s="313"/>
      <c r="Y64" s="313"/>
      <c r="Z64" s="313"/>
      <c r="AA64" s="359"/>
      <c r="AB64" s="445"/>
      <c r="AC64" s="445"/>
      <c r="AD64" s="445"/>
      <c r="AE64" s="334"/>
    </row>
    <row r="65" spans="1:31" s="73" customFormat="1">
      <c r="A65" s="342"/>
      <c r="B65" s="340"/>
      <c r="C65" s="337"/>
      <c r="D65" s="341"/>
      <c r="E65" s="341"/>
      <c r="F65" s="341"/>
      <c r="G65" s="341"/>
      <c r="H65" s="341"/>
      <c r="I65" s="337"/>
      <c r="J65" s="337"/>
      <c r="K65" s="341"/>
      <c r="L65" s="341"/>
      <c r="M65" s="341"/>
      <c r="N65" s="337"/>
      <c r="O65" s="337"/>
      <c r="P65" s="341"/>
      <c r="Q65" s="337"/>
      <c r="R65" s="337"/>
      <c r="S65" s="337"/>
      <c r="T65" s="349"/>
      <c r="U65" s="349"/>
      <c r="V65" s="349"/>
      <c r="W65" s="349"/>
      <c r="X65" s="349"/>
      <c r="Y65" s="349"/>
      <c r="Z65" s="349"/>
      <c r="AA65" s="357"/>
      <c r="AB65" s="444"/>
      <c r="AC65" s="444"/>
      <c r="AD65" s="444"/>
      <c r="AE65" s="334"/>
    </row>
    <row r="66" spans="1:31" s="73" customFormat="1">
      <c r="A66" s="241"/>
      <c r="B66" s="242"/>
      <c r="C66" s="243"/>
      <c r="D66" s="244"/>
      <c r="E66" s="244"/>
      <c r="F66" s="244"/>
      <c r="G66" s="244"/>
      <c r="H66" s="244"/>
      <c r="I66" s="243"/>
      <c r="J66" s="243"/>
      <c r="K66" s="244"/>
      <c r="L66" s="244"/>
      <c r="M66" s="244"/>
      <c r="N66" s="243"/>
      <c r="O66" s="243"/>
      <c r="P66" s="244"/>
      <c r="Q66" s="243"/>
      <c r="R66" s="243"/>
      <c r="S66" s="243"/>
      <c r="T66" s="312"/>
      <c r="U66" s="312"/>
      <c r="V66" s="312"/>
      <c r="W66" s="312"/>
      <c r="X66" s="312"/>
      <c r="Y66" s="312"/>
      <c r="Z66" s="312"/>
      <c r="AA66" s="358"/>
      <c r="AB66" s="444"/>
      <c r="AC66" s="444"/>
      <c r="AD66" s="444"/>
      <c r="AE66" s="334"/>
    </row>
    <row r="67" spans="1:31" s="73" customFormat="1">
      <c r="A67" s="241"/>
      <c r="B67" s="245"/>
      <c r="C67" s="253"/>
      <c r="D67" s="254"/>
      <c r="E67" s="254"/>
      <c r="F67" s="254"/>
      <c r="G67" s="254"/>
      <c r="H67" s="254"/>
      <c r="I67" s="253"/>
      <c r="J67" s="253"/>
      <c r="K67" s="734"/>
      <c r="L67" s="734"/>
      <c r="M67" s="734"/>
      <c r="N67" s="253"/>
      <c r="O67" s="356"/>
      <c r="P67" s="254"/>
      <c r="Q67" s="253"/>
      <c r="R67" s="253"/>
      <c r="S67" s="253"/>
      <c r="T67" s="313"/>
      <c r="U67" s="313"/>
      <c r="V67" s="313"/>
      <c r="W67" s="313"/>
      <c r="X67" s="313"/>
      <c r="Y67" s="313"/>
      <c r="Z67" s="313"/>
      <c r="AA67" s="359"/>
      <c r="AB67" s="445"/>
      <c r="AC67" s="445"/>
      <c r="AD67" s="445"/>
      <c r="AE67" s="334"/>
    </row>
    <row r="68" spans="1:31" s="73" customFormat="1">
      <c r="A68" s="241"/>
      <c r="B68" s="242"/>
      <c r="C68" s="243"/>
      <c r="D68" s="244"/>
      <c r="E68" s="244"/>
      <c r="F68" s="244"/>
      <c r="G68" s="244"/>
      <c r="H68" s="244"/>
      <c r="I68" s="243"/>
      <c r="J68" s="243"/>
      <c r="K68" s="244"/>
      <c r="L68" s="244"/>
      <c r="M68" s="244"/>
      <c r="N68" s="243"/>
      <c r="O68" s="314"/>
      <c r="P68" s="244"/>
      <c r="Q68" s="243"/>
      <c r="R68" s="243"/>
      <c r="S68" s="243"/>
      <c r="T68" s="312"/>
      <c r="U68" s="312"/>
      <c r="V68" s="312"/>
      <c r="W68" s="312"/>
      <c r="X68" s="312"/>
      <c r="Y68" s="312"/>
      <c r="Z68" s="312"/>
      <c r="AA68" s="360"/>
      <c r="AB68" s="444"/>
      <c r="AC68" s="444"/>
      <c r="AD68" s="444"/>
      <c r="AE68" s="334"/>
    </row>
    <row r="69" spans="1:31" s="73" customFormat="1">
      <c r="A69" s="241"/>
      <c r="B69" s="242"/>
      <c r="C69" s="243"/>
      <c r="D69" s="244"/>
      <c r="E69" s="244"/>
      <c r="F69" s="244"/>
      <c r="G69" s="244"/>
      <c r="H69" s="244"/>
      <c r="I69" s="243"/>
      <c r="J69" s="243"/>
      <c r="K69" s="244"/>
      <c r="L69" s="244"/>
      <c r="M69" s="244"/>
      <c r="N69" s="243"/>
      <c r="O69" s="314"/>
      <c r="P69" s="244"/>
      <c r="Q69" s="243"/>
      <c r="R69" s="243"/>
      <c r="S69" s="243"/>
      <c r="T69" s="312"/>
      <c r="U69" s="312"/>
      <c r="V69" s="312"/>
      <c r="W69" s="312"/>
      <c r="X69" s="312"/>
      <c r="Y69" s="312"/>
      <c r="Z69" s="312"/>
      <c r="AA69" s="360"/>
      <c r="AB69" s="444"/>
      <c r="AC69" s="444"/>
      <c r="AD69" s="444"/>
      <c r="AE69" s="334"/>
    </row>
    <row r="70" spans="1:31" s="73" customFormat="1">
      <c r="A70" s="241"/>
      <c r="B70" s="245"/>
      <c r="C70" s="253"/>
      <c r="D70" s="254"/>
      <c r="E70" s="254"/>
      <c r="F70" s="254"/>
      <c r="G70" s="254"/>
      <c r="H70" s="254"/>
      <c r="I70" s="253"/>
      <c r="J70" s="253"/>
      <c r="K70" s="254"/>
      <c r="L70" s="254"/>
      <c r="M70" s="254"/>
      <c r="N70" s="253"/>
      <c r="O70" s="356"/>
      <c r="P70" s="254"/>
      <c r="Q70" s="253"/>
      <c r="R70" s="253"/>
      <c r="S70" s="253"/>
      <c r="T70" s="313"/>
      <c r="U70" s="313"/>
      <c r="V70" s="313"/>
      <c r="W70" s="313"/>
      <c r="X70" s="313"/>
      <c r="Y70" s="313"/>
      <c r="Z70" s="313"/>
      <c r="AA70" s="359"/>
      <c r="AB70" s="445"/>
      <c r="AC70" s="445"/>
      <c r="AD70" s="445"/>
      <c r="AE70" s="334"/>
    </row>
    <row r="71" spans="1:31" s="73" customFormat="1">
      <c r="A71" s="241"/>
      <c r="B71" s="242"/>
      <c r="C71" s="243"/>
      <c r="D71" s="244"/>
      <c r="E71" s="244"/>
      <c r="F71" s="244"/>
      <c r="G71" s="244"/>
      <c r="H71" s="244"/>
      <c r="I71" s="243"/>
      <c r="J71" s="243"/>
      <c r="K71" s="244"/>
      <c r="L71" s="244"/>
      <c r="M71" s="244"/>
      <c r="N71" s="243"/>
      <c r="O71" s="314"/>
      <c r="P71" s="244"/>
      <c r="Q71" s="243"/>
      <c r="R71" s="243"/>
      <c r="S71" s="243"/>
      <c r="T71" s="312"/>
      <c r="U71" s="312"/>
      <c r="V71" s="312"/>
      <c r="W71" s="312"/>
      <c r="X71" s="312"/>
      <c r="Y71" s="312"/>
      <c r="Z71" s="312"/>
      <c r="AA71" s="360"/>
      <c r="AB71" s="444"/>
      <c r="AC71" s="444"/>
      <c r="AD71" s="444"/>
      <c r="AE71" s="334"/>
    </row>
    <row r="72" spans="1:31" s="73" customFormat="1">
      <c r="A72" s="241"/>
      <c r="B72" s="242"/>
      <c r="C72" s="243"/>
      <c r="D72" s="244"/>
      <c r="E72" s="244"/>
      <c r="F72" s="244"/>
      <c r="G72" s="244"/>
      <c r="H72" s="244"/>
      <c r="I72" s="243"/>
      <c r="J72" s="243"/>
      <c r="K72" s="244"/>
      <c r="L72" s="244"/>
      <c r="M72" s="244"/>
      <c r="N72" s="243"/>
      <c r="O72" s="314"/>
      <c r="P72" s="244"/>
      <c r="Q72" s="243"/>
      <c r="R72" s="243"/>
      <c r="S72" s="243"/>
      <c r="T72" s="312"/>
      <c r="U72" s="312"/>
      <c r="V72" s="312"/>
      <c r="W72" s="312"/>
      <c r="X72" s="312"/>
      <c r="Y72" s="312"/>
      <c r="Z72" s="312"/>
      <c r="AA72" s="360"/>
      <c r="AB72" s="444"/>
      <c r="AC72" s="444"/>
      <c r="AD72" s="444"/>
      <c r="AE72" s="334"/>
    </row>
    <row r="73" spans="1:31" s="73" customFormat="1">
      <c r="A73" s="241"/>
      <c r="B73" s="245"/>
      <c r="C73" s="253"/>
      <c r="D73" s="254"/>
      <c r="E73" s="254"/>
      <c r="F73" s="254"/>
      <c r="G73" s="254"/>
      <c r="H73" s="254"/>
      <c r="I73" s="253"/>
      <c r="J73" s="253"/>
      <c r="K73" s="254"/>
      <c r="L73" s="254"/>
      <c r="M73" s="254"/>
      <c r="N73" s="253"/>
      <c r="O73" s="356"/>
      <c r="P73" s="254"/>
      <c r="Q73" s="253"/>
      <c r="R73" s="253"/>
      <c r="S73" s="253"/>
      <c r="T73" s="313"/>
      <c r="U73" s="313"/>
      <c r="V73" s="313"/>
      <c r="W73" s="313"/>
      <c r="X73" s="313"/>
      <c r="Y73" s="313"/>
      <c r="Z73" s="313"/>
      <c r="AA73" s="359"/>
      <c r="AB73" s="445"/>
      <c r="AC73" s="445"/>
      <c r="AD73" s="445"/>
      <c r="AE73" s="334"/>
    </row>
    <row r="74" spans="1:31" s="73" customFormat="1">
      <c r="A74" s="241"/>
      <c r="B74" s="242"/>
      <c r="C74" s="243"/>
      <c r="D74" s="244"/>
      <c r="E74" s="244"/>
      <c r="F74" s="244"/>
      <c r="G74" s="244"/>
      <c r="H74" s="244"/>
      <c r="I74" s="243"/>
      <c r="J74" s="243"/>
      <c r="K74" s="244"/>
      <c r="L74" s="244"/>
      <c r="M74" s="244"/>
      <c r="N74" s="243"/>
      <c r="O74" s="314"/>
      <c r="P74" s="244"/>
      <c r="Q74" s="243"/>
      <c r="R74" s="243"/>
      <c r="S74" s="243"/>
      <c r="T74" s="312"/>
      <c r="U74" s="312"/>
      <c r="V74" s="312"/>
      <c r="W74" s="312"/>
      <c r="X74" s="312"/>
      <c r="Y74" s="312"/>
      <c r="Z74" s="312"/>
      <c r="AA74" s="360"/>
      <c r="AB74" s="444"/>
      <c r="AC74" s="444"/>
      <c r="AD74" s="444"/>
      <c r="AE74" s="334"/>
    </row>
    <row r="75" spans="1:31" s="73" customFormat="1">
      <c r="A75" s="241"/>
      <c r="B75" s="242"/>
      <c r="C75" s="243"/>
      <c r="D75" s="244"/>
      <c r="E75" s="244"/>
      <c r="F75" s="244"/>
      <c r="G75" s="244"/>
      <c r="H75" s="244"/>
      <c r="I75" s="243"/>
      <c r="J75" s="243"/>
      <c r="K75" s="244"/>
      <c r="L75" s="244"/>
      <c r="M75" s="244"/>
      <c r="N75" s="243"/>
      <c r="O75" s="314"/>
      <c r="P75" s="244"/>
      <c r="Q75" s="243"/>
      <c r="R75" s="243"/>
      <c r="S75" s="243"/>
      <c r="T75" s="312"/>
      <c r="U75" s="312"/>
      <c r="V75" s="312"/>
      <c r="W75" s="312"/>
      <c r="X75" s="312"/>
      <c r="Y75" s="312"/>
      <c r="Z75" s="312"/>
      <c r="AA75" s="360"/>
      <c r="AB75" s="444"/>
      <c r="AC75" s="444"/>
      <c r="AD75" s="444"/>
      <c r="AE75" s="334"/>
    </row>
    <row r="76" spans="1:31" s="73" customFormat="1">
      <c r="A76" s="246"/>
      <c r="B76" s="311"/>
      <c r="C76" s="253"/>
      <c r="D76" s="254"/>
      <c r="E76" s="254"/>
      <c r="F76" s="254"/>
      <c r="G76" s="254"/>
      <c r="H76" s="254"/>
      <c r="I76" s="253"/>
      <c r="J76" s="253"/>
      <c r="K76" s="254"/>
      <c r="L76" s="254"/>
      <c r="M76" s="254"/>
      <c r="N76" s="253"/>
      <c r="O76" s="356"/>
      <c r="P76" s="254"/>
      <c r="Q76" s="253"/>
      <c r="R76" s="253"/>
      <c r="S76" s="253"/>
      <c r="T76" s="313"/>
      <c r="U76" s="313"/>
      <c r="V76" s="313"/>
      <c r="W76" s="313"/>
      <c r="X76" s="313"/>
      <c r="Y76" s="313"/>
      <c r="Z76" s="313"/>
      <c r="AA76" s="359"/>
      <c r="AB76" s="445"/>
      <c r="AC76" s="445"/>
      <c r="AD76" s="445"/>
      <c r="AE76" s="334"/>
    </row>
    <row r="77" spans="1:31" s="73" customFormat="1">
      <c r="A77" s="342"/>
      <c r="B77" s="340"/>
      <c r="C77" s="337"/>
      <c r="D77" s="341"/>
      <c r="E77" s="341"/>
      <c r="F77" s="341"/>
      <c r="G77" s="341"/>
      <c r="H77" s="341"/>
      <c r="I77" s="337"/>
      <c r="J77" s="337"/>
      <c r="K77" s="341"/>
      <c r="L77" s="341"/>
      <c r="M77" s="341"/>
      <c r="N77" s="337"/>
      <c r="O77" s="337"/>
      <c r="P77" s="341"/>
      <c r="Q77" s="337"/>
      <c r="R77" s="337"/>
      <c r="S77" s="337"/>
      <c r="T77" s="349"/>
      <c r="U77" s="349"/>
      <c r="V77" s="349"/>
      <c r="W77" s="349"/>
      <c r="X77" s="349"/>
      <c r="Y77" s="349"/>
      <c r="Z77" s="349"/>
      <c r="AA77" s="357"/>
      <c r="AB77" s="444"/>
      <c r="AC77" s="444"/>
      <c r="AD77" s="444"/>
      <c r="AE77" s="334"/>
    </row>
    <row r="78" spans="1:31" s="73" customFormat="1">
      <c r="A78" s="241"/>
      <c r="B78" s="242"/>
      <c r="C78" s="243"/>
      <c r="D78" s="244"/>
      <c r="E78" s="244"/>
      <c r="F78" s="244"/>
      <c r="G78" s="244"/>
      <c r="H78" s="244"/>
      <c r="I78" s="243"/>
      <c r="J78" s="243"/>
      <c r="K78" s="244"/>
      <c r="L78" s="244"/>
      <c r="M78" s="244"/>
      <c r="N78" s="243"/>
      <c r="O78" s="243"/>
      <c r="P78" s="244"/>
      <c r="Q78" s="243"/>
      <c r="R78" s="243"/>
      <c r="S78" s="243"/>
      <c r="T78" s="312"/>
      <c r="U78" s="312"/>
      <c r="V78" s="312"/>
      <c r="W78" s="312"/>
      <c r="X78" s="312"/>
      <c r="Y78" s="312"/>
      <c r="Z78" s="312"/>
      <c r="AA78" s="358"/>
      <c r="AB78" s="444"/>
      <c r="AC78" s="444"/>
      <c r="AD78" s="444"/>
      <c r="AE78" s="334"/>
    </row>
    <row r="79" spans="1:31" s="73" customFormat="1">
      <c r="A79" s="241"/>
      <c r="B79" s="245"/>
      <c r="C79" s="253"/>
      <c r="D79" s="254"/>
      <c r="E79" s="734"/>
      <c r="F79" s="254"/>
      <c r="G79" s="254"/>
      <c r="H79" s="734"/>
      <c r="I79" s="253"/>
      <c r="J79" s="253"/>
      <c r="K79" s="254"/>
      <c r="L79" s="734"/>
      <c r="M79" s="734"/>
      <c r="N79" s="253"/>
      <c r="O79" s="356"/>
      <c r="P79" s="254"/>
      <c r="Q79" s="733"/>
      <c r="R79" s="253"/>
      <c r="S79" s="253"/>
      <c r="T79" s="313"/>
      <c r="U79" s="313"/>
      <c r="V79" s="313"/>
      <c r="W79" s="313"/>
      <c r="X79" s="313"/>
      <c r="Y79" s="313"/>
      <c r="Z79" s="313"/>
      <c r="AA79" s="359"/>
      <c r="AB79" s="445"/>
      <c r="AC79" s="445"/>
      <c r="AD79" s="445"/>
      <c r="AE79" s="334"/>
    </row>
    <row r="80" spans="1:31" s="73" customFormat="1">
      <c r="A80" s="241"/>
      <c r="B80" s="242"/>
      <c r="C80" s="243"/>
      <c r="D80" s="244"/>
      <c r="E80" s="244"/>
      <c r="F80" s="244"/>
      <c r="G80" s="244"/>
      <c r="H80" s="244"/>
      <c r="I80" s="243"/>
      <c r="J80" s="243"/>
      <c r="K80" s="244"/>
      <c r="L80" s="244"/>
      <c r="M80" s="244"/>
      <c r="N80" s="243"/>
      <c r="O80" s="314"/>
      <c r="P80" s="244"/>
      <c r="Q80" s="243"/>
      <c r="R80" s="243"/>
      <c r="S80" s="243"/>
      <c r="T80" s="312"/>
      <c r="U80" s="312"/>
      <c r="V80" s="312"/>
      <c r="W80" s="312"/>
      <c r="X80" s="312"/>
      <c r="Y80" s="312"/>
      <c r="Z80" s="312"/>
      <c r="AA80" s="360"/>
      <c r="AB80" s="444"/>
      <c r="AC80" s="444"/>
      <c r="AD80" s="444"/>
      <c r="AE80" s="334"/>
    </row>
    <row r="81" spans="1:31" s="73" customFormat="1">
      <c r="A81" s="241"/>
      <c r="B81" s="242"/>
      <c r="C81" s="243"/>
      <c r="D81" s="244"/>
      <c r="E81" s="244"/>
      <c r="F81" s="244"/>
      <c r="G81" s="244"/>
      <c r="H81" s="244"/>
      <c r="I81" s="243"/>
      <c r="J81" s="243"/>
      <c r="K81" s="244"/>
      <c r="L81" s="244"/>
      <c r="M81" s="244"/>
      <c r="N81" s="243"/>
      <c r="O81" s="314"/>
      <c r="P81" s="244"/>
      <c r="Q81" s="243"/>
      <c r="R81" s="243"/>
      <c r="S81" s="243"/>
      <c r="T81" s="312"/>
      <c r="U81" s="312"/>
      <c r="V81" s="312"/>
      <c r="W81" s="312"/>
      <c r="X81" s="312"/>
      <c r="Y81" s="312"/>
      <c r="Z81" s="312"/>
      <c r="AA81" s="360"/>
      <c r="AB81" s="444"/>
      <c r="AC81" s="444"/>
      <c r="AD81" s="444"/>
      <c r="AE81" s="334"/>
    </row>
    <row r="82" spans="1:31" s="73" customFormat="1">
      <c r="A82" s="241"/>
      <c r="B82" s="245"/>
      <c r="C82" s="253"/>
      <c r="D82" s="254"/>
      <c r="E82" s="254"/>
      <c r="F82" s="254"/>
      <c r="G82" s="254"/>
      <c r="H82" s="254"/>
      <c r="I82" s="253"/>
      <c r="J82" s="253"/>
      <c r="K82" s="254"/>
      <c r="L82" s="254"/>
      <c r="M82" s="254"/>
      <c r="N82" s="253"/>
      <c r="O82" s="356"/>
      <c r="P82" s="254"/>
      <c r="Q82" s="253"/>
      <c r="R82" s="253"/>
      <c r="S82" s="253"/>
      <c r="T82" s="313"/>
      <c r="U82" s="313"/>
      <c r="V82" s="313"/>
      <c r="W82" s="313"/>
      <c r="X82" s="313"/>
      <c r="Y82" s="313"/>
      <c r="Z82" s="313"/>
      <c r="AA82" s="359"/>
      <c r="AB82" s="445"/>
      <c r="AC82" s="445"/>
      <c r="AD82" s="445"/>
      <c r="AE82" s="334"/>
    </row>
    <row r="83" spans="1:31" s="73" customFormat="1">
      <c r="A83" s="241"/>
      <c r="B83" s="242"/>
      <c r="C83" s="243"/>
      <c r="D83" s="244"/>
      <c r="E83" s="244"/>
      <c r="F83" s="244"/>
      <c r="G83" s="244"/>
      <c r="H83" s="244"/>
      <c r="I83" s="243"/>
      <c r="J83" s="243"/>
      <c r="K83" s="244"/>
      <c r="L83" s="244"/>
      <c r="M83" s="244"/>
      <c r="N83" s="243"/>
      <c r="O83" s="314"/>
      <c r="P83" s="244"/>
      <c r="Q83" s="243"/>
      <c r="R83" s="243"/>
      <c r="S83" s="243"/>
      <c r="T83" s="312"/>
      <c r="U83" s="312"/>
      <c r="V83" s="312"/>
      <c r="W83" s="312"/>
      <c r="X83" s="312"/>
      <c r="Y83" s="312"/>
      <c r="Z83" s="312"/>
      <c r="AA83" s="360"/>
      <c r="AB83" s="444"/>
      <c r="AC83" s="444"/>
      <c r="AD83" s="444"/>
      <c r="AE83" s="334"/>
    </row>
    <row r="84" spans="1:31" s="73" customFormat="1">
      <c r="A84" s="241"/>
      <c r="B84" s="242"/>
      <c r="C84" s="243"/>
      <c r="D84" s="244"/>
      <c r="E84" s="244"/>
      <c r="F84" s="244"/>
      <c r="G84" s="244"/>
      <c r="H84" s="244"/>
      <c r="I84" s="243"/>
      <c r="J84" s="243"/>
      <c r="K84" s="244"/>
      <c r="L84" s="244"/>
      <c r="M84" s="244"/>
      <c r="N84" s="243"/>
      <c r="O84" s="314"/>
      <c r="P84" s="244"/>
      <c r="Q84" s="243"/>
      <c r="R84" s="243"/>
      <c r="S84" s="243"/>
      <c r="T84" s="312"/>
      <c r="U84" s="312"/>
      <c r="V84" s="312"/>
      <c r="W84" s="312"/>
      <c r="X84" s="312"/>
      <c r="Y84" s="312"/>
      <c r="Z84" s="312"/>
      <c r="AA84" s="360"/>
      <c r="AB84" s="444"/>
      <c r="AC84" s="444"/>
      <c r="AD84" s="444"/>
      <c r="AE84" s="334"/>
    </row>
    <row r="85" spans="1:31" s="73" customFormat="1">
      <c r="A85" s="241"/>
      <c r="B85" s="245"/>
      <c r="C85" s="253"/>
      <c r="D85" s="734"/>
      <c r="E85" s="254"/>
      <c r="F85" s="734"/>
      <c r="G85" s="254"/>
      <c r="H85" s="254"/>
      <c r="I85" s="253"/>
      <c r="J85" s="253"/>
      <c r="K85" s="254"/>
      <c r="L85" s="254"/>
      <c r="M85" s="254"/>
      <c r="N85" s="253"/>
      <c r="O85" s="356"/>
      <c r="P85" s="254"/>
      <c r="Q85" s="253"/>
      <c r="R85" s="253"/>
      <c r="S85" s="253"/>
      <c r="T85" s="313"/>
      <c r="U85" s="313"/>
      <c r="V85" s="313"/>
      <c r="W85" s="313"/>
      <c r="X85" s="313"/>
      <c r="Y85" s="313"/>
      <c r="Z85" s="313"/>
      <c r="AA85" s="359"/>
      <c r="AB85" s="445"/>
      <c r="AC85" s="445"/>
      <c r="AD85" s="445"/>
      <c r="AE85" s="334"/>
    </row>
    <row r="86" spans="1:31" s="73" customFormat="1">
      <c r="A86" s="241"/>
      <c r="B86" s="242"/>
      <c r="C86" s="243"/>
      <c r="D86" s="244"/>
      <c r="E86" s="244"/>
      <c r="F86" s="244"/>
      <c r="G86" s="244"/>
      <c r="H86" s="244"/>
      <c r="I86" s="243"/>
      <c r="J86" s="243"/>
      <c r="K86" s="244"/>
      <c r="L86" s="244"/>
      <c r="M86" s="244"/>
      <c r="N86" s="243"/>
      <c r="O86" s="314"/>
      <c r="P86" s="244"/>
      <c r="Q86" s="243"/>
      <c r="R86" s="243"/>
      <c r="S86" s="243"/>
      <c r="T86" s="312"/>
      <c r="U86" s="312"/>
      <c r="V86" s="312"/>
      <c r="W86" s="312"/>
      <c r="X86" s="312"/>
      <c r="Y86" s="312"/>
      <c r="Z86" s="312"/>
      <c r="AA86" s="360"/>
      <c r="AB86" s="444"/>
      <c r="AC86" s="444"/>
      <c r="AD86" s="444"/>
      <c r="AE86" s="334"/>
    </row>
    <row r="87" spans="1:31" s="73" customFormat="1">
      <c r="A87" s="241"/>
      <c r="B87" s="242"/>
      <c r="C87" s="243"/>
      <c r="D87" s="244"/>
      <c r="E87" s="244"/>
      <c r="F87" s="244"/>
      <c r="G87" s="244"/>
      <c r="H87" s="244"/>
      <c r="I87" s="243"/>
      <c r="J87" s="243"/>
      <c r="K87" s="244"/>
      <c r="L87" s="244"/>
      <c r="M87" s="244"/>
      <c r="N87" s="243"/>
      <c r="O87" s="314"/>
      <c r="P87" s="244"/>
      <c r="Q87" s="243"/>
      <c r="R87" s="243"/>
      <c r="S87" s="243"/>
      <c r="T87" s="312"/>
      <c r="U87" s="312"/>
      <c r="V87" s="312"/>
      <c r="W87" s="312"/>
      <c r="X87" s="312"/>
      <c r="Y87" s="312"/>
      <c r="Z87" s="312"/>
      <c r="AA87" s="360"/>
      <c r="AB87" s="444"/>
      <c r="AC87" s="444"/>
      <c r="AD87" s="444"/>
      <c r="AE87" s="334"/>
    </row>
    <row r="88" spans="1:31" s="73" customFormat="1">
      <c r="A88" s="246"/>
      <c r="B88" s="311"/>
      <c r="C88" s="253"/>
      <c r="D88" s="254"/>
      <c r="E88" s="254"/>
      <c r="F88" s="254"/>
      <c r="G88" s="254"/>
      <c r="H88" s="254"/>
      <c r="I88" s="253"/>
      <c r="J88" s="253"/>
      <c r="K88" s="254"/>
      <c r="L88" s="254"/>
      <c r="M88" s="254"/>
      <c r="N88" s="253"/>
      <c r="O88" s="356"/>
      <c r="P88" s="254"/>
      <c r="Q88" s="253"/>
      <c r="R88" s="253"/>
      <c r="S88" s="253"/>
      <c r="T88" s="313"/>
      <c r="U88" s="313"/>
      <c r="V88" s="313"/>
      <c r="W88" s="313"/>
      <c r="X88" s="313"/>
      <c r="Y88" s="313"/>
      <c r="Z88" s="313"/>
      <c r="AA88" s="359"/>
      <c r="AB88" s="445"/>
      <c r="AC88" s="445"/>
      <c r="AD88" s="445"/>
      <c r="AE88" s="334"/>
    </row>
    <row r="89" spans="1:31" s="73" customFormat="1">
      <c r="A89" s="342"/>
      <c r="B89" s="340"/>
      <c r="C89" s="337"/>
      <c r="D89" s="341"/>
      <c r="E89" s="341"/>
      <c r="F89" s="341"/>
      <c r="G89" s="341"/>
      <c r="H89" s="341"/>
      <c r="I89" s="337"/>
      <c r="J89" s="337"/>
      <c r="K89" s="341"/>
      <c r="L89" s="341"/>
      <c r="M89" s="341"/>
      <c r="N89" s="337"/>
      <c r="O89" s="337"/>
      <c r="P89" s="341"/>
      <c r="Q89" s="337"/>
      <c r="R89" s="337"/>
      <c r="S89" s="337"/>
      <c r="T89" s="349"/>
      <c r="U89" s="349"/>
      <c r="V89" s="349"/>
      <c r="W89" s="349"/>
      <c r="X89" s="349"/>
      <c r="Y89" s="349"/>
      <c r="Z89" s="349"/>
      <c r="AA89" s="357"/>
      <c r="AB89" s="444"/>
      <c r="AC89" s="444"/>
      <c r="AD89" s="444"/>
      <c r="AE89" s="334"/>
    </row>
    <row r="90" spans="1:31" s="73" customFormat="1">
      <c r="A90" s="241"/>
      <c r="B90" s="242"/>
      <c r="C90" s="243"/>
      <c r="D90" s="244"/>
      <c r="E90" s="244"/>
      <c r="F90" s="244"/>
      <c r="G90" s="244"/>
      <c r="H90" s="244"/>
      <c r="I90" s="243"/>
      <c r="J90" s="243"/>
      <c r="K90" s="244"/>
      <c r="L90" s="244"/>
      <c r="M90" s="244"/>
      <c r="N90" s="243"/>
      <c r="O90" s="243"/>
      <c r="P90" s="244"/>
      <c r="Q90" s="243"/>
      <c r="R90" s="243"/>
      <c r="S90" s="243"/>
      <c r="T90" s="312"/>
      <c r="U90" s="312"/>
      <c r="V90" s="312"/>
      <c r="W90" s="312"/>
      <c r="X90" s="312"/>
      <c r="Y90" s="312"/>
      <c r="Z90" s="312"/>
      <c r="AA90" s="358"/>
      <c r="AB90" s="444"/>
      <c r="AC90" s="444"/>
      <c r="AD90" s="444"/>
      <c r="AE90" s="334"/>
    </row>
    <row r="91" spans="1:31" s="73" customFormat="1">
      <c r="A91" s="241"/>
      <c r="B91" s="245"/>
      <c r="C91" s="253"/>
      <c r="D91" s="254"/>
      <c r="E91" s="254"/>
      <c r="F91" s="254"/>
      <c r="G91" s="254"/>
      <c r="H91" s="254"/>
      <c r="I91" s="253"/>
      <c r="J91" s="253"/>
      <c r="K91" s="734"/>
      <c r="L91" s="734"/>
      <c r="M91" s="254"/>
      <c r="N91" s="253"/>
      <c r="O91" s="356"/>
      <c r="P91" s="254"/>
      <c r="Q91" s="253"/>
      <c r="R91" s="253"/>
      <c r="S91" s="253"/>
      <c r="T91" s="313"/>
      <c r="U91" s="313"/>
      <c r="V91" s="313"/>
      <c r="W91" s="313"/>
      <c r="X91" s="313"/>
      <c r="Y91" s="313"/>
      <c r="Z91" s="313"/>
      <c r="AA91" s="359"/>
      <c r="AB91" s="445"/>
      <c r="AC91" s="445"/>
      <c r="AD91" s="445"/>
      <c r="AE91" s="334"/>
    </row>
    <row r="92" spans="1:31" s="73" customFormat="1">
      <c r="A92" s="241"/>
      <c r="B92" s="242"/>
      <c r="C92" s="243"/>
      <c r="D92" s="244"/>
      <c r="E92" s="244"/>
      <c r="F92" s="244"/>
      <c r="G92" s="244"/>
      <c r="H92" s="244"/>
      <c r="I92" s="243"/>
      <c r="J92" s="243"/>
      <c r="K92" s="244"/>
      <c r="L92" s="244"/>
      <c r="M92" s="244"/>
      <c r="N92" s="243"/>
      <c r="O92" s="314"/>
      <c r="P92" s="244"/>
      <c r="Q92" s="243"/>
      <c r="R92" s="243"/>
      <c r="S92" s="243"/>
      <c r="T92" s="312"/>
      <c r="U92" s="312"/>
      <c r="V92" s="312"/>
      <c r="W92" s="312"/>
      <c r="X92" s="312"/>
      <c r="Y92" s="312"/>
      <c r="Z92" s="312"/>
      <c r="AA92" s="360"/>
      <c r="AB92" s="444"/>
      <c r="AC92" s="444"/>
      <c r="AD92" s="444"/>
      <c r="AE92" s="334"/>
    </row>
    <row r="93" spans="1:31" s="73" customFormat="1">
      <c r="A93" s="241"/>
      <c r="B93" s="242"/>
      <c r="C93" s="243"/>
      <c r="D93" s="244"/>
      <c r="E93" s="244"/>
      <c r="F93" s="244"/>
      <c r="G93" s="244"/>
      <c r="H93" s="244"/>
      <c r="I93" s="243"/>
      <c r="J93" s="243"/>
      <c r="K93" s="244"/>
      <c r="L93" s="244"/>
      <c r="M93" s="244"/>
      <c r="N93" s="243"/>
      <c r="O93" s="314"/>
      <c r="P93" s="244"/>
      <c r="Q93" s="243"/>
      <c r="R93" s="243"/>
      <c r="S93" s="243"/>
      <c r="T93" s="312"/>
      <c r="U93" s="312"/>
      <c r="V93" s="312"/>
      <c r="W93" s="312"/>
      <c r="X93" s="312"/>
      <c r="Y93" s="312"/>
      <c r="Z93" s="312"/>
      <c r="AA93" s="360"/>
      <c r="AB93" s="444"/>
      <c r="AC93" s="444"/>
      <c r="AD93" s="444"/>
      <c r="AE93" s="334"/>
    </row>
    <row r="94" spans="1:31" s="73" customFormat="1">
      <c r="A94" s="241"/>
      <c r="B94" s="245"/>
      <c r="C94" s="253"/>
      <c r="D94" s="254"/>
      <c r="E94" s="254"/>
      <c r="F94" s="254"/>
      <c r="G94" s="254"/>
      <c r="H94" s="254"/>
      <c r="I94" s="253"/>
      <c r="J94" s="253"/>
      <c r="K94" s="254"/>
      <c r="L94" s="254"/>
      <c r="M94" s="254"/>
      <c r="N94" s="253"/>
      <c r="O94" s="356"/>
      <c r="P94" s="254"/>
      <c r="Q94" s="253"/>
      <c r="R94" s="253"/>
      <c r="S94" s="253"/>
      <c r="T94" s="313"/>
      <c r="U94" s="313"/>
      <c r="V94" s="313"/>
      <c r="W94" s="313"/>
      <c r="X94" s="313"/>
      <c r="Y94" s="313"/>
      <c r="Z94" s="313"/>
      <c r="AA94" s="359"/>
      <c r="AB94" s="445"/>
      <c r="AC94" s="445"/>
      <c r="AD94" s="445"/>
      <c r="AE94" s="334"/>
    </row>
    <row r="95" spans="1:31" s="73" customFormat="1">
      <c r="A95" s="241"/>
      <c r="B95" s="242"/>
      <c r="C95" s="243"/>
      <c r="D95" s="244"/>
      <c r="E95" s="244"/>
      <c r="F95" s="244"/>
      <c r="G95" s="244"/>
      <c r="H95" s="244"/>
      <c r="I95" s="243"/>
      <c r="J95" s="243"/>
      <c r="K95" s="244"/>
      <c r="L95" s="244"/>
      <c r="M95" s="244"/>
      <c r="N95" s="243"/>
      <c r="O95" s="314"/>
      <c r="P95" s="244"/>
      <c r="Q95" s="243"/>
      <c r="R95" s="243"/>
      <c r="S95" s="243"/>
      <c r="T95" s="312"/>
      <c r="U95" s="312"/>
      <c r="V95" s="312"/>
      <c r="W95" s="312"/>
      <c r="X95" s="312"/>
      <c r="Y95" s="312"/>
      <c r="Z95" s="312"/>
      <c r="AA95" s="360"/>
      <c r="AB95" s="444"/>
      <c r="AC95" s="444"/>
      <c r="AD95" s="444"/>
      <c r="AE95" s="334"/>
    </row>
    <row r="96" spans="1:31" s="73" customFormat="1">
      <c r="A96" s="241"/>
      <c r="B96" s="242"/>
      <c r="C96" s="243"/>
      <c r="D96" s="244"/>
      <c r="E96" s="244"/>
      <c r="F96" s="244"/>
      <c r="G96" s="244"/>
      <c r="H96" s="244"/>
      <c r="I96" s="243"/>
      <c r="J96" s="243"/>
      <c r="K96" s="244"/>
      <c r="L96" s="244"/>
      <c r="M96" s="244"/>
      <c r="N96" s="243"/>
      <c r="O96" s="314"/>
      <c r="P96" s="244"/>
      <c r="Q96" s="243"/>
      <c r="R96" s="243"/>
      <c r="S96" s="243"/>
      <c r="T96" s="312"/>
      <c r="U96" s="312"/>
      <c r="V96" s="312"/>
      <c r="W96" s="312"/>
      <c r="X96" s="312"/>
      <c r="Y96" s="312"/>
      <c r="Z96" s="312"/>
      <c r="AA96" s="360"/>
      <c r="AB96" s="444"/>
      <c r="AC96" s="444"/>
      <c r="AD96" s="444"/>
      <c r="AE96" s="334"/>
    </row>
    <row r="97" spans="1:31" s="73" customFormat="1">
      <c r="A97" s="241"/>
      <c r="B97" s="245"/>
      <c r="C97" s="253"/>
      <c r="D97" s="254"/>
      <c r="E97" s="254"/>
      <c r="F97" s="254"/>
      <c r="G97" s="254"/>
      <c r="H97" s="734"/>
      <c r="I97" s="253"/>
      <c r="J97" s="253"/>
      <c r="K97" s="254"/>
      <c r="L97" s="254"/>
      <c r="M97" s="254"/>
      <c r="N97" s="253"/>
      <c r="O97" s="356"/>
      <c r="P97" s="254"/>
      <c r="Q97" s="253"/>
      <c r="R97" s="253"/>
      <c r="S97" s="253"/>
      <c r="T97" s="313"/>
      <c r="U97" s="313"/>
      <c r="V97" s="313"/>
      <c r="W97" s="313"/>
      <c r="X97" s="313"/>
      <c r="Y97" s="313"/>
      <c r="Z97" s="313"/>
      <c r="AA97" s="359"/>
      <c r="AB97" s="445"/>
      <c r="AC97" s="445"/>
      <c r="AD97" s="445"/>
      <c r="AE97" s="334"/>
    </row>
    <row r="98" spans="1:31" s="73" customFormat="1">
      <c r="A98" s="241"/>
      <c r="B98" s="242"/>
      <c r="C98" s="243"/>
      <c r="D98" s="244"/>
      <c r="E98" s="244"/>
      <c r="F98" s="244"/>
      <c r="G98" s="244"/>
      <c r="H98" s="244"/>
      <c r="I98" s="243"/>
      <c r="J98" s="243"/>
      <c r="K98" s="244"/>
      <c r="L98" s="244"/>
      <c r="M98" s="244"/>
      <c r="N98" s="243"/>
      <c r="O98" s="314"/>
      <c r="P98" s="244"/>
      <c r="Q98" s="243"/>
      <c r="R98" s="243"/>
      <c r="S98" s="243"/>
      <c r="T98" s="312"/>
      <c r="U98" s="312"/>
      <c r="V98" s="312"/>
      <c r="W98" s="312"/>
      <c r="X98" s="312"/>
      <c r="Y98" s="312"/>
      <c r="Z98" s="312"/>
      <c r="AA98" s="360"/>
      <c r="AB98" s="444"/>
      <c r="AC98" s="444"/>
      <c r="AD98" s="444"/>
      <c r="AE98" s="334"/>
    </row>
    <row r="99" spans="1:31" s="73" customFormat="1">
      <c r="A99" s="241"/>
      <c r="B99" s="242"/>
      <c r="C99" s="243"/>
      <c r="D99" s="244"/>
      <c r="E99" s="244"/>
      <c r="F99" s="244"/>
      <c r="G99" s="244"/>
      <c r="H99" s="244"/>
      <c r="I99" s="243"/>
      <c r="J99" s="243"/>
      <c r="K99" s="244"/>
      <c r="L99" s="244"/>
      <c r="M99" s="244"/>
      <c r="N99" s="243"/>
      <c r="O99" s="314"/>
      <c r="P99" s="244"/>
      <c r="Q99" s="243"/>
      <c r="R99" s="243"/>
      <c r="S99" s="243"/>
      <c r="T99" s="312"/>
      <c r="U99" s="312"/>
      <c r="V99" s="312"/>
      <c r="W99" s="312"/>
      <c r="X99" s="312"/>
      <c r="Y99" s="312"/>
      <c r="Z99" s="312"/>
      <c r="AA99" s="360"/>
      <c r="AB99" s="444"/>
      <c r="AC99" s="444"/>
      <c r="AD99" s="444"/>
      <c r="AE99" s="334"/>
    </row>
    <row r="100" spans="1:31" s="73" customFormat="1">
      <c r="A100" s="246"/>
      <c r="B100" s="311"/>
      <c r="C100" s="253"/>
      <c r="D100" s="254"/>
      <c r="E100" s="254"/>
      <c r="F100" s="254"/>
      <c r="G100" s="254"/>
      <c r="H100" s="254"/>
      <c r="I100" s="253"/>
      <c r="J100" s="253"/>
      <c r="K100" s="254"/>
      <c r="L100" s="254"/>
      <c r="M100" s="254"/>
      <c r="N100" s="253"/>
      <c r="O100" s="356"/>
      <c r="P100" s="254"/>
      <c r="Q100" s="253"/>
      <c r="R100" s="253"/>
      <c r="S100" s="253"/>
      <c r="T100" s="313"/>
      <c r="U100" s="313"/>
      <c r="V100" s="313"/>
      <c r="W100" s="313"/>
      <c r="X100" s="313"/>
      <c r="Y100" s="313"/>
      <c r="Z100" s="313"/>
      <c r="AA100" s="359"/>
      <c r="AB100" s="445"/>
      <c r="AC100" s="445"/>
      <c r="AD100" s="445"/>
      <c r="AE100" s="334"/>
    </row>
    <row r="101" spans="1:31" s="73" customFormat="1">
      <c r="A101" s="342"/>
      <c r="B101" s="340"/>
      <c r="C101" s="337"/>
      <c r="D101" s="341"/>
      <c r="E101" s="341"/>
      <c r="F101" s="341"/>
      <c r="G101" s="341"/>
      <c r="H101" s="341"/>
      <c r="I101" s="337"/>
      <c r="J101" s="337"/>
      <c r="K101" s="341"/>
      <c r="L101" s="341"/>
      <c r="M101" s="341"/>
      <c r="N101" s="337"/>
      <c r="O101" s="337"/>
      <c r="P101" s="341"/>
      <c r="Q101" s="337"/>
      <c r="R101" s="337"/>
      <c r="S101" s="337"/>
      <c r="T101" s="349"/>
      <c r="U101" s="349"/>
      <c r="V101" s="349"/>
      <c r="W101" s="349"/>
      <c r="X101" s="349"/>
      <c r="Y101" s="349"/>
      <c r="Z101" s="349"/>
      <c r="AA101" s="357"/>
      <c r="AB101" s="444"/>
      <c r="AC101" s="444"/>
      <c r="AD101" s="444"/>
      <c r="AE101" s="334"/>
    </row>
    <row r="102" spans="1:31" s="73" customFormat="1">
      <c r="A102" s="241"/>
      <c r="B102" s="242"/>
      <c r="C102" s="243"/>
      <c r="D102" s="244"/>
      <c r="E102" s="244"/>
      <c r="F102" s="244"/>
      <c r="G102" s="244"/>
      <c r="H102" s="244"/>
      <c r="I102" s="243"/>
      <c r="J102" s="243"/>
      <c r="K102" s="244"/>
      <c r="L102" s="244"/>
      <c r="M102" s="244"/>
      <c r="N102" s="243"/>
      <c r="O102" s="243"/>
      <c r="P102" s="244"/>
      <c r="Q102" s="243"/>
      <c r="R102" s="243"/>
      <c r="S102" s="243"/>
      <c r="T102" s="312"/>
      <c r="U102" s="312"/>
      <c r="V102" s="312"/>
      <c r="W102" s="312"/>
      <c r="X102" s="312"/>
      <c r="Y102" s="312"/>
      <c r="Z102" s="312"/>
      <c r="AA102" s="358"/>
      <c r="AB102" s="444"/>
      <c r="AC102" s="444"/>
      <c r="AD102" s="444"/>
      <c r="AE102" s="334"/>
    </row>
    <row r="103" spans="1:31" s="73" customFormat="1">
      <c r="A103" s="241"/>
      <c r="B103" s="245"/>
      <c r="C103" s="253"/>
      <c r="D103" s="254"/>
      <c r="E103" s="254"/>
      <c r="F103" s="254"/>
      <c r="G103" s="254"/>
      <c r="H103" s="254"/>
      <c r="I103" s="253"/>
      <c r="J103" s="253"/>
      <c r="K103" s="734"/>
      <c r="L103" s="734"/>
      <c r="M103" s="734"/>
      <c r="N103" s="253"/>
      <c r="O103" s="356"/>
      <c r="P103" s="254"/>
      <c r="Q103" s="253"/>
      <c r="R103" s="253"/>
      <c r="S103" s="253"/>
      <c r="T103" s="313"/>
      <c r="U103" s="313"/>
      <c r="V103" s="313"/>
      <c r="W103" s="313"/>
      <c r="X103" s="313"/>
      <c r="Y103" s="313"/>
      <c r="Z103" s="313"/>
      <c r="AA103" s="359"/>
      <c r="AB103" s="445"/>
      <c r="AC103" s="445"/>
      <c r="AD103" s="445"/>
      <c r="AE103" s="334"/>
    </row>
    <row r="104" spans="1:31" s="73" customFormat="1">
      <c r="A104" s="241"/>
      <c r="B104" s="242"/>
      <c r="C104" s="243"/>
      <c r="D104" s="244"/>
      <c r="E104" s="244"/>
      <c r="F104" s="244"/>
      <c r="G104" s="244"/>
      <c r="H104" s="244"/>
      <c r="I104" s="243"/>
      <c r="J104" s="243"/>
      <c r="K104" s="244"/>
      <c r="L104" s="244"/>
      <c r="M104" s="244"/>
      <c r="N104" s="243"/>
      <c r="O104" s="314"/>
      <c r="P104" s="244"/>
      <c r="Q104" s="243"/>
      <c r="R104" s="243"/>
      <c r="S104" s="243"/>
      <c r="T104" s="312"/>
      <c r="U104" s="312"/>
      <c r="V104" s="312"/>
      <c r="W104" s="312"/>
      <c r="X104" s="312"/>
      <c r="Y104" s="312"/>
      <c r="Z104" s="312"/>
      <c r="AA104" s="360"/>
      <c r="AB104" s="444"/>
      <c r="AC104" s="444"/>
      <c r="AD104" s="444"/>
      <c r="AE104" s="334"/>
    </row>
    <row r="105" spans="1:31" s="73" customFormat="1">
      <c r="A105" s="241"/>
      <c r="B105" s="242"/>
      <c r="C105" s="243"/>
      <c r="D105" s="244"/>
      <c r="E105" s="244"/>
      <c r="F105" s="244"/>
      <c r="G105" s="244"/>
      <c r="H105" s="244"/>
      <c r="I105" s="243"/>
      <c r="J105" s="243"/>
      <c r="K105" s="244"/>
      <c r="L105" s="244"/>
      <c r="M105" s="244"/>
      <c r="N105" s="243"/>
      <c r="O105" s="314"/>
      <c r="P105" s="244"/>
      <c r="Q105" s="243"/>
      <c r="R105" s="243"/>
      <c r="S105" s="243"/>
      <c r="T105" s="312"/>
      <c r="U105" s="312"/>
      <c r="V105" s="312"/>
      <c r="W105" s="312"/>
      <c r="X105" s="312"/>
      <c r="Y105" s="312"/>
      <c r="Z105" s="312"/>
      <c r="AA105" s="360"/>
      <c r="AB105" s="444"/>
      <c r="AC105" s="444"/>
      <c r="AD105" s="444"/>
      <c r="AE105" s="334"/>
    </row>
    <row r="106" spans="1:31" s="73" customFormat="1">
      <c r="A106" s="241"/>
      <c r="B106" s="245"/>
      <c r="C106" s="253"/>
      <c r="D106" s="254"/>
      <c r="E106" s="254"/>
      <c r="F106" s="254"/>
      <c r="G106" s="254"/>
      <c r="H106" s="254"/>
      <c r="I106" s="253"/>
      <c r="J106" s="253"/>
      <c r="K106" s="254"/>
      <c r="L106" s="254"/>
      <c r="M106" s="254"/>
      <c r="N106" s="253"/>
      <c r="O106" s="356"/>
      <c r="P106" s="254"/>
      <c r="Q106" s="253"/>
      <c r="R106" s="253"/>
      <c r="S106" s="253"/>
      <c r="T106" s="313"/>
      <c r="U106" s="313"/>
      <c r="V106" s="313"/>
      <c r="W106" s="313"/>
      <c r="X106" s="313"/>
      <c r="Y106" s="313"/>
      <c r="Z106" s="313"/>
      <c r="AA106" s="359"/>
      <c r="AB106" s="445"/>
      <c r="AC106" s="445"/>
      <c r="AD106" s="445"/>
      <c r="AE106" s="334"/>
    </row>
    <row r="107" spans="1:31" s="73" customFormat="1">
      <c r="A107" s="241"/>
      <c r="B107" s="242"/>
      <c r="C107" s="243"/>
      <c r="D107" s="244"/>
      <c r="E107" s="244"/>
      <c r="F107" s="244"/>
      <c r="G107" s="244"/>
      <c r="H107" s="244"/>
      <c r="I107" s="243"/>
      <c r="J107" s="243"/>
      <c r="K107" s="244"/>
      <c r="L107" s="244"/>
      <c r="M107" s="244"/>
      <c r="N107" s="243"/>
      <c r="O107" s="314"/>
      <c r="P107" s="244"/>
      <c r="Q107" s="243"/>
      <c r="R107" s="243"/>
      <c r="S107" s="243"/>
      <c r="T107" s="312"/>
      <c r="U107" s="312"/>
      <c r="V107" s="312"/>
      <c r="W107" s="312"/>
      <c r="X107" s="312"/>
      <c r="Y107" s="312"/>
      <c r="Z107" s="312"/>
      <c r="AA107" s="360"/>
      <c r="AB107" s="444"/>
      <c r="AC107" s="444"/>
      <c r="AD107" s="444"/>
      <c r="AE107" s="334"/>
    </row>
    <row r="108" spans="1:31" s="73" customFormat="1">
      <c r="A108" s="241"/>
      <c r="B108" s="242"/>
      <c r="C108" s="243"/>
      <c r="D108" s="244"/>
      <c r="E108" s="244"/>
      <c r="F108" s="244"/>
      <c r="G108" s="244"/>
      <c r="H108" s="244"/>
      <c r="I108" s="243"/>
      <c r="J108" s="243"/>
      <c r="K108" s="244"/>
      <c r="L108" s="244"/>
      <c r="M108" s="244"/>
      <c r="N108" s="243"/>
      <c r="O108" s="314"/>
      <c r="P108" s="244"/>
      <c r="Q108" s="243"/>
      <c r="R108" s="243"/>
      <c r="S108" s="243"/>
      <c r="T108" s="312"/>
      <c r="U108" s="312"/>
      <c r="V108" s="312"/>
      <c r="W108" s="312"/>
      <c r="X108" s="312"/>
      <c r="Y108" s="312"/>
      <c r="Z108" s="312"/>
      <c r="AA108" s="360"/>
      <c r="AB108" s="444"/>
      <c r="AC108" s="444"/>
      <c r="AD108" s="444"/>
      <c r="AE108" s="334"/>
    </row>
    <row r="109" spans="1:31" s="73" customFormat="1">
      <c r="A109" s="241"/>
      <c r="B109" s="245"/>
      <c r="C109" s="253"/>
      <c r="D109" s="254"/>
      <c r="E109" s="254"/>
      <c r="F109" s="254"/>
      <c r="G109" s="254"/>
      <c r="H109" s="254"/>
      <c r="I109" s="253"/>
      <c r="J109" s="253"/>
      <c r="K109" s="254"/>
      <c r="L109" s="254"/>
      <c r="M109" s="254"/>
      <c r="N109" s="253"/>
      <c r="O109" s="356"/>
      <c r="P109" s="254"/>
      <c r="Q109" s="253"/>
      <c r="R109" s="253"/>
      <c r="S109" s="253"/>
      <c r="T109" s="313"/>
      <c r="U109" s="313"/>
      <c r="V109" s="313"/>
      <c r="W109" s="313"/>
      <c r="X109" s="313"/>
      <c r="Y109" s="313"/>
      <c r="Z109" s="313"/>
      <c r="AA109" s="359"/>
      <c r="AB109" s="445"/>
      <c r="AC109" s="445"/>
      <c r="AD109" s="445"/>
      <c r="AE109" s="334"/>
    </row>
    <row r="110" spans="1:31" s="73" customFormat="1">
      <c r="A110" s="241"/>
      <c r="B110" s="242"/>
      <c r="C110" s="243"/>
      <c r="D110" s="244"/>
      <c r="E110" s="244"/>
      <c r="F110" s="244"/>
      <c r="G110" s="244"/>
      <c r="H110" s="244"/>
      <c r="I110" s="243"/>
      <c r="J110" s="243"/>
      <c r="K110" s="244"/>
      <c r="L110" s="244"/>
      <c r="M110" s="244"/>
      <c r="N110" s="243"/>
      <c r="O110" s="314"/>
      <c r="P110" s="244"/>
      <c r="Q110" s="243"/>
      <c r="R110" s="243"/>
      <c r="S110" s="243"/>
      <c r="T110" s="312"/>
      <c r="U110" s="312"/>
      <c r="V110" s="312"/>
      <c r="W110" s="312"/>
      <c r="X110" s="312"/>
      <c r="Y110" s="312"/>
      <c r="Z110" s="312"/>
      <c r="AA110" s="360"/>
      <c r="AB110" s="444"/>
      <c r="AC110" s="444"/>
      <c r="AD110" s="444"/>
      <c r="AE110" s="334"/>
    </row>
    <row r="111" spans="1:31" s="73" customFormat="1">
      <c r="A111" s="241"/>
      <c r="B111" s="242"/>
      <c r="C111" s="243"/>
      <c r="D111" s="244"/>
      <c r="E111" s="244"/>
      <c r="F111" s="244"/>
      <c r="G111" s="244"/>
      <c r="H111" s="244"/>
      <c r="I111" s="243"/>
      <c r="J111" s="243"/>
      <c r="K111" s="244"/>
      <c r="L111" s="244"/>
      <c r="M111" s="244"/>
      <c r="N111" s="243"/>
      <c r="O111" s="314"/>
      <c r="P111" s="244"/>
      <c r="Q111" s="243"/>
      <c r="R111" s="243"/>
      <c r="S111" s="243"/>
      <c r="T111" s="312"/>
      <c r="U111" s="312"/>
      <c r="V111" s="312"/>
      <c r="W111" s="312"/>
      <c r="X111" s="312"/>
      <c r="Y111" s="312"/>
      <c r="Z111" s="312"/>
      <c r="AA111" s="360"/>
      <c r="AB111" s="444"/>
      <c r="AC111" s="444"/>
      <c r="AD111" s="444"/>
      <c r="AE111" s="334"/>
    </row>
    <row r="112" spans="1:31" s="73" customFormat="1">
      <c r="A112" s="246"/>
      <c r="B112" s="311"/>
      <c r="C112" s="253"/>
      <c r="D112" s="254"/>
      <c r="E112" s="254"/>
      <c r="F112" s="254"/>
      <c r="G112" s="254"/>
      <c r="H112" s="254"/>
      <c r="I112" s="253"/>
      <c r="J112" s="253"/>
      <c r="K112" s="254"/>
      <c r="L112" s="254"/>
      <c r="M112" s="254"/>
      <c r="N112" s="253"/>
      <c r="O112" s="356"/>
      <c r="P112" s="254"/>
      <c r="Q112" s="253"/>
      <c r="R112" s="253"/>
      <c r="S112" s="253"/>
      <c r="T112" s="313"/>
      <c r="U112" s="313"/>
      <c r="V112" s="313"/>
      <c r="W112" s="313"/>
      <c r="X112" s="313"/>
      <c r="Y112" s="313"/>
      <c r="Z112" s="313"/>
      <c r="AA112" s="359"/>
      <c r="AB112" s="445"/>
      <c r="AC112" s="445"/>
      <c r="AD112" s="445"/>
      <c r="AE112" s="334"/>
    </row>
    <row r="113" spans="1:31" s="73" customFormat="1">
      <c r="A113" s="342"/>
      <c r="B113" s="340"/>
      <c r="C113" s="337"/>
      <c r="D113" s="341"/>
      <c r="E113" s="341"/>
      <c r="F113" s="341"/>
      <c r="G113" s="341"/>
      <c r="H113" s="341"/>
      <c r="I113" s="337"/>
      <c r="J113" s="337"/>
      <c r="K113" s="341"/>
      <c r="L113" s="341"/>
      <c r="M113" s="341"/>
      <c r="N113" s="337"/>
      <c r="O113" s="337"/>
      <c r="P113" s="341"/>
      <c r="Q113" s="337"/>
      <c r="R113" s="337"/>
      <c r="S113" s="337"/>
      <c r="T113" s="349"/>
      <c r="U113" s="349"/>
      <c r="V113" s="349"/>
      <c r="W113" s="349"/>
      <c r="X113" s="349"/>
      <c r="Y113" s="349"/>
      <c r="Z113" s="349"/>
      <c r="AA113" s="357"/>
      <c r="AB113" s="444"/>
      <c r="AC113" s="444"/>
      <c r="AD113" s="444"/>
      <c r="AE113" s="334"/>
    </row>
    <row r="114" spans="1:31" s="73" customFormat="1">
      <c r="A114" s="241"/>
      <c r="B114" s="242"/>
      <c r="C114" s="243"/>
      <c r="D114" s="244"/>
      <c r="E114" s="244"/>
      <c r="F114" s="244"/>
      <c r="G114" s="244"/>
      <c r="H114" s="244"/>
      <c r="I114" s="243"/>
      <c r="J114" s="243"/>
      <c r="K114" s="244"/>
      <c r="L114" s="244"/>
      <c r="M114" s="244"/>
      <c r="N114" s="243"/>
      <c r="O114" s="243"/>
      <c r="P114" s="244"/>
      <c r="Q114" s="243"/>
      <c r="R114" s="243"/>
      <c r="S114" s="243"/>
      <c r="T114" s="312"/>
      <c r="U114" s="312"/>
      <c r="V114" s="312"/>
      <c r="W114" s="312"/>
      <c r="X114" s="312"/>
      <c r="Y114" s="312"/>
      <c r="Z114" s="312"/>
      <c r="AA114" s="358"/>
      <c r="AB114" s="444"/>
      <c r="AC114" s="444"/>
      <c r="AD114" s="444"/>
      <c r="AE114" s="334"/>
    </row>
    <row r="115" spans="1:31" s="73" customFormat="1">
      <c r="A115" s="241"/>
      <c r="B115" s="245"/>
      <c r="C115" s="253"/>
      <c r="D115" s="254"/>
      <c r="E115" s="254"/>
      <c r="F115" s="254"/>
      <c r="G115" s="734"/>
      <c r="H115" s="734"/>
      <c r="I115" s="253"/>
      <c r="J115" s="253"/>
      <c r="K115" s="254"/>
      <c r="L115" s="734"/>
      <c r="M115" s="734"/>
      <c r="N115" s="253"/>
      <c r="O115" s="356"/>
      <c r="P115" s="254"/>
      <c r="Q115" s="253"/>
      <c r="R115" s="253"/>
      <c r="S115" s="253"/>
      <c r="T115" s="313"/>
      <c r="U115" s="313"/>
      <c r="V115" s="313"/>
      <c r="W115" s="313"/>
      <c r="X115" s="313"/>
      <c r="Y115" s="313"/>
      <c r="Z115" s="313"/>
      <c r="AA115" s="359"/>
      <c r="AB115" s="445"/>
      <c r="AC115" s="445"/>
      <c r="AD115" s="445"/>
      <c r="AE115" s="334"/>
    </row>
    <row r="116" spans="1:31" s="73" customFormat="1">
      <c r="A116" s="241"/>
      <c r="B116" s="242"/>
      <c r="C116" s="243"/>
      <c r="D116" s="244"/>
      <c r="E116" s="244"/>
      <c r="F116" s="244"/>
      <c r="G116" s="244"/>
      <c r="H116" s="244"/>
      <c r="I116" s="243"/>
      <c r="J116" s="243"/>
      <c r="K116" s="244"/>
      <c r="L116" s="244"/>
      <c r="M116" s="244"/>
      <c r="N116" s="243"/>
      <c r="O116" s="314"/>
      <c r="P116" s="244"/>
      <c r="Q116" s="243"/>
      <c r="R116" s="243"/>
      <c r="S116" s="243"/>
      <c r="T116" s="312"/>
      <c r="U116" s="312"/>
      <c r="V116" s="312"/>
      <c r="W116" s="312"/>
      <c r="X116" s="312"/>
      <c r="Y116" s="312"/>
      <c r="Z116" s="312"/>
      <c r="AA116" s="360"/>
      <c r="AB116" s="444"/>
      <c r="AC116" s="444"/>
      <c r="AD116" s="444"/>
      <c r="AE116" s="334"/>
    </row>
    <row r="117" spans="1:31" s="73" customFormat="1">
      <c r="A117" s="241"/>
      <c r="B117" s="242"/>
      <c r="C117" s="243"/>
      <c r="D117" s="244"/>
      <c r="E117" s="244"/>
      <c r="F117" s="244"/>
      <c r="G117" s="244"/>
      <c r="H117" s="244"/>
      <c r="I117" s="243"/>
      <c r="J117" s="243"/>
      <c r="K117" s="244"/>
      <c r="L117" s="244"/>
      <c r="M117" s="244"/>
      <c r="N117" s="243"/>
      <c r="O117" s="314"/>
      <c r="P117" s="244"/>
      <c r="Q117" s="243"/>
      <c r="R117" s="243"/>
      <c r="S117" s="243"/>
      <c r="T117" s="312"/>
      <c r="U117" s="312"/>
      <c r="V117" s="312"/>
      <c r="W117" s="312"/>
      <c r="X117" s="312"/>
      <c r="Y117" s="312"/>
      <c r="Z117" s="312"/>
      <c r="AA117" s="360"/>
      <c r="AB117" s="444"/>
      <c r="AC117" s="444"/>
      <c r="AD117" s="444"/>
      <c r="AE117" s="334"/>
    </row>
    <row r="118" spans="1:31" s="73" customFormat="1">
      <c r="A118" s="241"/>
      <c r="B118" s="245"/>
      <c r="C118" s="253"/>
      <c r="D118" s="254"/>
      <c r="E118" s="254"/>
      <c r="F118" s="254"/>
      <c r="G118" s="254"/>
      <c r="H118" s="254"/>
      <c r="I118" s="253"/>
      <c r="J118" s="253"/>
      <c r="K118" s="254"/>
      <c r="L118" s="254"/>
      <c r="M118" s="254"/>
      <c r="N118" s="253"/>
      <c r="O118" s="356"/>
      <c r="P118" s="254"/>
      <c r="Q118" s="253"/>
      <c r="R118" s="253"/>
      <c r="S118" s="253"/>
      <c r="T118" s="313"/>
      <c r="U118" s="313"/>
      <c r="V118" s="313"/>
      <c r="W118" s="313"/>
      <c r="X118" s="313"/>
      <c r="Y118" s="313"/>
      <c r="Z118" s="313"/>
      <c r="AA118" s="359"/>
      <c r="AB118" s="445"/>
      <c r="AC118" s="445"/>
      <c r="AD118" s="445"/>
      <c r="AE118" s="334"/>
    </row>
    <row r="119" spans="1:31" s="73" customFormat="1">
      <c r="A119" s="241"/>
      <c r="B119" s="242"/>
      <c r="C119" s="243"/>
      <c r="D119" s="244"/>
      <c r="E119" s="244"/>
      <c r="F119" s="244"/>
      <c r="G119" s="244"/>
      <c r="H119" s="244"/>
      <c r="I119" s="243"/>
      <c r="J119" s="243"/>
      <c r="K119" s="244"/>
      <c r="L119" s="244"/>
      <c r="M119" s="244"/>
      <c r="N119" s="243"/>
      <c r="O119" s="314"/>
      <c r="P119" s="244"/>
      <c r="Q119" s="243"/>
      <c r="R119" s="243"/>
      <c r="S119" s="243"/>
      <c r="T119" s="312"/>
      <c r="U119" s="312"/>
      <c r="V119" s="312"/>
      <c r="W119" s="312"/>
      <c r="X119" s="312"/>
      <c r="Y119" s="312"/>
      <c r="Z119" s="312"/>
      <c r="AA119" s="360"/>
      <c r="AB119" s="444"/>
      <c r="AC119" s="444"/>
      <c r="AD119" s="444"/>
      <c r="AE119" s="334"/>
    </row>
    <row r="120" spans="1:31" s="73" customFormat="1">
      <c r="A120" s="241"/>
      <c r="B120" s="242"/>
      <c r="C120" s="243"/>
      <c r="D120" s="244"/>
      <c r="E120" s="244"/>
      <c r="F120" s="244"/>
      <c r="G120" s="244"/>
      <c r="H120" s="244"/>
      <c r="I120" s="243"/>
      <c r="J120" s="243"/>
      <c r="K120" s="244"/>
      <c r="L120" s="244"/>
      <c r="M120" s="244"/>
      <c r="N120" s="243"/>
      <c r="O120" s="314"/>
      <c r="P120" s="244"/>
      <c r="Q120" s="243"/>
      <c r="R120" s="243"/>
      <c r="S120" s="243"/>
      <c r="T120" s="312"/>
      <c r="U120" s="312"/>
      <c r="V120" s="312"/>
      <c r="W120" s="312"/>
      <c r="X120" s="312"/>
      <c r="Y120" s="312"/>
      <c r="Z120" s="312"/>
      <c r="AA120" s="360"/>
      <c r="AB120" s="444"/>
      <c r="AC120" s="444"/>
      <c r="AD120" s="444"/>
      <c r="AE120" s="334"/>
    </row>
    <row r="121" spans="1:31" s="73" customFormat="1">
      <c r="A121" s="241"/>
      <c r="B121" s="245"/>
      <c r="C121" s="253"/>
      <c r="D121" s="254"/>
      <c r="E121" s="254"/>
      <c r="F121" s="254"/>
      <c r="G121" s="254"/>
      <c r="H121" s="254"/>
      <c r="I121" s="253"/>
      <c r="J121" s="253"/>
      <c r="K121" s="254"/>
      <c r="L121" s="254"/>
      <c r="M121" s="254"/>
      <c r="N121" s="253"/>
      <c r="O121" s="356"/>
      <c r="P121" s="254"/>
      <c r="Q121" s="253"/>
      <c r="R121" s="253"/>
      <c r="S121" s="253"/>
      <c r="T121" s="313"/>
      <c r="U121" s="313"/>
      <c r="V121" s="313"/>
      <c r="W121" s="313"/>
      <c r="X121" s="313"/>
      <c r="Y121" s="313"/>
      <c r="Z121" s="313"/>
      <c r="AA121" s="359"/>
      <c r="AB121" s="445"/>
      <c r="AC121" s="445"/>
      <c r="AD121" s="445"/>
      <c r="AE121" s="334"/>
    </row>
    <row r="122" spans="1:31" s="73" customFormat="1">
      <c r="A122" s="241"/>
      <c r="B122" s="242"/>
      <c r="C122" s="243"/>
      <c r="D122" s="244"/>
      <c r="E122" s="244"/>
      <c r="F122" s="244"/>
      <c r="G122" s="244"/>
      <c r="H122" s="244"/>
      <c r="I122" s="243"/>
      <c r="J122" s="243"/>
      <c r="K122" s="244"/>
      <c r="L122" s="244"/>
      <c r="M122" s="244"/>
      <c r="N122" s="243"/>
      <c r="O122" s="314"/>
      <c r="P122" s="244"/>
      <c r="Q122" s="243"/>
      <c r="R122" s="243"/>
      <c r="S122" s="243"/>
      <c r="T122" s="312"/>
      <c r="U122" s="312"/>
      <c r="V122" s="312"/>
      <c r="W122" s="312"/>
      <c r="X122" s="312"/>
      <c r="Y122" s="312"/>
      <c r="Z122" s="312"/>
      <c r="AA122" s="360"/>
      <c r="AB122" s="444"/>
      <c r="AC122" s="444"/>
      <c r="AD122" s="444"/>
      <c r="AE122" s="334"/>
    </row>
    <row r="123" spans="1:31" s="73" customFormat="1">
      <c r="A123" s="241"/>
      <c r="B123" s="242"/>
      <c r="C123" s="243"/>
      <c r="D123" s="244"/>
      <c r="E123" s="244"/>
      <c r="F123" s="244"/>
      <c r="G123" s="244"/>
      <c r="H123" s="244"/>
      <c r="I123" s="243"/>
      <c r="J123" s="243"/>
      <c r="K123" s="244"/>
      <c r="L123" s="244"/>
      <c r="M123" s="244"/>
      <c r="N123" s="243"/>
      <c r="O123" s="314"/>
      <c r="P123" s="244"/>
      <c r="Q123" s="243"/>
      <c r="R123" s="243"/>
      <c r="S123" s="243"/>
      <c r="T123" s="312"/>
      <c r="U123" s="312"/>
      <c r="V123" s="312"/>
      <c r="W123" s="312"/>
      <c r="X123" s="312"/>
      <c r="Y123" s="312"/>
      <c r="Z123" s="312"/>
      <c r="AA123" s="360"/>
      <c r="AB123" s="444"/>
      <c r="AC123" s="444"/>
      <c r="AD123" s="444"/>
      <c r="AE123" s="334"/>
    </row>
    <row r="124" spans="1:31" s="73" customFormat="1">
      <c r="A124" s="246"/>
      <c r="B124" s="311"/>
      <c r="C124" s="253"/>
      <c r="D124" s="254"/>
      <c r="E124" s="254"/>
      <c r="F124" s="254"/>
      <c r="G124" s="254"/>
      <c r="H124" s="254"/>
      <c r="I124" s="253"/>
      <c r="J124" s="253"/>
      <c r="K124" s="254"/>
      <c r="L124" s="254"/>
      <c r="M124" s="254"/>
      <c r="N124" s="253"/>
      <c r="O124" s="356"/>
      <c r="P124" s="254"/>
      <c r="Q124" s="253"/>
      <c r="R124" s="253"/>
      <c r="S124" s="253"/>
      <c r="T124" s="313"/>
      <c r="U124" s="313"/>
      <c r="V124" s="313"/>
      <c r="W124" s="313"/>
      <c r="X124" s="313"/>
      <c r="Y124" s="313"/>
      <c r="Z124" s="313"/>
      <c r="AA124" s="359"/>
      <c r="AB124" s="445"/>
      <c r="AC124" s="445"/>
      <c r="AD124" s="445"/>
      <c r="AE124" s="334"/>
    </row>
    <row r="125" spans="1:31" s="73" customFormat="1">
      <c r="A125" s="342"/>
      <c r="B125" s="340"/>
      <c r="C125" s="337"/>
      <c r="D125" s="341"/>
      <c r="E125" s="341"/>
      <c r="F125" s="341"/>
      <c r="G125" s="341"/>
      <c r="H125" s="341"/>
      <c r="I125" s="337"/>
      <c r="J125" s="337"/>
      <c r="K125" s="341"/>
      <c r="L125" s="341"/>
      <c r="M125" s="341"/>
      <c r="N125" s="337"/>
      <c r="O125" s="337"/>
      <c r="P125" s="341"/>
      <c r="Q125" s="337"/>
      <c r="R125" s="337"/>
      <c r="S125" s="337"/>
      <c r="T125" s="349"/>
      <c r="U125" s="349"/>
      <c r="V125" s="349"/>
      <c r="W125" s="349"/>
      <c r="X125" s="349"/>
      <c r="Y125" s="349"/>
      <c r="Z125" s="349"/>
      <c r="AA125" s="357"/>
      <c r="AB125" s="444"/>
      <c r="AC125" s="444"/>
      <c r="AD125" s="444"/>
      <c r="AE125" s="334"/>
    </row>
    <row r="126" spans="1:31" s="73" customFormat="1">
      <c r="A126" s="241"/>
      <c r="B126" s="242"/>
      <c r="C126" s="243"/>
      <c r="D126" s="244"/>
      <c r="E126" s="244"/>
      <c r="F126" s="244"/>
      <c r="G126" s="244"/>
      <c r="H126" s="244"/>
      <c r="I126" s="243"/>
      <c r="J126" s="243"/>
      <c r="K126" s="244"/>
      <c r="L126" s="244"/>
      <c r="M126" s="244"/>
      <c r="N126" s="243"/>
      <c r="O126" s="243"/>
      <c r="P126" s="244"/>
      <c r="Q126" s="243"/>
      <c r="R126" s="243"/>
      <c r="S126" s="243"/>
      <c r="T126" s="312"/>
      <c r="U126" s="312"/>
      <c r="V126" s="312"/>
      <c r="W126" s="312"/>
      <c r="X126" s="312"/>
      <c r="Y126" s="312"/>
      <c r="Z126" s="312"/>
      <c r="AA126" s="358"/>
      <c r="AB126" s="444"/>
      <c r="AC126" s="444"/>
      <c r="AD126" s="444"/>
      <c r="AE126" s="334"/>
    </row>
    <row r="127" spans="1:31" s="73" customFormat="1">
      <c r="A127" s="241"/>
      <c r="B127" s="245"/>
      <c r="C127" s="253"/>
      <c r="D127" s="254"/>
      <c r="E127" s="254"/>
      <c r="F127" s="254"/>
      <c r="G127" s="254"/>
      <c r="H127" s="734"/>
      <c r="I127" s="253"/>
      <c r="J127" s="253"/>
      <c r="K127" s="254"/>
      <c r="L127" s="734"/>
      <c r="M127" s="254"/>
      <c r="N127" s="253"/>
      <c r="O127" s="356"/>
      <c r="P127" s="254"/>
      <c r="Q127" s="253"/>
      <c r="R127" s="253"/>
      <c r="S127" s="253"/>
      <c r="T127" s="313"/>
      <c r="U127" s="313"/>
      <c r="V127" s="313"/>
      <c r="W127" s="313"/>
      <c r="X127" s="313"/>
      <c r="Y127" s="313"/>
      <c r="Z127" s="313"/>
      <c r="AA127" s="359"/>
      <c r="AB127" s="445"/>
      <c r="AC127" s="445"/>
      <c r="AD127" s="445"/>
      <c r="AE127" s="334"/>
    </row>
    <row r="128" spans="1:31" s="73" customFormat="1">
      <c r="A128" s="241"/>
      <c r="B128" s="242"/>
      <c r="C128" s="243"/>
      <c r="D128" s="244"/>
      <c r="E128" s="244"/>
      <c r="F128" s="244"/>
      <c r="G128" s="244"/>
      <c r="H128" s="244"/>
      <c r="I128" s="243"/>
      <c r="J128" s="243"/>
      <c r="K128" s="244"/>
      <c r="L128" s="244"/>
      <c r="M128" s="244"/>
      <c r="N128" s="243"/>
      <c r="O128" s="314"/>
      <c r="P128" s="244"/>
      <c r="Q128" s="243"/>
      <c r="R128" s="243"/>
      <c r="S128" s="243"/>
      <c r="T128" s="312"/>
      <c r="U128" s="312"/>
      <c r="V128" s="312"/>
      <c r="W128" s="312"/>
      <c r="X128" s="312"/>
      <c r="Y128" s="312"/>
      <c r="Z128" s="312"/>
      <c r="AA128" s="360"/>
      <c r="AB128" s="444"/>
      <c r="AC128" s="444"/>
      <c r="AD128" s="444"/>
      <c r="AE128" s="334"/>
    </row>
    <row r="129" spans="1:31" s="73" customFormat="1">
      <c r="A129" s="241"/>
      <c r="B129" s="242"/>
      <c r="C129" s="243"/>
      <c r="D129" s="244"/>
      <c r="E129" s="244"/>
      <c r="F129" s="244"/>
      <c r="G129" s="244"/>
      <c r="H129" s="244"/>
      <c r="I129" s="243"/>
      <c r="J129" s="243"/>
      <c r="K129" s="244"/>
      <c r="L129" s="244"/>
      <c r="M129" s="244"/>
      <c r="N129" s="243"/>
      <c r="O129" s="314"/>
      <c r="P129" s="244"/>
      <c r="Q129" s="243"/>
      <c r="R129" s="243"/>
      <c r="S129" s="243"/>
      <c r="T129" s="312"/>
      <c r="U129" s="312"/>
      <c r="V129" s="312"/>
      <c r="W129" s="312"/>
      <c r="X129" s="312"/>
      <c r="Y129" s="312"/>
      <c r="Z129" s="312"/>
      <c r="AA129" s="360"/>
      <c r="AB129" s="444"/>
      <c r="AC129" s="444"/>
      <c r="AD129" s="444"/>
      <c r="AE129" s="334"/>
    </row>
    <row r="130" spans="1:31" s="73" customFormat="1">
      <c r="A130" s="241"/>
      <c r="B130" s="245"/>
      <c r="C130" s="253"/>
      <c r="D130" s="254"/>
      <c r="E130" s="254"/>
      <c r="F130" s="254"/>
      <c r="G130" s="254"/>
      <c r="H130" s="254"/>
      <c r="I130" s="253"/>
      <c r="J130" s="253"/>
      <c r="K130" s="254"/>
      <c r="L130" s="254"/>
      <c r="M130" s="254"/>
      <c r="N130" s="253"/>
      <c r="O130" s="356"/>
      <c r="P130" s="254"/>
      <c r="Q130" s="253"/>
      <c r="R130" s="253"/>
      <c r="S130" s="253"/>
      <c r="T130" s="313"/>
      <c r="U130" s="313"/>
      <c r="V130" s="313"/>
      <c r="W130" s="313"/>
      <c r="X130" s="313"/>
      <c r="Y130" s="313"/>
      <c r="Z130" s="313"/>
      <c r="AA130" s="359"/>
      <c r="AB130" s="445"/>
      <c r="AC130" s="445"/>
      <c r="AD130" s="445"/>
      <c r="AE130" s="334"/>
    </row>
    <row r="131" spans="1:31" s="73" customFormat="1">
      <c r="A131" s="241"/>
      <c r="B131" s="242"/>
      <c r="C131" s="243"/>
      <c r="D131" s="244"/>
      <c r="E131" s="244"/>
      <c r="F131" s="244"/>
      <c r="G131" s="244"/>
      <c r="H131" s="244"/>
      <c r="I131" s="243"/>
      <c r="J131" s="243"/>
      <c r="K131" s="244"/>
      <c r="L131" s="244"/>
      <c r="M131" s="244"/>
      <c r="N131" s="243"/>
      <c r="O131" s="314"/>
      <c r="P131" s="244"/>
      <c r="Q131" s="243"/>
      <c r="R131" s="243"/>
      <c r="S131" s="243"/>
      <c r="T131" s="312"/>
      <c r="U131" s="312"/>
      <c r="V131" s="312"/>
      <c r="W131" s="312"/>
      <c r="X131" s="312"/>
      <c r="Y131" s="312"/>
      <c r="Z131" s="312"/>
      <c r="AA131" s="360"/>
      <c r="AB131" s="444"/>
      <c r="AC131" s="444"/>
      <c r="AD131" s="444"/>
      <c r="AE131" s="334"/>
    </row>
    <row r="132" spans="1:31" s="73" customFormat="1">
      <c r="A132" s="241"/>
      <c r="B132" s="242"/>
      <c r="C132" s="243"/>
      <c r="D132" s="244"/>
      <c r="E132" s="244"/>
      <c r="F132" s="244"/>
      <c r="G132" s="244"/>
      <c r="H132" s="244"/>
      <c r="I132" s="243"/>
      <c r="J132" s="243"/>
      <c r="K132" s="244"/>
      <c r="L132" s="244"/>
      <c r="M132" s="244"/>
      <c r="N132" s="243"/>
      <c r="O132" s="314"/>
      <c r="P132" s="244"/>
      <c r="Q132" s="243"/>
      <c r="R132" s="243"/>
      <c r="S132" s="243"/>
      <c r="T132" s="312"/>
      <c r="U132" s="312"/>
      <c r="V132" s="312"/>
      <c r="W132" s="312"/>
      <c r="X132" s="312"/>
      <c r="Y132" s="312"/>
      <c r="Z132" s="312"/>
      <c r="AA132" s="360"/>
      <c r="AB132" s="444"/>
      <c r="AC132" s="444"/>
      <c r="AD132" s="444"/>
      <c r="AE132" s="334"/>
    </row>
    <row r="133" spans="1:31" s="73" customFormat="1">
      <c r="A133" s="241"/>
      <c r="B133" s="245"/>
      <c r="C133" s="733"/>
      <c r="D133" s="254"/>
      <c r="E133" s="254"/>
      <c r="F133" s="254"/>
      <c r="G133" s="734"/>
      <c r="H133" s="254"/>
      <c r="I133" s="253"/>
      <c r="J133" s="253"/>
      <c r="K133" s="254"/>
      <c r="L133" s="254"/>
      <c r="M133" s="254"/>
      <c r="N133" s="253"/>
      <c r="O133" s="356"/>
      <c r="P133" s="254"/>
      <c r="Q133" s="253"/>
      <c r="R133" s="253"/>
      <c r="S133" s="253"/>
      <c r="T133" s="313"/>
      <c r="U133" s="313"/>
      <c r="V133" s="313"/>
      <c r="W133" s="313"/>
      <c r="X133" s="313"/>
      <c r="Y133" s="313"/>
      <c r="Z133" s="313"/>
      <c r="AA133" s="359"/>
      <c r="AB133" s="445"/>
      <c r="AC133" s="445"/>
      <c r="AD133" s="445"/>
      <c r="AE133" s="334"/>
    </row>
    <row r="134" spans="1:31" s="73" customFormat="1">
      <c r="A134" s="241"/>
      <c r="B134" s="242"/>
      <c r="C134" s="243"/>
      <c r="D134" s="244"/>
      <c r="E134" s="244"/>
      <c r="F134" s="244"/>
      <c r="G134" s="244"/>
      <c r="H134" s="244"/>
      <c r="I134" s="243"/>
      <c r="J134" s="243"/>
      <c r="K134" s="244"/>
      <c r="L134" s="244"/>
      <c r="M134" s="244"/>
      <c r="N134" s="243"/>
      <c r="O134" s="314"/>
      <c r="P134" s="244"/>
      <c r="Q134" s="243"/>
      <c r="R134" s="243"/>
      <c r="S134" s="243"/>
      <c r="T134" s="312"/>
      <c r="U134" s="312"/>
      <c r="V134" s="312"/>
      <c r="W134" s="312"/>
      <c r="X134" s="312"/>
      <c r="Y134" s="312"/>
      <c r="Z134" s="312"/>
      <c r="AA134" s="360"/>
      <c r="AB134" s="444"/>
      <c r="AC134" s="444"/>
      <c r="AD134" s="444"/>
      <c r="AE134" s="334"/>
    </row>
    <row r="135" spans="1:31" s="73" customFormat="1">
      <c r="A135" s="241"/>
      <c r="B135" s="242"/>
      <c r="C135" s="243"/>
      <c r="D135" s="244"/>
      <c r="E135" s="244"/>
      <c r="F135" s="244"/>
      <c r="G135" s="244"/>
      <c r="H135" s="244"/>
      <c r="I135" s="243"/>
      <c r="J135" s="243"/>
      <c r="K135" s="244"/>
      <c r="L135" s="244"/>
      <c r="M135" s="244"/>
      <c r="N135" s="243"/>
      <c r="O135" s="314"/>
      <c r="P135" s="244"/>
      <c r="Q135" s="243"/>
      <c r="R135" s="243"/>
      <c r="S135" s="243"/>
      <c r="T135" s="312"/>
      <c r="U135" s="312"/>
      <c r="V135" s="312"/>
      <c r="W135" s="312"/>
      <c r="X135" s="312"/>
      <c r="Y135" s="312"/>
      <c r="Z135" s="312"/>
      <c r="AA135" s="360"/>
      <c r="AB135" s="444"/>
      <c r="AC135" s="444"/>
      <c r="AD135" s="444"/>
      <c r="AE135" s="334"/>
    </row>
    <row r="136" spans="1:31" s="73" customFormat="1">
      <c r="A136" s="246"/>
      <c r="B136" s="311"/>
      <c r="C136" s="253"/>
      <c r="D136" s="254"/>
      <c r="E136" s="254"/>
      <c r="F136" s="254"/>
      <c r="G136" s="254"/>
      <c r="H136" s="254"/>
      <c r="I136" s="253"/>
      <c r="J136" s="253"/>
      <c r="K136" s="254"/>
      <c r="L136" s="254"/>
      <c r="M136" s="254"/>
      <c r="N136" s="253"/>
      <c r="O136" s="356"/>
      <c r="P136" s="254"/>
      <c r="Q136" s="253"/>
      <c r="R136" s="253"/>
      <c r="S136" s="253"/>
      <c r="T136" s="313"/>
      <c r="U136" s="313"/>
      <c r="V136" s="313"/>
      <c r="W136" s="313"/>
      <c r="X136" s="313"/>
      <c r="Y136" s="313"/>
      <c r="Z136" s="313"/>
      <c r="AA136" s="359"/>
      <c r="AB136" s="445"/>
      <c r="AC136" s="445"/>
      <c r="AD136" s="445"/>
      <c r="AE136" s="334"/>
    </row>
    <row r="137" spans="1:31" s="73" customFormat="1">
      <c r="A137" s="342"/>
      <c r="B137" s="340"/>
      <c r="C137" s="337"/>
      <c r="D137" s="341"/>
      <c r="E137" s="341"/>
      <c r="F137" s="341"/>
      <c r="G137" s="341"/>
      <c r="H137" s="341"/>
      <c r="I137" s="337"/>
      <c r="J137" s="337"/>
      <c r="K137" s="341"/>
      <c r="L137" s="341"/>
      <c r="M137" s="341"/>
      <c r="N137" s="337"/>
      <c r="O137" s="337"/>
      <c r="P137" s="341"/>
      <c r="Q137" s="337"/>
      <c r="R137" s="337"/>
      <c r="S137" s="337"/>
      <c r="T137" s="349"/>
      <c r="U137" s="349"/>
      <c r="V137" s="349"/>
      <c r="W137" s="349"/>
      <c r="X137" s="349"/>
      <c r="Y137" s="349"/>
      <c r="Z137" s="349"/>
      <c r="AA137" s="357"/>
      <c r="AB137" s="444"/>
      <c r="AC137" s="444"/>
      <c r="AD137" s="444"/>
      <c r="AE137" s="334"/>
    </row>
    <row r="138" spans="1:31" s="73" customFormat="1">
      <c r="A138" s="241"/>
      <c r="B138" s="242"/>
      <c r="C138" s="243"/>
      <c r="D138" s="244"/>
      <c r="E138" s="244"/>
      <c r="F138" s="244"/>
      <c r="G138" s="244"/>
      <c r="H138" s="244"/>
      <c r="I138" s="243"/>
      <c r="J138" s="243"/>
      <c r="K138" s="244"/>
      <c r="L138" s="244"/>
      <c r="M138" s="244"/>
      <c r="N138" s="243"/>
      <c r="O138" s="243"/>
      <c r="P138" s="244"/>
      <c r="Q138" s="243"/>
      <c r="R138" s="243"/>
      <c r="S138" s="243"/>
      <c r="T138" s="312"/>
      <c r="U138" s="312"/>
      <c r="V138" s="312"/>
      <c r="W138" s="312"/>
      <c r="X138" s="312"/>
      <c r="Y138" s="312"/>
      <c r="Z138" s="312"/>
      <c r="AA138" s="358"/>
      <c r="AB138" s="444"/>
      <c r="AC138" s="444"/>
      <c r="AD138" s="444"/>
      <c r="AE138" s="334"/>
    </row>
    <row r="139" spans="1:31" s="73" customFormat="1">
      <c r="A139" s="241"/>
      <c r="B139" s="245"/>
      <c r="C139" s="253"/>
      <c r="D139" s="254"/>
      <c r="E139" s="254"/>
      <c r="F139" s="254"/>
      <c r="G139" s="254"/>
      <c r="H139" s="254"/>
      <c r="I139" s="253"/>
      <c r="J139" s="253"/>
      <c r="K139" s="254"/>
      <c r="L139" s="254"/>
      <c r="M139" s="254"/>
      <c r="N139" s="253"/>
      <c r="O139" s="356"/>
      <c r="P139" s="254"/>
      <c r="Q139" s="253"/>
      <c r="R139" s="253"/>
      <c r="S139" s="253"/>
      <c r="T139" s="313"/>
      <c r="U139" s="313"/>
      <c r="V139" s="313"/>
      <c r="W139" s="313"/>
      <c r="X139" s="313"/>
      <c r="Y139" s="313"/>
      <c r="Z139" s="313"/>
      <c r="AA139" s="359"/>
      <c r="AB139" s="445"/>
      <c r="AC139" s="445"/>
      <c r="AD139" s="445"/>
      <c r="AE139" s="334"/>
    </row>
    <row r="140" spans="1:31" s="73" customFormat="1">
      <c r="A140" s="241"/>
      <c r="B140" s="242"/>
      <c r="C140" s="243"/>
      <c r="D140" s="244"/>
      <c r="E140" s="244"/>
      <c r="F140" s="244"/>
      <c r="G140" s="244"/>
      <c r="H140" s="244"/>
      <c r="I140" s="243"/>
      <c r="J140" s="243"/>
      <c r="K140" s="244"/>
      <c r="L140" s="244"/>
      <c r="M140" s="244"/>
      <c r="N140" s="243"/>
      <c r="O140" s="314"/>
      <c r="P140" s="244"/>
      <c r="Q140" s="243"/>
      <c r="R140" s="243"/>
      <c r="S140" s="243"/>
      <c r="T140" s="312"/>
      <c r="U140" s="312"/>
      <c r="V140" s="312"/>
      <c r="W140" s="312"/>
      <c r="X140" s="312"/>
      <c r="Y140" s="312"/>
      <c r="Z140" s="312"/>
      <c r="AA140" s="360"/>
      <c r="AB140" s="444"/>
      <c r="AC140" s="444"/>
      <c r="AD140" s="444"/>
      <c r="AE140" s="334"/>
    </row>
    <row r="141" spans="1:31" s="73" customFormat="1">
      <c r="A141" s="241"/>
      <c r="B141" s="242"/>
      <c r="C141" s="243"/>
      <c r="D141" s="244"/>
      <c r="E141" s="244"/>
      <c r="F141" s="244"/>
      <c r="G141" s="244"/>
      <c r="H141" s="244"/>
      <c r="I141" s="243"/>
      <c r="J141" s="243"/>
      <c r="K141" s="244"/>
      <c r="L141" s="244"/>
      <c r="M141" s="244"/>
      <c r="N141" s="243"/>
      <c r="O141" s="314"/>
      <c r="P141" s="244"/>
      <c r="Q141" s="243"/>
      <c r="R141" s="243"/>
      <c r="S141" s="243"/>
      <c r="T141" s="312"/>
      <c r="U141" s="312"/>
      <c r="V141" s="312"/>
      <c r="W141" s="312"/>
      <c r="X141" s="312"/>
      <c r="Y141" s="312"/>
      <c r="Z141" s="312"/>
      <c r="AA141" s="360"/>
      <c r="AB141" s="444"/>
      <c r="AC141" s="444"/>
      <c r="AD141" s="444"/>
      <c r="AE141" s="334"/>
    </row>
    <row r="142" spans="1:31" s="73" customFormat="1">
      <c r="A142" s="241"/>
      <c r="B142" s="245"/>
      <c r="C142" s="253"/>
      <c r="D142" s="254"/>
      <c r="E142" s="254"/>
      <c r="F142" s="254"/>
      <c r="G142" s="254"/>
      <c r="H142" s="254"/>
      <c r="I142" s="253"/>
      <c r="J142" s="253"/>
      <c r="K142" s="254"/>
      <c r="L142" s="254"/>
      <c r="M142" s="254"/>
      <c r="N142" s="253"/>
      <c r="O142" s="356"/>
      <c r="P142" s="254"/>
      <c r="Q142" s="253"/>
      <c r="R142" s="253"/>
      <c r="S142" s="253"/>
      <c r="T142" s="313"/>
      <c r="U142" s="313"/>
      <c r="V142" s="313"/>
      <c r="W142" s="313"/>
      <c r="X142" s="313"/>
      <c r="Y142" s="313"/>
      <c r="Z142" s="313"/>
      <c r="AA142" s="359"/>
      <c r="AB142" s="445"/>
      <c r="AC142" s="445"/>
      <c r="AD142" s="445"/>
      <c r="AE142" s="334"/>
    </row>
    <row r="143" spans="1:31" s="73" customFormat="1">
      <c r="A143" s="241"/>
      <c r="B143" s="242"/>
      <c r="C143" s="243"/>
      <c r="D143" s="244"/>
      <c r="E143" s="244"/>
      <c r="F143" s="244"/>
      <c r="G143" s="244"/>
      <c r="H143" s="244"/>
      <c r="I143" s="243"/>
      <c r="J143" s="243"/>
      <c r="K143" s="244"/>
      <c r="L143" s="244"/>
      <c r="M143" s="244"/>
      <c r="N143" s="243"/>
      <c r="O143" s="314"/>
      <c r="P143" s="244"/>
      <c r="Q143" s="243"/>
      <c r="R143" s="243"/>
      <c r="S143" s="243"/>
      <c r="T143" s="312"/>
      <c r="U143" s="312"/>
      <c r="V143" s="312"/>
      <c r="W143" s="312"/>
      <c r="X143" s="312"/>
      <c r="Y143" s="312"/>
      <c r="Z143" s="312"/>
      <c r="AA143" s="360"/>
      <c r="AB143" s="444"/>
      <c r="AC143" s="444"/>
      <c r="AD143" s="444"/>
      <c r="AE143" s="334"/>
    </row>
    <row r="144" spans="1:31" s="73" customFormat="1">
      <c r="A144" s="241"/>
      <c r="B144" s="242"/>
      <c r="C144" s="243"/>
      <c r="D144" s="244"/>
      <c r="E144" s="244"/>
      <c r="F144" s="244"/>
      <c r="G144" s="244"/>
      <c r="H144" s="244"/>
      <c r="I144" s="243"/>
      <c r="J144" s="243"/>
      <c r="K144" s="244"/>
      <c r="L144" s="244"/>
      <c r="M144" s="244"/>
      <c r="N144" s="243"/>
      <c r="O144" s="314"/>
      <c r="P144" s="244"/>
      <c r="Q144" s="243"/>
      <c r="R144" s="243"/>
      <c r="S144" s="243"/>
      <c r="T144" s="312"/>
      <c r="U144" s="312"/>
      <c r="V144" s="312"/>
      <c r="W144" s="312"/>
      <c r="X144" s="312"/>
      <c r="Y144" s="312"/>
      <c r="Z144" s="312"/>
      <c r="AA144" s="360"/>
      <c r="AB144" s="444"/>
      <c r="AC144" s="444"/>
      <c r="AD144" s="444"/>
      <c r="AE144" s="334"/>
    </row>
    <row r="145" spans="1:31" s="73" customFormat="1">
      <c r="A145" s="241"/>
      <c r="B145" s="245"/>
      <c r="C145" s="253"/>
      <c r="D145" s="254"/>
      <c r="E145" s="254"/>
      <c r="F145" s="734"/>
      <c r="G145" s="254"/>
      <c r="H145" s="734"/>
      <c r="I145" s="253"/>
      <c r="J145" s="253"/>
      <c r="K145" s="254"/>
      <c r="L145" s="254"/>
      <c r="M145" s="254"/>
      <c r="N145" s="253"/>
      <c r="O145" s="356"/>
      <c r="P145" s="254"/>
      <c r="Q145" s="253"/>
      <c r="R145" s="253"/>
      <c r="S145" s="253"/>
      <c r="T145" s="313"/>
      <c r="U145" s="313"/>
      <c r="V145" s="313"/>
      <c r="W145" s="313"/>
      <c r="X145" s="313"/>
      <c r="Y145" s="313"/>
      <c r="Z145" s="313"/>
      <c r="AA145" s="359"/>
      <c r="AB145" s="445"/>
      <c r="AC145" s="445"/>
      <c r="AD145" s="445"/>
      <c r="AE145" s="334"/>
    </row>
    <row r="146" spans="1:31" s="73" customFormat="1">
      <c r="A146" s="241"/>
      <c r="B146" s="242"/>
      <c r="C146" s="243"/>
      <c r="D146" s="244"/>
      <c r="E146" s="244"/>
      <c r="F146" s="244"/>
      <c r="G146" s="244"/>
      <c r="H146" s="244"/>
      <c r="I146" s="243"/>
      <c r="J146" s="243"/>
      <c r="K146" s="244"/>
      <c r="L146" s="244"/>
      <c r="M146" s="244"/>
      <c r="N146" s="243"/>
      <c r="O146" s="314"/>
      <c r="P146" s="244"/>
      <c r="Q146" s="243"/>
      <c r="R146" s="243"/>
      <c r="S146" s="243"/>
      <c r="T146" s="312"/>
      <c r="U146" s="312"/>
      <c r="V146" s="312"/>
      <c r="W146" s="312"/>
      <c r="X146" s="312"/>
      <c r="Y146" s="312"/>
      <c r="Z146" s="312"/>
      <c r="AA146" s="360"/>
      <c r="AB146" s="444"/>
      <c r="AC146" s="444"/>
      <c r="AD146" s="444"/>
      <c r="AE146" s="334"/>
    </row>
    <row r="147" spans="1:31" s="73" customFormat="1">
      <c r="A147" s="241"/>
      <c r="B147" s="242"/>
      <c r="C147" s="243"/>
      <c r="D147" s="244"/>
      <c r="E147" s="244"/>
      <c r="F147" s="244"/>
      <c r="G147" s="244"/>
      <c r="H147" s="244"/>
      <c r="I147" s="243"/>
      <c r="J147" s="243"/>
      <c r="K147" s="244"/>
      <c r="L147" s="244"/>
      <c r="M147" s="244"/>
      <c r="N147" s="243"/>
      <c r="O147" s="314"/>
      <c r="P147" s="244"/>
      <c r="Q147" s="243"/>
      <c r="R147" s="243"/>
      <c r="S147" s="243"/>
      <c r="T147" s="312"/>
      <c r="U147" s="312"/>
      <c r="V147" s="312"/>
      <c r="W147" s="312"/>
      <c r="X147" s="312"/>
      <c r="Y147" s="312"/>
      <c r="Z147" s="312"/>
      <c r="AA147" s="360"/>
      <c r="AB147" s="444"/>
      <c r="AC147" s="444"/>
      <c r="AD147" s="444"/>
      <c r="AE147" s="334"/>
    </row>
    <row r="148" spans="1:31" s="73" customFormat="1">
      <c r="A148" s="246"/>
      <c r="B148" s="311"/>
      <c r="C148" s="253"/>
      <c r="D148" s="254"/>
      <c r="E148" s="254"/>
      <c r="F148" s="254"/>
      <c r="G148" s="254"/>
      <c r="H148" s="254"/>
      <c r="I148" s="253"/>
      <c r="J148" s="253"/>
      <c r="K148" s="254"/>
      <c r="L148" s="254"/>
      <c r="M148" s="254"/>
      <c r="N148" s="253"/>
      <c r="O148" s="356"/>
      <c r="P148" s="254"/>
      <c r="Q148" s="253"/>
      <c r="R148" s="253"/>
      <c r="S148" s="253"/>
      <c r="T148" s="313"/>
      <c r="U148" s="313"/>
      <c r="V148" s="313"/>
      <c r="W148" s="313"/>
      <c r="X148" s="313"/>
      <c r="Y148" s="313"/>
      <c r="Z148" s="313"/>
      <c r="AA148" s="359"/>
      <c r="AB148" s="445"/>
      <c r="AC148" s="445"/>
      <c r="AD148" s="445"/>
      <c r="AE148" s="334"/>
    </row>
    <row r="149" spans="1:31" s="73" customFormat="1">
      <c r="A149" s="342"/>
      <c r="B149" s="340"/>
      <c r="C149" s="337"/>
      <c r="D149" s="341"/>
      <c r="E149" s="341"/>
      <c r="F149" s="341"/>
      <c r="G149" s="341"/>
      <c r="H149" s="341"/>
      <c r="I149" s="337"/>
      <c r="J149" s="337"/>
      <c r="K149" s="341"/>
      <c r="L149" s="341"/>
      <c r="M149" s="341"/>
      <c r="N149" s="337"/>
      <c r="O149" s="337"/>
      <c r="P149" s="341"/>
      <c r="Q149" s="337"/>
      <c r="R149" s="337"/>
      <c r="S149" s="337"/>
      <c r="T149" s="349"/>
      <c r="U149" s="349"/>
      <c r="V149" s="349"/>
      <c r="W149" s="349"/>
      <c r="X149" s="349"/>
      <c r="Y149" s="349"/>
      <c r="Z149" s="349"/>
      <c r="AA149" s="357"/>
      <c r="AB149" s="444"/>
      <c r="AC149" s="444"/>
      <c r="AD149" s="444"/>
      <c r="AE149" s="334"/>
    </row>
    <row r="150" spans="1:31" s="73" customFormat="1">
      <c r="A150" s="241"/>
      <c r="B150" s="242"/>
      <c r="C150" s="243"/>
      <c r="D150" s="244"/>
      <c r="E150" s="244"/>
      <c r="F150" s="244"/>
      <c r="G150" s="244"/>
      <c r="H150" s="244"/>
      <c r="I150" s="243"/>
      <c r="J150" s="243"/>
      <c r="K150" s="244"/>
      <c r="L150" s="244"/>
      <c r="M150" s="244"/>
      <c r="N150" s="243"/>
      <c r="O150" s="243"/>
      <c r="P150" s="244"/>
      <c r="Q150" s="243"/>
      <c r="R150" s="243"/>
      <c r="S150" s="243"/>
      <c r="T150" s="312"/>
      <c r="U150" s="312"/>
      <c r="V150" s="312"/>
      <c r="W150" s="312"/>
      <c r="X150" s="312"/>
      <c r="Y150" s="312"/>
      <c r="Z150" s="312"/>
      <c r="AA150" s="358"/>
      <c r="AB150" s="444"/>
      <c r="AC150" s="444"/>
      <c r="AD150" s="444"/>
      <c r="AE150" s="334"/>
    </row>
    <row r="151" spans="1:31" s="73" customFormat="1">
      <c r="A151" s="241"/>
      <c r="B151" s="245"/>
      <c r="C151" s="253"/>
      <c r="D151" s="254"/>
      <c r="E151" s="254"/>
      <c r="F151" s="254"/>
      <c r="G151" s="254"/>
      <c r="H151" s="254"/>
      <c r="I151" s="253"/>
      <c r="J151" s="253"/>
      <c r="K151" s="734"/>
      <c r="L151" s="734"/>
      <c r="M151" s="254"/>
      <c r="N151" s="253"/>
      <c r="O151" s="356"/>
      <c r="P151" s="254"/>
      <c r="Q151" s="253"/>
      <c r="R151" s="253"/>
      <c r="S151" s="253"/>
      <c r="T151" s="313"/>
      <c r="U151" s="313"/>
      <c r="V151" s="313"/>
      <c r="W151" s="313"/>
      <c r="X151" s="313"/>
      <c r="Y151" s="313"/>
      <c r="Z151" s="313"/>
      <c r="AA151" s="359"/>
      <c r="AB151" s="445"/>
      <c r="AC151" s="445"/>
      <c r="AD151" s="445"/>
      <c r="AE151" s="334"/>
    </row>
    <row r="152" spans="1:31" s="73" customFormat="1">
      <c r="A152" s="241"/>
      <c r="B152" s="242"/>
      <c r="C152" s="243"/>
      <c r="D152" s="244"/>
      <c r="E152" s="244"/>
      <c r="F152" s="244"/>
      <c r="G152" s="244"/>
      <c r="H152" s="244"/>
      <c r="I152" s="243"/>
      <c r="J152" s="243"/>
      <c r="K152" s="244"/>
      <c r="L152" s="244"/>
      <c r="M152" s="244"/>
      <c r="N152" s="243"/>
      <c r="O152" s="314"/>
      <c r="P152" s="244"/>
      <c r="Q152" s="243"/>
      <c r="R152" s="243"/>
      <c r="S152" s="243"/>
      <c r="T152" s="312"/>
      <c r="U152" s="312"/>
      <c r="V152" s="312"/>
      <c r="W152" s="312"/>
      <c r="X152" s="312"/>
      <c r="Y152" s="312"/>
      <c r="Z152" s="312"/>
      <c r="AA152" s="360"/>
      <c r="AB152" s="444"/>
      <c r="AC152" s="444"/>
      <c r="AD152" s="444"/>
      <c r="AE152" s="334"/>
    </row>
    <row r="153" spans="1:31" s="73" customFormat="1">
      <c r="A153" s="241"/>
      <c r="B153" s="242"/>
      <c r="C153" s="243"/>
      <c r="D153" s="244"/>
      <c r="E153" s="244"/>
      <c r="F153" s="244"/>
      <c r="G153" s="244"/>
      <c r="H153" s="244"/>
      <c r="I153" s="243"/>
      <c r="J153" s="243"/>
      <c r="K153" s="244"/>
      <c r="L153" s="244"/>
      <c r="M153" s="244"/>
      <c r="N153" s="243"/>
      <c r="O153" s="314"/>
      <c r="P153" s="244"/>
      <c r="Q153" s="243"/>
      <c r="R153" s="243"/>
      <c r="S153" s="243"/>
      <c r="T153" s="312"/>
      <c r="U153" s="312"/>
      <c r="V153" s="312"/>
      <c r="W153" s="312"/>
      <c r="X153" s="312"/>
      <c r="Y153" s="312"/>
      <c r="Z153" s="312"/>
      <c r="AA153" s="360"/>
      <c r="AB153" s="444"/>
      <c r="AC153" s="444"/>
      <c r="AD153" s="444"/>
      <c r="AE153" s="334"/>
    </row>
    <row r="154" spans="1:31" s="73" customFormat="1">
      <c r="A154" s="241"/>
      <c r="B154" s="245"/>
      <c r="C154" s="253"/>
      <c r="D154" s="254"/>
      <c r="E154" s="254"/>
      <c r="F154" s="254"/>
      <c r="G154" s="254"/>
      <c r="H154" s="254"/>
      <c r="I154" s="253"/>
      <c r="J154" s="253"/>
      <c r="K154" s="254"/>
      <c r="L154" s="254"/>
      <c r="M154" s="254"/>
      <c r="N154" s="253"/>
      <c r="O154" s="356"/>
      <c r="P154" s="254"/>
      <c r="Q154" s="253"/>
      <c r="R154" s="253"/>
      <c r="S154" s="253"/>
      <c r="T154" s="313"/>
      <c r="U154" s="313"/>
      <c r="V154" s="313"/>
      <c r="W154" s="313"/>
      <c r="X154" s="313"/>
      <c r="Y154" s="313"/>
      <c r="Z154" s="313"/>
      <c r="AA154" s="359"/>
      <c r="AB154" s="445"/>
      <c r="AC154" s="445"/>
      <c r="AD154" s="445"/>
      <c r="AE154" s="334"/>
    </row>
    <row r="155" spans="1:31" s="73" customFormat="1">
      <c r="A155" s="241"/>
      <c r="B155" s="242"/>
      <c r="C155" s="243"/>
      <c r="D155" s="244"/>
      <c r="E155" s="244"/>
      <c r="F155" s="244"/>
      <c r="G155" s="244"/>
      <c r="H155" s="244"/>
      <c r="I155" s="243"/>
      <c r="J155" s="243"/>
      <c r="K155" s="244"/>
      <c r="L155" s="244"/>
      <c r="M155" s="244"/>
      <c r="N155" s="243"/>
      <c r="O155" s="314"/>
      <c r="P155" s="244"/>
      <c r="Q155" s="243"/>
      <c r="R155" s="243"/>
      <c r="S155" s="243"/>
      <c r="T155" s="312"/>
      <c r="U155" s="312"/>
      <c r="V155" s="312"/>
      <c r="W155" s="312"/>
      <c r="X155" s="312"/>
      <c r="Y155" s="312"/>
      <c r="Z155" s="312"/>
      <c r="AA155" s="360"/>
      <c r="AB155" s="444"/>
      <c r="AC155" s="444"/>
      <c r="AD155" s="444"/>
      <c r="AE155" s="334"/>
    </row>
    <row r="156" spans="1:31" s="73" customFormat="1">
      <c r="A156" s="241"/>
      <c r="B156" s="242"/>
      <c r="C156" s="243"/>
      <c r="D156" s="244"/>
      <c r="E156" s="244"/>
      <c r="F156" s="244"/>
      <c r="G156" s="244"/>
      <c r="H156" s="244"/>
      <c r="I156" s="243"/>
      <c r="J156" s="243"/>
      <c r="K156" s="244"/>
      <c r="L156" s="244"/>
      <c r="M156" s="244"/>
      <c r="N156" s="243"/>
      <c r="O156" s="314"/>
      <c r="P156" s="244"/>
      <c r="Q156" s="243"/>
      <c r="R156" s="243"/>
      <c r="S156" s="243"/>
      <c r="T156" s="312"/>
      <c r="U156" s="312"/>
      <c r="V156" s="312"/>
      <c r="W156" s="312"/>
      <c r="X156" s="312"/>
      <c r="Y156" s="312"/>
      <c r="Z156" s="312"/>
      <c r="AA156" s="360"/>
      <c r="AB156" s="444"/>
      <c r="AC156" s="444"/>
      <c r="AD156" s="444"/>
      <c r="AE156" s="334"/>
    </row>
    <row r="157" spans="1:31" s="73" customFormat="1">
      <c r="A157" s="241"/>
      <c r="B157" s="245"/>
      <c r="C157" s="253"/>
      <c r="D157" s="254"/>
      <c r="E157" s="254"/>
      <c r="F157" s="254"/>
      <c r="G157" s="254"/>
      <c r="H157" s="254"/>
      <c r="I157" s="253"/>
      <c r="J157" s="253"/>
      <c r="K157" s="254"/>
      <c r="L157" s="254"/>
      <c r="M157" s="254"/>
      <c r="N157" s="253"/>
      <c r="O157" s="356"/>
      <c r="P157" s="254"/>
      <c r="Q157" s="253"/>
      <c r="R157" s="253"/>
      <c r="S157" s="253"/>
      <c r="T157" s="313"/>
      <c r="U157" s="313"/>
      <c r="V157" s="313"/>
      <c r="W157" s="313"/>
      <c r="X157" s="313"/>
      <c r="Y157" s="313"/>
      <c r="Z157" s="313"/>
      <c r="AA157" s="359"/>
      <c r="AB157" s="445"/>
      <c r="AC157" s="445"/>
      <c r="AD157" s="445"/>
      <c r="AE157" s="334"/>
    </row>
    <row r="158" spans="1:31" s="73" customFormat="1">
      <c r="A158" s="241"/>
      <c r="B158" s="242"/>
      <c r="C158" s="243"/>
      <c r="D158" s="244"/>
      <c r="E158" s="244"/>
      <c r="F158" s="244"/>
      <c r="G158" s="244"/>
      <c r="H158" s="244"/>
      <c r="I158" s="243"/>
      <c r="J158" s="243"/>
      <c r="K158" s="244"/>
      <c r="L158" s="244"/>
      <c r="M158" s="244"/>
      <c r="N158" s="243"/>
      <c r="O158" s="314"/>
      <c r="P158" s="244"/>
      <c r="Q158" s="243"/>
      <c r="R158" s="243"/>
      <c r="S158" s="243"/>
      <c r="T158" s="312"/>
      <c r="U158" s="312"/>
      <c r="V158" s="312"/>
      <c r="W158" s="312"/>
      <c r="X158" s="312"/>
      <c r="Y158" s="312"/>
      <c r="Z158" s="312"/>
      <c r="AA158" s="360"/>
      <c r="AB158" s="444"/>
      <c r="AC158" s="444"/>
      <c r="AD158" s="444"/>
      <c r="AE158" s="334"/>
    </row>
    <row r="159" spans="1:31" s="73" customFormat="1">
      <c r="A159" s="241"/>
      <c r="B159" s="242"/>
      <c r="C159" s="243"/>
      <c r="D159" s="244"/>
      <c r="E159" s="244"/>
      <c r="F159" s="244"/>
      <c r="G159" s="244"/>
      <c r="H159" s="244"/>
      <c r="I159" s="243"/>
      <c r="J159" s="243"/>
      <c r="K159" s="244"/>
      <c r="L159" s="244"/>
      <c r="M159" s="244"/>
      <c r="N159" s="243"/>
      <c r="O159" s="314"/>
      <c r="P159" s="244"/>
      <c r="Q159" s="243"/>
      <c r="R159" s="243"/>
      <c r="S159" s="243"/>
      <c r="T159" s="312"/>
      <c r="U159" s="312"/>
      <c r="V159" s="312"/>
      <c r="W159" s="312"/>
      <c r="X159" s="312"/>
      <c r="Y159" s="312"/>
      <c r="Z159" s="312"/>
      <c r="AA159" s="360"/>
      <c r="AB159" s="444"/>
      <c r="AC159" s="444"/>
      <c r="AD159" s="444"/>
      <c r="AE159" s="334"/>
    </row>
    <row r="160" spans="1:31" s="73" customFormat="1">
      <c r="A160" s="246"/>
      <c r="B160" s="311"/>
      <c r="C160" s="253"/>
      <c r="D160" s="254"/>
      <c r="E160" s="254"/>
      <c r="F160" s="254"/>
      <c r="G160" s="254"/>
      <c r="H160" s="254"/>
      <c r="I160" s="253"/>
      <c r="J160" s="253"/>
      <c r="K160" s="254"/>
      <c r="L160" s="254"/>
      <c r="M160" s="254"/>
      <c r="N160" s="253"/>
      <c r="O160" s="356"/>
      <c r="P160" s="254"/>
      <c r="Q160" s="253"/>
      <c r="R160" s="253"/>
      <c r="S160" s="253"/>
      <c r="T160" s="313"/>
      <c r="U160" s="313"/>
      <c r="V160" s="313"/>
      <c r="W160" s="313"/>
      <c r="X160" s="313"/>
      <c r="Y160" s="313"/>
      <c r="Z160" s="313"/>
      <c r="AA160" s="359"/>
      <c r="AB160" s="445"/>
      <c r="AC160" s="445"/>
      <c r="AD160" s="445"/>
      <c r="AE160" s="334"/>
    </row>
    <row r="161" spans="1:31" s="73" customFormat="1">
      <c r="A161" s="342"/>
      <c r="B161" s="340"/>
      <c r="C161" s="337"/>
      <c r="D161" s="341"/>
      <c r="E161" s="341"/>
      <c r="F161" s="341"/>
      <c r="G161" s="341"/>
      <c r="H161" s="341"/>
      <c r="I161" s="337"/>
      <c r="J161" s="337"/>
      <c r="K161" s="341"/>
      <c r="L161" s="341"/>
      <c r="M161" s="341"/>
      <c r="N161" s="337"/>
      <c r="O161" s="337"/>
      <c r="P161" s="341"/>
      <c r="Q161" s="337"/>
      <c r="R161" s="337"/>
      <c r="S161" s="337"/>
      <c r="T161" s="349"/>
      <c r="U161" s="349"/>
      <c r="V161" s="349"/>
      <c r="W161" s="349"/>
      <c r="X161" s="349"/>
      <c r="Y161" s="349"/>
      <c r="Z161" s="349"/>
      <c r="AA161" s="357"/>
      <c r="AB161" s="444"/>
      <c r="AC161" s="444"/>
      <c r="AD161" s="444"/>
      <c r="AE161" s="334"/>
    </row>
    <row r="162" spans="1:31" s="73" customFormat="1">
      <c r="A162" s="241"/>
      <c r="B162" s="242"/>
      <c r="C162" s="243"/>
      <c r="D162" s="244"/>
      <c r="E162" s="244"/>
      <c r="F162" s="244"/>
      <c r="G162" s="244"/>
      <c r="H162" s="244"/>
      <c r="I162" s="243"/>
      <c r="J162" s="243"/>
      <c r="K162" s="244"/>
      <c r="L162" s="244"/>
      <c r="M162" s="244"/>
      <c r="N162" s="243"/>
      <c r="O162" s="243"/>
      <c r="P162" s="244"/>
      <c r="Q162" s="243"/>
      <c r="R162" s="243"/>
      <c r="S162" s="243"/>
      <c r="T162" s="312"/>
      <c r="U162" s="312"/>
      <c r="V162" s="312"/>
      <c r="W162" s="312"/>
      <c r="X162" s="312"/>
      <c r="Y162" s="312"/>
      <c r="Z162" s="312"/>
      <c r="AA162" s="358"/>
      <c r="AB162" s="444"/>
      <c r="AC162" s="444"/>
      <c r="AD162" s="444"/>
      <c r="AE162" s="334"/>
    </row>
    <row r="163" spans="1:31" s="73" customFormat="1">
      <c r="A163" s="241"/>
      <c r="B163" s="245"/>
      <c r="C163" s="253"/>
      <c r="D163" s="254"/>
      <c r="E163" s="254"/>
      <c r="F163" s="254"/>
      <c r="G163" s="254"/>
      <c r="H163" s="254"/>
      <c r="I163" s="253"/>
      <c r="J163" s="253"/>
      <c r="K163" s="254"/>
      <c r="L163" s="734"/>
      <c r="M163" s="254"/>
      <c r="N163" s="253"/>
      <c r="O163" s="817"/>
      <c r="P163" s="734"/>
      <c r="Q163" s="253"/>
      <c r="R163" s="253"/>
      <c r="S163" s="253"/>
      <c r="T163" s="313"/>
      <c r="U163" s="313"/>
      <c r="V163" s="313"/>
      <c r="W163" s="313"/>
      <c r="X163" s="313"/>
      <c r="Y163" s="313"/>
      <c r="Z163" s="313"/>
      <c r="AA163" s="359"/>
      <c r="AB163" s="445"/>
      <c r="AC163" s="445"/>
      <c r="AD163" s="445"/>
      <c r="AE163" s="334"/>
    </row>
    <row r="164" spans="1:31" s="73" customFormat="1">
      <c r="A164" s="241"/>
      <c r="B164" s="242"/>
      <c r="C164" s="243"/>
      <c r="D164" s="244"/>
      <c r="E164" s="244"/>
      <c r="F164" s="244"/>
      <c r="G164" s="244"/>
      <c r="H164" s="244"/>
      <c r="I164" s="243"/>
      <c r="J164" s="243"/>
      <c r="K164" s="244"/>
      <c r="L164" s="244"/>
      <c r="M164" s="244"/>
      <c r="N164" s="243"/>
      <c r="O164" s="314"/>
      <c r="P164" s="244"/>
      <c r="Q164" s="243"/>
      <c r="R164" s="243"/>
      <c r="S164" s="243"/>
      <c r="T164" s="312"/>
      <c r="U164" s="312"/>
      <c r="V164" s="312"/>
      <c r="W164" s="312"/>
      <c r="X164" s="312"/>
      <c r="Y164" s="312"/>
      <c r="Z164" s="312"/>
      <c r="AA164" s="360"/>
      <c r="AB164" s="444"/>
      <c r="AC164" s="444"/>
      <c r="AD164" s="444"/>
      <c r="AE164" s="334"/>
    </row>
    <row r="165" spans="1:31" s="73" customFormat="1">
      <c r="A165" s="241"/>
      <c r="B165" s="242"/>
      <c r="C165" s="243"/>
      <c r="D165" s="244"/>
      <c r="E165" s="244"/>
      <c r="F165" s="244"/>
      <c r="G165" s="244"/>
      <c r="H165" s="244"/>
      <c r="I165" s="243"/>
      <c r="J165" s="243"/>
      <c r="K165" s="244"/>
      <c r="L165" s="244"/>
      <c r="M165" s="244"/>
      <c r="N165" s="243"/>
      <c r="O165" s="314"/>
      <c r="P165" s="244"/>
      <c r="Q165" s="243"/>
      <c r="R165" s="243"/>
      <c r="S165" s="243"/>
      <c r="T165" s="312"/>
      <c r="U165" s="312"/>
      <c r="V165" s="312"/>
      <c r="W165" s="312"/>
      <c r="X165" s="312"/>
      <c r="Y165" s="312"/>
      <c r="Z165" s="312"/>
      <c r="AA165" s="360"/>
      <c r="AB165" s="444"/>
      <c r="AC165" s="444"/>
      <c r="AD165" s="444"/>
      <c r="AE165" s="334"/>
    </row>
    <row r="166" spans="1:31" s="73" customFormat="1">
      <c r="A166" s="241"/>
      <c r="B166" s="245"/>
      <c r="C166" s="253"/>
      <c r="D166" s="254"/>
      <c r="E166" s="254"/>
      <c r="F166" s="254"/>
      <c r="G166" s="254"/>
      <c r="H166" s="254"/>
      <c r="I166" s="253"/>
      <c r="J166" s="733"/>
      <c r="K166" s="254"/>
      <c r="L166" s="254"/>
      <c r="M166" s="254"/>
      <c r="N166" s="253"/>
      <c r="O166" s="817"/>
      <c r="P166" s="734"/>
      <c r="Q166" s="253"/>
      <c r="R166" s="253"/>
      <c r="S166" s="253"/>
      <c r="T166" s="313"/>
      <c r="U166" s="313"/>
      <c r="V166" s="313"/>
      <c r="W166" s="313"/>
      <c r="X166" s="313"/>
      <c r="Y166" s="313"/>
      <c r="Z166" s="313"/>
      <c r="AA166" s="359"/>
      <c r="AB166" s="445"/>
      <c r="AC166" s="445"/>
      <c r="AD166" s="445"/>
      <c r="AE166" s="334"/>
    </row>
    <row r="167" spans="1:31" s="73" customFormat="1">
      <c r="A167" s="241"/>
      <c r="B167" s="242"/>
      <c r="C167" s="243"/>
      <c r="D167" s="244"/>
      <c r="E167" s="244"/>
      <c r="F167" s="244"/>
      <c r="G167" s="244"/>
      <c r="H167" s="244"/>
      <c r="I167" s="243"/>
      <c r="J167" s="243"/>
      <c r="K167" s="244"/>
      <c r="L167" s="244"/>
      <c r="M167" s="244"/>
      <c r="N167" s="243"/>
      <c r="O167" s="314"/>
      <c r="P167" s="244"/>
      <c r="Q167" s="243"/>
      <c r="R167" s="243"/>
      <c r="S167" s="243"/>
      <c r="T167" s="312"/>
      <c r="U167" s="312"/>
      <c r="V167" s="312"/>
      <c r="W167" s="312"/>
      <c r="X167" s="312"/>
      <c r="Y167" s="312"/>
      <c r="Z167" s="312"/>
      <c r="AA167" s="360"/>
      <c r="AB167" s="444"/>
      <c r="AC167" s="444"/>
      <c r="AD167" s="444"/>
      <c r="AE167" s="334"/>
    </row>
    <row r="168" spans="1:31" s="73" customFormat="1">
      <c r="A168" s="241"/>
      <c r="B168" s="242"/>
      <c r="C168" s="243"/>
      <c r="D168" s="244"/>
      <c r="E168" s="244"/>
      <c r="F168" s="244"/>
      <c r="G168" s="244"/>
      <c r="H168" s="244"/>
      <c r="I168" s="243"/>
      <c r="J168" s="243"/>
      <c r="K168" s="244"/>
      <c r="L168" s="244"/>
      <c r="M168" s="244"/>
      <c r="N168" s="243"/>
      <c r="O168" s="314"/>
      <c r="P168" s="244"/>
      <c r="Q168" s="243"/>
      <c r="R168" s="243"/>
      <c r="S168" s="243"/>
      <c r="T168" s="312"/>
      <c r="U168" s="312"/>
      <c r="V168" s="312"/>
      <c r="W168" s="312"/>
      <c r="X168" s="312"/>
      <c r="Y168" s="312"/>
      <c r="Z168" s="312"/>
      <c r="AA168" s="360"/>
      <c r="AB168" s="444"/>
      <c r="AC168" s="444"/>
      <c r="AD168" s="444"/>
      <c r="AE168" s="334"/>
    </row>
    <row r="169" spans="1:31" s="73" customFormat="1">
      <c r="A169" s="241"/>
      <c r="B169" s="245"/>
      <c r="C169" s="253"/>
      <c r="D169" s="254"/>
      <c r="E169" s="254"/>
      <c r="F169" s="254"/>
      <c r="G169" s="254"/>
      <c r="H169" s="254"/>
      <c r="I169" s="253"/>
      <c r="J169" s="253"/>
      <c r="K169" s="254"/>
      <c r="L169" s="254"/>
      <c r="M169" s="254"/>
      <c r="N169" s="253"/>
      <c r="O169" s="356"/>
      <c r="P169" s="254"/>
      <c r="Q169" s="253"/>
      <c r="R169" s="253"/>
      <c r="S169" s="253"/>
      <c r="T169" s="313"/>
      <c r="U169" s="313"/>
      <c r="V169" s="313"/>
      <c r="W169" s="313"/>
      <c r="X169" s="313"/>
      <c r="Y169" s="313"/>
      <c r="Z169" s="313"/>
      <c r="AA169" s="359"/>
      <c r="AB169" s="445"/>
      <c r="AC169" s="445"/>
      <c r="AD169" s="445"/>
      <c r="AE169" s="334"/>
    </row>
    <row r="170" spans="1:31" s="73" customFormat="1">
      <c r="A170" s="241"/>
      <c r="B170" s="242"/>
      <c r="C170" s="243"/>
      <c r="D170" s="244"/>
      <c r="E170" s="244"/>
      <c r="F170" s="244"/>
      <c r="G170" s="244"/>
      <c r="H170" s="244"/>
      <c r="I170" s="243"/>
      <c r="J170" s="243"/>
      <c r="K170" s="244"/>
      <c r="L170" s="244"/>
      <c r="M170" s="244"/>
      <c r="N170" s="243"/>
      <c r="O170" s="314"/>
      <c r="P170" s="244"/>
      <c r="Q170" s="243"/>
      <c r="R170" s="243"/>
      <c r="S170" s="243"/>
      <c r="T170" s="312"/>
      <c r="U170" s="312"/>
      <c r="V170" s="312"/>
      <c r="W170" s="312"/>
      <c r="X170" s="312"/>
      <c r="Y170" s="312"/>
      <c r="Z170" s="312"/>
      <c r="AA170" s="360"/>
      <c r="AB170" s="444"/>
      <c r="AC170" s="444"/>
      <c r="AD170" s="444"/>
      <c r="AE170" s="334"/>
    </row>
    <row r="171" spans="1:31" s="73" customFormat="1">
      <c r="A171" s="241"/>
      <c r="B171" s="242"/>
      <c r="C171" s="243"/>
      <c r="D171" s="244"/>
      <c r="E171" s="244"/>
      <c r="F171" s="244"/>
      <c r="G171" s="244"/>
      <c r="H171" s="244"/>
      <c r="I171" s="243"/>
      <c r="J171" s="243"/>
      <c r="K171" s="244"/>
      <c r="L171" s="244"/>
      <c r="M171" s="244"/>
      <c r="N171" s="243"/>
      <c r="O171" s="314"/>
      <c r="P171" s="244"/>
      <c r="Q171" s="243"/>
      <c r="R171" s="243"/>
      <c r="S171" s="243"/>
      <c r="T171" s="312"/>
      <c r="U171" s="312"/>
      <c r="V171" s="312"/>
      <c r="W171" s="312"/>
      <c r="X171" s="312"/>
      <c r="Y171" s="312"/>
      <c r="Z171" s="312"/>
      <c r="AA171" s="360"/>
      <c r="AB171" s="444"/>
      <c r="AC171" s="444"/>
      <c r="AD171" s="444"/>
      <c r="AE171" s="334"/>
    </row>
    <row r="172" spans="1:31" s="73" customFormat="1">
      <c r="A172" s="246"/>
      <c r="B172" s="311"/>
      <c r="C172" s="253"/>
      <c r="D172" s="254"/>
      <c r="E172" s="254"/>
      <c r="F172" s="254"/>
      <c r="G172" s="254"/>
      <c r="H172" s="254"/>
      <c r="I172" s="253"/>
      <c r="J172" s="253"/>
      <c r="K172" s="254"/>
      <c r="L172" s="254"/>
      <c r="M172" s="254"/>
      <c r="N172" s="253"/>
      <c r="O172" s="356"/>
      <c r="P172" s="254"/>
      <c r="Q172" s="253"/>
      <c r="R172" s="253"/>
      <c r="S172" s="253"/>
      <c r="T172" s="313"/>
      <c r="U172" s="313"/>
      <c r="V172" s="313"/>
      <c r="W172" s="313"/>
      <c r="X172" s="313"/>
      <c r="Y172" s="313"/>
      <c r="Z172" s="313"/>
      <c r="AA172" s="359"/>
      <c r="AB172" s="445"/>
      <c r="AC172" s="445"/>
      <c r="AD172" s="445"/>
      <c r="AE172" s="334"/>
    </row>
    <row r="173" spans="1:31" s="73" customFormat="1">
      <c r="A173" s="342"/>
      <c r="B173" s="340"/>
      <c r="C173" s="337"/>
      <c r="D173" s="341"/>
      <c r="E173" s="341"/>
      <c r="F173" s="341"/>
      <c r="G173" s="341"/>
      <c r="H173" s="341"/>
      <c r="I173" s="337"/>
      <c r="J173" s="337"/>
      <c r="K173" s="341"/>
      <c r="L173" s="341"/>
      <c r="M173" s="341"/>
      <c r="N173" s="337"/>
      <c r="O173" s="337"/>
      <c r="P173" s="341"/>
      <c r="Q173" s="337"/>
      <c r="R173" s="337"/>
      <c r="S173" s="337"/>
      <c r="T173" s="349"/>
      <c r="U173" s="349"/>
      <c r="V173" s="349"/>
      <c r="W173" s="349"/>
      <c r="X173" s="349"/>
      <c r="Y173" s="349"/>
      <c r="Z173" s="349"/>
      <c r="AA173" s="357"/>
      <c r="AB173" s="444"/>
      <c r="AC173" s="444"/>
      <c r="AD173" s="444"/>
      <c r="AE173" s="334"/>
    </row>
    <row r="174" spans="1:31" s="73" customFormat="1">
      <c r="A174" s="241"/>
      <c r="B174" s="242"/>
      <c r="C174" s="243"/>
      <c r="D174" s="244"/>
      <c r="E174" s="244"/>
      <c r="F174" s="244"/>
      <c r="G174" s="244"/>
      <c r="H174" s="244"/>
      <c r="I174" s="243"/>
      <c r="J174" s="243"/>
      <c r="K174" s="244"/>
      <c r="L174" s="244"/>
      <c r="M174" s="244"/>
      <c r="N174" s="243"/>
      <c r="O174" s="243"/>
      <c r="P174" s="244"/>
      <c r="Q174" s="243"/>
      <c r="R174" s="243"/>
      <c r="S174" s="243"/>
      <c r="T174" s="312"/>
      <c r="U174" s="312"/>
      <c r="V174" s="312"/>
      <c r="W174" s="312"/>
      <c r="X174" s="312"/>
      <c r="Y174" s="312"/>
      <c r="Z174" s="312"/>
      <c r="AA174" s="358"/>
      <c r="AB174" s="444"/>
      <c r="AC174" s="444"/>
      <c r="AD174" s="444"/>
      <c r="AE174" s="334"/>
    </row>
    <row r="175" spans="1:31" s="73" customFormat="1">
      <c r="A175" s="241"/>
      <c r="B175" s="245"/>
      <c r="C175" s="253"/>
      <c r="D175" s="254"/>
      <c r="E175" s="254"/>
      <c r="F175" s="254"/>
      <c r="G175" s="254"/>
      <c r="H175" s="254"/>
      <c r="I175" s="253"/>
      <c r="J175" s="253"/>
      <c r="K175" s="254"/>
      <c r="L175" s="254"/>
      <c r="M175" s="254"/>
      <c r="N175" s="253"/>
      <c r="O175" s="817"/>
      <c r="P175" s="734"/>
      <c r="Q175" s="253"/>
      <c r="R175" s="253"/>
      <c r="S175" s="253"/>
      <c r="T175" s="313"/>
      <c r="U175" s="313"/>
      <c r="V175" s="313"/>
      <c r="W175" s="313"/>
      <c r="X175" s="313"/>
      <c r="Y175" s="313"/>
      <c r="Z175" s="313"/>
      <c r="AA175" s="359"/>
      <c r="AB175" s="445"/>
      <c r="AC175" s="445"/>
      <c r="AD175" s="445"/>
      <c r="AE175" s="334"/>
    </row>
    <row r="176" spans="1:31" s="73" customFormat="1">
      <c r="A176" s="241"/>
      <c r="B176" s="242"/>
      <c r="C176" s="243"/>
      <c r="D176" s="244"/>
      <c r="E176" s="244"/>
      <c r="F176" s="244"/>
      <c r="G176" s="244"/>
      <c r="H176" s="244"/>
      <c r="I176" s="243"/>
      <c r="J176" s="243"/>
      <c r="K176" s="244"/>
      <c r="L176" s="244"/>
      <c r="M176" s="244"/>
      <c r="N176" s="243"/>
      <c r="O176" s="314"/>
      <c r="P176" s="244"/>
      <c r="Q176" s="243"/>
      <c r="R176" s="243"/>
      <c r="S176" s="243"/>
      <c r="T176" s="312"/>
      <c r="U176" s="312"/>
      <c r="V176" s="312"/>
      <c r="W176" s="312"/>
      <c r="X176" s="312"/>
      <c r="Y176" s="312"/>
      <c r="Z176" s="312"/>
      <c r="AA176" s="360"/>
      <c r="AB176" s="444"/>
      <c r="AC176" s="444"/>
      <c r="AD176" s="444"/>
      <c r="AE176" s="334"/>
    </row>
    <row r="177" spans="1:33" s="73" customFormat="1">
      <c r="A177" s="241"/>
      <c r="B177" s="242"/>
      <c r="C177" s="243"/>
      <c r="D177" s="244"/>
      <c r="E177" s="244"/>
      <c r="F177" s="244"/>
      <c r="G177" s="244"/>
      <c r="H177" s="244"/>
      <c r="I177" s="243"/>
      <c r="J177" s="243"/>
      <c r="K177" s="244"/>
      <c r="L177" s="244"/>
      <c r="M177" s="244"/>
      <c r="N177" s="243"/>
      <c r="O177" s="314"/>
      <c r="P177" s="244"/>
      <c r="Q177" s="243"/>
      <c r="R177" s="243"/>
      <c r="S177" s="243"/>
      <c r="T177" s="312"/>
      <c r="U177" s="312"/>
      <c r="V177" s="312"/>
      <c r="W177" s="312"/>
      <c r="X177" s="312"/>
      <c r="Y177" s="312"/>
      <c r="Z177" s="312"/>
      <c r="AA177" s="360"/>
      <c r="AB177" s="444"/>
      <c r="AC177" s="444"/>
      <c r="AD177" s="444"/>
      <c r="AE177" s="334"/>
    </row>
    <row r="178" spans="1:33" s="73" customFormat="1">
      <c r="A178" s="241"/>
      <c r="B178" s="245"/>
      <c r="C178" s="253"/>
      <c r="D178" s="254"/>
      <c r="E178" s="254"/>
      <c r="F178" s="254"/>
      <c r="G178" s="254"/>
      <c r="H178" s="254"/>
      <c r="I178" s="253"/>
      <c r="J178" s="253"/>
      <c r="K178" s="254"/>
      <c r="L178" s="254"/>
      <c r="M178" s="254"/>
      <c r="N178" s="253"/>
      <c r="O178" s="356"/>
      <c r="P178" s="254"/>
      <c r="Q178" s="253"/>
      <c r="R178" s="253"/>
      <c r="S178" s="253"/>
      <c r="T178" s="313"/>
      <c r="U178" s="313"/>
      <c r="V178" s="313"/>
      <c r="W178" s="313"/>
      <c r="X178" s="313"/>
      <c r="Y178" s="313"/>
      <c r="Z178" s="313"/>
      <c r="AA178" s="359"/>
      <c r="AB178" s="445"/>
      <c r="AC178" s="445"/>
      <c r="AD178" s="445"/>
      <c r="AE178" s="334"/>
    </row>
    <row r="179" spans="1:33" s="73" customFormat="1">
      <c r="A179" s="241"/>
      <c r="B179" s="242"/>
      <c r="C179" s="243"/>
      <c r="D179" s="244"/>
      <c r="E179" s="244"/>
      <c r="F179" s="244"/>
      <c r="G179" s="244"/>
      <c r="H179" s="244"/>
      <c r="I179" s="243"/>
      <c r="J179" s="243"/>
      <c r="K179" s="244"/>
      <c r="L179" s="244"/>
      <c r="M179" s="244"/>
      <c r="N179" s="243"/>
      <c r="O179" s="314"/>
      <c r="P179" s="244"/>
      <c r="Q179" s="243"/>
      <c r="R179" s="243"/>
      <c r="S179" s="243"/>
      <c r="T179" s="312"/>
      <c r="U179" s="312"/>
      <c r="V179" s="312"/>
      <c r="W179" s="312"/>
      <c r="X179" s="312"/>
      <c r="Y179" s="312"/>
      <c r="Z179" s="312"/>
      <c r="AA179" s="360"/>
      <c r="AB179" s="444"/>
      <c r="AC179" s="444"/>
      <c r="AD179" s="444"/>
      <c r="AE179" s="334"/>
    </row>
    <row r="180" spans="1:33" s="73" customFormat="1">
      <c r="A180" s="241"/>
      <c r="B180" s="242"/>
      <c r="C180" s="243"/>
      <c r="D180" s="244"/>
      <c r="E180" s="244"/>
      <c r="F180" s="244"/>
      <c r="G180" s="244"/>
      <c r="H180" s="244"/>
      <c r="I180" s="243"/>
      <c r="J180" s="243"/>
      <c r="K180" s="244"/>
      <c r="L180" s="244"/>
      <c r="M180" s="244"/>
      <c r="N180" s="243"/>
      <c r="O180" s="314"/>
      <c r="P180" s="244"/>
      <c r="Q180" s="243"/>
      <c r="R180" s="243"/>
      <c r="S180" s="243"/>
      <c r="T180" s="312"/>
      <c r="U180" s="312"/>
      <c r="V180" s="312"/>
      <c r="W180" s="312"/>
      <c r="X180" s="312"/>
      <c r="Y180" s="312"/>
      <c r="Z180" s="312"/>
      <c r="AA180" s="360"/>
      <c r="AB180" s="444"/>
      <c r="AC180" s="444"/>
      <c r="AD180" s="444"/>
      <c r="AE180" s="334"/>
    </row>
    <row r="181" spans="1:33" s="73" customFormat="1">
      <c r="A181" s="241"/>
      <c r="B181" s="245"/>
      <c r="C181" s="253"/>
      <c r="D181" s="254"/>
      <c r="E181" s="254"/>
      <c r="F181" s="254"/>
      <c r="G181" s="254"/>
      <c r="H181" s="254"/>
      <c r="I181" s="253"/>
      <c r="J181" s="253"/>
      <c r="K181" s="254"/>
      <c r="L181" s="254"/>
      <c r="M181" s="254"/>
      <c r="N181" s="253"/>
      <c r="O181" s="356"/>
      <c r="P181" s="254"/>
      <c r="Q181" s="253"/>
      <c r="R181" s="253"/>
      <c r="S181" s="253"/>
      <c r="T181" s="313"/>
      <c r="U181" s="313"/>
      <c r="V181" s="313"/>
      <c r="W181" s="313"/>
      <c r="X181" s="313"/>
      <c r="Y181" s="313"/>
      <c r="Z181" s="313"/>
      <c r="AA181" s="359"/>
      <c r="AB181" s="445"/>
      <c r="AC181" s="445"/>
      <c r="AD181" s="445"/>
      <c r="AE181" s="334"/>
      <c r="AF181" s="216"/>
      <c r="AG181" s="309"/>
    </row>
    <row r="182" spans="1:33" s="73" customFormat="1">
      <c r="A182" s="241"/>
      <c r="B182" s="242"/>
      <c r="C182" s="243"/>
      <c r="D182" s="244"/>
      <c r="E182" s="244"/>
      <c r="F182" s="244"/>
      <c r="G182" s="244"/>
      <c r="H182" s="244"/>
      <c r="I182" s="243"/>
      <c r="J182" s="243"/>
      <c r="K182" s="244"/>
      <c r="L182" s="244"/>
      <c r="M182" s="244"/>
      <c r="N182" s="243"/>
      <c r="O182" s="314"/>
      <c r="P182" s="244"/>
      <c r="Q182" s="243"/>
      <c r="R182" s="243"/>
      <c r="S182" s="243"/>
      <c r="T182" s="312"/>
      <c r="U182" s="312"/>
      <c r="V182" s="312"/>
      <c r="W182" s="312"/>
      <c r="X182" s="312"/>
      <c r="Y182" s="312"/>
      <c r="Z182" s="312"/>
      <c r="AA182" s="360"/>
      <c r="AB182" s="444"/>
      <c r="AC182" s="444"/>
      <c r="AD182" s="444"/>
      <c r="AE182" s="334"/>
      <c r="AF182" s="447"/>
    </row>
    <row r="183" spans="1:33" s="73" customFormat="1">
      <c r="A183" s="241"/>
      <c r="B183" s="242"/>
      <c r="C183" s="243"/>
      <c r="D183" s="244"/>
      <c r="E183" s="244"/>
      <c r="F183" s="244"/>
      <c r="G183" s="244"/>
      <c r="H183" s="244"/>
      <c r="I183" s="243"/>
      <c r="J183" s="243"/>
      <c r="K183" s="244"/>
      <c r="L183" s="244"/>
      <c r="M183" s="244"/>
      <c r="N183" s="243"/>
      <c r="O183" s="314"/>
      <c r="P183" s="244"/>
      <c r="Q183" s="243"/>
      <c r="R183" s="243"/>
      <c r="S183" s="243"/>
      <c r="T183" s="312"/>
      <c r="U183" s="312"/>
      <c r="V183" s="312"/>
      <c r="W183" s="312"/>
      <c r="X183" s="312"/>
      <c r="Y183" s="312"/>
      <c r="Z183" s="312"/>
      <c r="AA183" s="360"/>
      <c r="AB183" s="444"/>
      <c r="AC183" s="444"/>
      <c r="AD183" s="444"/>
      <c r="AE183" s="334"/>
      <c r="AF183" s="447"/>
    </row>
    <row r="184" spans="1:33" s="73" customFormat="1">
      <c r="A184" s="246"/>
      <c r="B184" s="311"/>
      <c r="C184" s="253"/>
      <c r="D184" s="254"/>
      <c r="E184" s="254"/>
      <c r="F184" s="254"/>
      <c r="G184" s="254"/>
      <c r="H184" s="254"/>
      <c r="I184" s="253"/>
      <c r="J184" s="253"/>
      <c r="K184" s="254"/>
      <c r="L184" s="254"/>
      <c r="M184" s="254"/>
      <c r="N184" s="253"/>
      <c r="O184" s="356"/>
      <c r="P184" s="254"/>
      <c r="Q184" s="253"/>
      <c r="R184" s="253"/>
      <c r="S184" s="253"/>
      <c r="T184" s="313"/>
      <c r="U184" s="313"/>
      <c r="V184" s="313"/>
      <c r="W184" s="313"/>
      <c r="X184" s="313"/>
      <c r="Y184" s="313"/>
      <c r="Z184" s="313"/>
      <c r="AA184" s="359"/>
      <c r="AB184" s="445"/>
      <c r="AC184" s="445"/>
      <c r="AD184" s="445"/>
      <c r="AE184" s="334"/>
      <c r="AF184" s="446"/>
      <c r="AG184" s="216"/>
    </row>
    <row r="185" spans="1:33" s="73" customFormat="1">
      <c r="A185" s="342"/>
      <c r="B185" s="340"/>
      <c r="C185" s="337"/>
      <c r="D185" s="341"/>
      <c r="E185" s="341"/>
      <c r="F185" s="341"/>
      <c r="G185" s="341"/>
      <c r="H185" s="341"/>
      <c r="I185" s="337"/>
      <c r="J185" s="337"/>
      <c r="K185" s="341"/>
      <c r="L185" s="341"/>
      <c r="M185" s="341"/>
      <c r="N185" s="337"/>
      <c r="O185" s="337"/>
      <c r="P185" s="341"/>
      <c r="Q185" s="337"/>
      <c r="R185" s="337"/>
      <c r="S185" s="337"/>
      <c r="T185" s="349"/>
      <c r="U185" s="349"/>
      <c r="V185" s="349"/>
      <c r="W185" s="349"/>
      <c r="X185" s="349"/>
      <c r="Y185" s="349"/>
      <c r="Z185" s="349"/>
      <c r="AA185" s="357"/>
      <c r="AB185" s="444"/>
      <c r="AC185" s="444"/>
      <c r="AD185" s="444"/>
      <c r="AE185" s="334"/>
    </row>
    <row r="186" spans="1:33" s="73" customFormat="1">
      <c r="A186" s="241"/>
      <c r="B186" s="242"/>
      <c r="C186" s="243"/>
      <c r="D186" s="244"/>
      <c r="E186" s="244"/>
      <c r="F186" s="244"/>
      <c r="G186" s="244"/>
      <c r="H186" s="244"/>
      <c r="I186" s="243"/>
      <c r="J186" s="243"/>
      <c r="K186" s="244"/>
      <c r="L186" s="244"/>
      <c r="M186" s="244"/>
      <c r="N186" s="243"/>
      <c r="O186" s="243"/>
      <c r="P186" s="244"/>
      <c r="Q186" s="243"/>
      <c r="R186" s="243"/>
      <c r="S186" s="243"/>
      <c r="T186" s="312"/>
      <c r="U186" s="312"/>
      <c r="V186" s="312"/>
      <c r="W186" s="312"/>
      <c r="X186" s="312"/>
      <c r="Y186" s="312"/>
      <c r="Z186" s="312"/>
      <c r="AA186" s="358"/>
      <c r="AB186" s="444"/>
      <c r="AC186" s="444"/>
      <c r="AD186" s="444"/>
      <c r="AE186" s="334"/>
    </row>
    <row r="187" spans="1:33" s="73" customFormat="1">
      <c r="A187" s="241"/>
      <c r="B187" s="245"/>
      <c r="C187" s="253"/>
      <c r="D187" s="254"/>
      <c r="E187" s="254"/>
      <c r="F187" s="254"/>
      <c r="G187" s="254"/>
      <c r="H187" s="254"/>
      <c r="I187" s="253"/>
      <c r="J187" s="733"/>
      <c r="K187" s="254"/>
      <c r="L187" s="734"/>
      <c r="M187" s="254"/>
      <c r="N187" s="253"/>
      <c r="O187" s="356"/>
      <c r="P187" s="254"/>
      <c r="Q187" s="253"/>
      <c r="R187" s="253"/>
      <c r="S187" s="253"/>
      <c r="T187" s="313"/>
      <c r="U187" s="313"/>
      <c r="V187" s="313"/>
      <c r="W187" s="313"/>
      <c r="X187" s="313"/>
      <c r="Y187" s="313"/>
      <c r="Z187" s="313"/>
      <c r="AA187" s="359"/>
      <c r="AB187" s="445"/>
      <c r="AC187" s="445"/>
      <c r="AD187" s="445"/>
      <c r="AE187" s="334"/>
    </row>
    <row r="188" spans="1:33" s="73" customFormat="1">
      <c r="A188" s="241"/>
      <c r="B188" s="242"/>
      <c r="C188" s="243"/>
      <c r="D188" s="244"/>
      <c r="E188" s="244"/>
      <c r="F188" s="244"/>
      <c r="G188" s="244"/>
      <c r="H188" s="244"/>
      <c r="I188" s="243"/>
      <c r="J188" s="243"/>
      <c r="K188" s="244"/>
      <c r="L188" s="244"/>
      <c r="M188" s="244"/>
      <c r="N188" s="243"/>
      <c r="O188" s="314"/>
      <c r="P188" s="244"/>
      <c r="Q188" s="243"/>
      <c r="R188" s="243"/>
      <c r="S188" s="243"/>
      <c r="T188" s="312"/>
      <c r="U188" s="312"/>
      <c r="V188" s="312"/>
      <c r="W188" s="312"/>
      <c r="X188" s="312"/>
      <c r="Y188" s="312"/>
      <c r="Z188" s="312"/>
      <c r="AA188" s="360"/>
      <c r="AB188" s="444"/>
      <c r="AC188" s="444"/>
      <c r="AD188" s="444"/>
      <c r="AE188" s="334"/>
    </row>
    <row r="189" spans="1:33" s="73" customFormat="1">
      <c r="A189" s="241"/>
      <c r="B189" s="242"/>
      <c r="C189" s="243"/>
      <c r="D189" s="244"/>
      <c r="E189" s="244"/>
      <c r="F189" s="244"/>
      <c r="G189" s="244"/>
      <c r="H189" s="244"/>
      <c r="I189" s="243"/>
      <c r="J189" s="243"/>
      <c r="K189" s="244"/>
      <c r="L189" s="244"/>
      <c r="M189" s="244"/>
      <c r="N189" s="243"/>
      <c r="O189" s="314"/>
      <c r="P189" s="244"/>
      <c r="Q189" s="243"/>
      <c r="R189" s="243"/>
      <c r="S189" s="243"/>
      <c r="T189" s="312"/>
      <c r="U189" s="312"/>
      <c r="V189" s="312"/>
      <c r="W189" s="312"/>
      <c r="X189" s="312"/>
      <c r="Y189" s="312"/>
      <c r="Z189" s="312"/>
      <c r="AA189" s="360"/>
      <c r="AB189" s="444"/>
      <c r="AC189" s="444"/>
      <c r="AD189" s="444"/>
      <c r="AE189" s="334"/>
    </row>
    <row r="190" spans="1:33" s="73" customFormat="1">
      <c r="A190" s="241"/>
      <c r="B190" s="245"/>
      <c r="C190" s="253"/>
      <c r="D190" s="254"/>
      <c r="E190" s="254"/>
      <c r="F190" s="254"/>
      <c r="G190" s="254"/>
      <c r="H190" s="254"/>
      <c r="I190" s="253"/>
      <c r="J190" s="253"/>
      <c r="K190" s="254"/>
      <c r="L190" s="254"/>
      <c r="M190" s="254"/>
      <c r="N190" s="253"/>
      <c r="O190" s="356"/>
      <c r="P190" s="254"/>
      <c r="Q190" s="253"/>
      <c r="R190" s="253"/>
      <c r="S190" s="253"/>
      <c r="T190" s="313"/>
      <c r="U190" s="313"/>
      <c r="V190" s="313"/>
      <c r="W190" s="313"/>
      <c r="X190" s="313"/>
      <c r="Y190" s="313"/>
      <c r="Z190" s="313"/>
      <c r="AA190" s="359"/>
      <c r="AB190" s="445"/>
      <c r="AC190" s="445"/>
      <c r="AD190" s="445"/>
      <c r="AE190" s="334"/>
    </row>
    <row r="191" spans="1:33" s="73" customFormat="1">
      <c r="A191" s="241"/>
      <c r="B191" s="242"/>
      <c r="C191" s="243"/>
      <c r="D191" s="244"/>
      <c r="E191" s="244"/>
      <c r="F191" s="244"/>
      <c r="G191" s="244"/>
      <c r="H191" s="244"/>
      <c r="I191" s="243"/>
      <c r="J191" s="243"/>
      <c r="K191" s="244"/>
      <c r="L191" s="244"/>
      <c r="M191" s="244"/>
      <c r="N191" s="243"/>
      <c r="O191" s="314"/>
      <c r="P191" s="244"/>
      <c r="Q191" s="243"/>
      <c r="R191" s="243"/>
      <c r="S191" s="243"/>
      <c r="T191" s="312"/>
      <c r="U191" s="312"/>
      <c r="V191" s="312"/>
      <c r="W191" s="312"/>
      <c r="X191" s="312"/>
      <c r="Y191" s="312"/>
      <c r="Z191" s="312"/>
      <c r="AA191" s="360"/>
      <c r="AB191" s="444"/>
      <c r="AC191" s="444"/>
      <c r="AD191" s="444"/>
      <c r="AE191" s="334"/>
    </row>
    <row r="192" spans="1:33" s="73" customFormat="1">
      <c r="A192" s="241"/>
      <c r="B192" s="242"/>
      <c r="C192" s="243"/>
      <c r="D192" s="244"/>
      <c r="E192" s="244"/>
      <c r="F192" s="244"/>
      <c r="G192" s="244"/>
      <c r="H192" s="244"/>
      <c r="I192" s="243"/>
      <c r="J192" s="243"/>
      <c r="K192" s="244"/>
      <c r="L192" s="244"/>
      <c r="M192" s="244"/>
      <c r="N192" s="243"/>
      <c r="O192" s="314"/>
      <c r="P192" s="244"/>
      <c r="Q192" s="243"/>
      <c r="R192" s="243"/>
      <c r="S192" s="243"/>
      <c r="T192" s="312"/>
      <c r="U192" s="312"/>
      <c r="V192" s="312"/>
      <c r="W192" s="312"/>
      <c r="X192" s="312"/>
      <c r="Y192" s="312"/>
      <c r="Z192" s="312"/>
      <c r="AA192" s="360"/>
      <c r="AB192" s="444"/>
      <c r="AC192" s="444"/>
      <c r="AD192" s="444"/>
      <c r="AE192" s="334"/>
    </row>
    <row r="193" spans="1:33" s="73" customFormat="1">
      <c r="A193" s="241"/>
      <c r="B193" s="245"/>
      <c r="C193" s="253"/>
      <c r="D193" s="254"/>
      <c r="E193" s="254"/>
      <c r="F193" s="254"/>
      <c r="G193" s="254"/>
      <c r="H193" s="734"/>
      <c r="I193" s="253"/>
      <c r="J193" s="253"/>
      <c r="K193" s="254"/>
      <c r="L193" s="254"/>
      <c r="M193" s="254"/>
      <c r="N193" s="253"/>
      <c r="O193" s="356"/>
      <c r="P193" s="254"/>
      <c r="Q193" s="253"/>
      <c r="R193" s="253"/>
      <c r="S193" s="253"/>
      <c r="T193" s="313"/>
      <c r="U193" s="313"/>
      <c r="V193" s="313"/>
      <c r="W193" s="313"/>
      <c r="X193" s="313"/>
      <c r="Y193" s="313"/>
      <c r="Z193" s="313"/>
      <c r="AA193" s="359"/>
      <c r="AB193" s="445"/>
      <c r="AC193" s="445"/>
      <c r="AD193" s="445"/>
      <c r="AE193" s="334"/>
      <c r="AF193" s="216"/>
      <c r="AG193" s="309"/>
    </row>
    <row r="194" spans="1:33" s="73" customFormat="1">
      <c r="A194" s="241"/>
      <c r="B194" s="242"/>
      <c r="C194" s="243"/>
      <c r="D194" s="244"/>
      <c r="E194" s="244"/>
      <c r="F194" s="244"/>
      <c r="G194" s="244"/>
      <c r="H194" s="244"/>
      <c r="I194" s="243"/>
      <c r="J194" s="243"/>
      <c r="K194" s="244"/>
      <c r="L194" s="244"/>
      <c r="M194" s="244"/>
      <c r="N194" s="243"/>
      <c r="O194" s="314"/>
      <c r="P194" s="244"/>
      <c r="Q194" s="243"/>
      <c r="R194" s="243"/>
      <c r="S194" s="243"/>
      <c r="T194" s="312"/>
      <c r="U194" s="312"/>
      <c r="V194" s="312"/>
      <c r="W194" s="312"/>
      <c r="X194" s="312"/>
      <c r="Y194" s="312"/>
      <c r="Z194" s="312"/>
      <c r="AA194" s="360"/>
      <c r="AB194" s="444"/>
      <c r="AC194" s="444"/>
      <c r="AD194" s="444"/>
      <c r="AE194" s="334"/>
      <c r="AF194" s="447"/>
    </row>
    <row r="195" spans="1:33" s="73" customFormat="1">
      <c r="A195" s="241"/>
      <c r="B195" s="242"/>
      <c r="C195" s="243"/>
      <c r="D195" s="244"/>
      <c r="E195" s="244"/>
      <c r="F195" s="244"/>
      <c r="G195" s="244"/>
      <c r="H195" s="244"/>
      <c r="I195" s="243"/>
      <c r="J195" s="243"/>
      <c r="K195" s="244"/>
      <c r="L195" s="244"/>
      <c r="M195" s="244"/>
      <c r="N195" s="243"/>
      <c r="O195" s="314"/>
      <c r="P195" s="244"/>
      <c r="Q195" s="243"/>
      <c r="R195" s="243"/>
      <c r="S195" s="243"/>
      <c r="T195" s="312"/>
      <c r="U195" s="312"/>
      <c r="V195" s="312"/>
      <c r="W195" s="312"/>
      <c r="X195" s="312"/>
      <c r="Y195" s="312"/>
      <c r="Z195" s="312"/>
      <c r="AA195" s="360"/>
      <c r="AB195" s="444"/>
      <c r="AC195" s="444"/>
      <c r="AD195" s="444"/>
      <c r="AE195" s="334"/>
      <c r="AF195" s="447"/>
    </row>
    <row r="196" spans="1:33" s="73" customFormat="1">
      <c r="A196" s="246"/>
      <c r="B196" s="311"/>
      <c r="C196" s="253"/>
      <c r="D196" s="254"/>
      <c r="E196" s="254"/>
      <c r="F196" s="254"/>
      <c r="G196" s="254"/>
      <c r="H196" s="254"/>
      <c r="I196" s="253"/>
      <c r="J196" s="253"/>
      <c r="K196" s="254"/>
      <c r="L196" s="254"/>
      <c r="M196" s="254"/>
      <c r="N196" s="253"/>
      <c r="O196" s="356"/>
      <c r="P196" s="254"/>
      <c r="Q196" s="253"/>
      <c r="R196" s="253"/>
      <c r="S196" s="253"/>
      <c r="T196" s="313"/>
      <c r="U196" s="313"/>
      <c r="V196" s="313"/>
      <c r="W196" s="313"/>
      <c r="X196" s="313"/>
      <c r="Y196" s="313"/>
      <c r="Z196" s="313"/>
      <c r="AA196" s="359"/>
      <c r="AB196" s="445"/>
      <c r="AC196" s="445"/>
      <c r="AD196" s="445"/>
      <c r="AE196" s="334"/>
      <c r="AF196" s="446"/>
      <c r="AG196" s="216"/>
    </row>
    <row r="197" spans="1:33" s="73" customFormat="1">
      <c r="A197" s="342"/>
      <c r="B197" s="340"/>
      <c r="C197" s="337"/>
      <c r="D197" s="341"/>
      <c r="E197" s="341"/>
      <c r="F197" s="341"/>
      <c r="G197" s="341"/>
      <c r="H197" s="341"/>
      <c r="I197" s="337"/>
      <c r="J197" s="337"/>
      <c r="K197" s="341"/>
      <c r="L197" s="341"/>
      <c r="M197" s="341"/>
      <c r="N197" s="337"/>
      <c r="O197" s="337"/>
      <c r="P197" s="341"/>
      <c r="Q197" s="337"/>
      <c r="R197" s="337"/>
      <c r="S197" s="337"/>
      <c r="T197" s="337"/>
      <c r="U197" s="337"/>
      <c r="V197" s="337"/>
      <c r="W197" s="337"/>
      <c r="X197" s="337"/>
      <c r="Y197" s="337"/>
      <c r="Z197" s="337"/>
      <c r="AA197" s="814"/>
      <c r="AB197" s="444"/>
      <c r="AC197" s="444"/>
      <c r="AD197" s="444"/>
      <c r="AE197" s="334"/>
    </row>
    <row r="198" spans="1:33" s="73" customFormat="1">
      <c r="A198" s="241"/>
      <c r="B198" s="242"/>
      <c r="C198" s="243"/>
      <c r="D198" s="244"/>
      <c r="E198" s="244"/>
      <c r="F198" s="244"/>
      <c r="G198" s="244"/>
      <c r="H198" s="244"/>
      <c r="I198" s="243"/>
      <c r="J198" s="243"/>
      <c r="K198" s="244"/>
      <c r="L198" s="244"/>
      <c r="M198" s="244"/>
      <c r="N198" s="243"/>
      <c r="O198" s="243"/>
      <c r="P198" s="244"/>
      <c r="Q198" s="243"/>
      <c r="R198" s="243"/>
      <c r="S198" s="243"/>
      <c r="T198" s="243"/>
      <c r="U198" s="243"/>
      <c r="V198" s="243"/>
      <c r="W198" s="243"/>
      <c r="X198" s="243"/>
      <c r="Y198" s="243"/>
      <c r="Z198" s="243"/>
      <c r="AA198" s="815"/>
      <c r="AB198" s="444"/>
      <c r="AC198" s="444"/>
      <c r="AD198" s="444"/>
      <c r="AE198" s="334"/>
    </row>
    <row r="199" spans="1:33" s="73" customFormat="1">
      <c r="A199" s="241"/>
      <c r="B199" s="245"/>
      <c r="C199" s="253"/>
      <c r="D199" s="254"/>
      <c r="E199" s="254"/>
      <c r="F199" s="254"/>
      <c r="G199" s="254"/>
      <c r="H199" s="254"/>
      <c r="I199" s="253"/>
      <c r="J199" s="253"/>
      <c r="K199" s="254"/>
      <c r="L199" s="254"/>
      <c r="M199" s="254"/>
      <c r="N199" s="253"/>
      <c r="O199" s="356"/>
      <c r="P199" s="254"/>
      <c r="Q199" s="253"/>
      <c r="R199" s="253"/>
      <c r="S199" s="253"/>
      <c r="T199" s="253"/>
      <c r="U199" s="253"/>
      <c r="V199" s="253"/>
      <c r="W199" s="253"/>
      <c r="X199" s="253"/>
      <c r="Y199" s="253"/>
      <c r="Z199" s="253"/>
      <c r="AA199" s="816"/>
      <c r="AB199" s="445"/>
      <c r="AC199" s="445"/>
      <c r="AD199" s="445"/>
      <c r="AE199" s="334"/>
    </row>
    <row r="200" spans="1:33" s="73" customFormat="1">
      <c r="A200" s="241"/>
      <c r="B200" s="242"/>
      <c r="C200" s="243"/>
      <c r="D200" s="244"/>
      <c r="E200" s="244"/>
      <c r="F200" s="244"/>
      <c r="G200" s="244"/>
      <c r="H200" s="244"/>
      <c r="I200" s="243"/>
      <c r="J200" s="243"/>
      <c r="K200" s="244"/>
      <c r="L200" s="244"/>
      <c r="M200" s="244"/>
      <c r="N200" s="243"/>
      <c r="O200" s="314"/>
      <c r="P200" s="244"/>
      <c r="Q200" s="243"/>
      <c r="R200" s="243"/>
      <c r="S200" s="243"/>
      <c r="T200" s="243"/>
      <c r="U200" s="243"/>
      <c r="V200" s="243"/>
      <c r="W200" s="243"/>
      <c r="X200" s="243"/>
      <c r="Y200" s="243"/>
      <c r="Z200" s="243"/>
      <c r="AA200" s="242"/>
      <c r="AB200" s="444"/>
      <c r="AC200" s="444"/>
      <c r="AD200" s="444"/>
      <c r="AE200" s="334"/>
    </row>
    <row r="201" spans="1:33" s="73" customFormat="1">
      <c r="A201" s="241"/>
      <c r="B201" s="242"/>
      <c r="C201" s="243"/>
      <c r="D201" s="244"/>
      <c r="E201" s="244"/>
      <c r="F201" s="244"/>
      <c r="G201" s="244"/>
      <c r="H201" s="244"/>
      <c r="I201" s="243"/>
      <c r="J201" s="243"/>
      <c r="K201" s="244"/>
      <c r="L201" s="244"/>
      <c r="M201" s="244"/>
      <c r="N201" s="243"/>
      <c r="O201" s="314"/>
      <c r="P201" s="244"/>
      <c r="Q201" s="243"/>
      <c r="R201" s="243"/>
      <c r="S201" s="243"/>
      <c r="T201" s="243"/>
      <c r="U201" s="243"/>
      <c r="V201" s="243"/>
      <c r="W201" s="243"/>
      <c r="X201" s="243"/>
      <c r="Y201" s="243"/>
      <c r="Z201" s="243"/>
      <c r="AA201" s="242"/>
      <c r="AB201" s="444"/>
      <c r="AC201" s="444"/>
      <c r="AD201" s="444"/>
      <c r="AE201" s="334"/>
    </row>
    <row r="202" spans="1:33" s="73" customFormat="1">
      <c r="A202" s="241"/>
      <c r="B202" s="245"/>
      <c r="C202" s="253"/>
      <c r="D202" s="254"/>
      <c r="E202" s="254"/>
      <c r="F202" s="254"/>
      <c r="G202" s="254"/>
      <c r="H202" s="254"/>
      <c r="I202" s="253"/>
      <c r="J202" s="253"/>
      <c r="K202" s="254"/>
      <c r="L202" s="254"/>
      <c r="M202" s="254"/>
      <c r="N202" s="253"/>
      <c r="O202" s="356"/>
      <c r="P202" s="254"/>
      <c r="Q202" s="253"/>
      <c r="R202" s="253"/>
      <c r="S202" s="253"/>
      <c r="T202" s="253"/>
      <c r="U202" s="253"/>
      <c r="V202" s="253"/>
      <c r="W202" s="253"/>
      <c r="X202" s="253"/>
      <c r="Y202" s="253"/>
      <c r="Z202" s="253"/>
      <c r="AA202" s="816"/>
      <c r="AB202" s="445"/>
      <c r="AC202" s="445"/>
      <c r="AD202" s="445"/>
      <c r="AE202" s="334"/>
    </row>
    <row r="203" spans="1:33" s="73" customFormat="1">
      <c r="A203" s="241"/>
      <c r="B203" s="242"/>
      <c r="C203" s="243"/>
      <c r="D203" s="244"/>
      <c r="E203" s="244"/>
      <c r="F203" s="244"/>
      <c r="G203" s="244"/>
      <c r="H203" s="244"/>
      <c r="I203" s="243"/>
      <c r="J203" s="243"/>
      <c r="K203" s="244"/>
      <c r="L203" s="244"/>
      <c r="M203" s="244"/>
      <c r="N203" s="243"/>
      <c r="O203" s="314"/>
      <c r="P203" s="244"/>
      <c r="Q203" s="243"/>
      <c r="R203" s="243"/>
      <c r="S203" s="243"/>
      <c r="T203" s="243"/>
      <c r="U203" s="243"/>
      <c r="V203" s="243"/>
      <c r="W203" s="243"/>
      <c r="X203" s="243"/>
      <c r="Y203" s="243"/>
      <c r="Z203" s="243"/>
      <c r="AA203" s="242"/>
      <c r="AB203" s="444"/>
      <c r="AC203" s="444"/>
      <c r="AD203" s="444"/>
      <c r="AE203" s="334"/>
    </row>
    <row r="204" spans="1:33" s="73" customFormat="1">
      <c r="A204" s="241"/>
      <c r="B204" s="242"/>
      <c r="C204" s="243"/>
      <c r="D204" s="244"/>
      <c r="E204" s="244"/>
      <c r="F204" s="244"/>
      <c r="G204" s="244"/>
      <c r="H204" s="244"/>
      <c r="I204" s="243"/>
      <c r="J204" s="243"/>
      <c r="K204" s="244"/>
      <c r="L204" s="244"/>
      <c r="M204" s="244"/>
      <c r="N204" s="243"/>
      <c r="O204" s="314"/>
      <c r="P204" s="244"/>
      <c r="Q204" s="243"/>
      <c r="R204" s="243"/>
      <c r="S204" s="243"/>
      <c r="T204" s="243"/>
      <c r="U204" s="243"/>
      <c r="V204" s="243"/>
      <c r="W204" s="243"/>
      <c r="X204" s="243"/>
      <c r="Y204" s="243"/>
      <c r="Z204" s="243"/>
      <c r="AA204" s="242"/>
      <c r="AB204" s="444"/>
      <c r="AC204" s="444"/>
      <c r="AD204" s="444"/>
      <c r="AE204" s="334"/>
    </row>
    <row r="205" spans="1:33" s="73" customFormat="1">
      <c r="A205" s="241"/>
      <c r="B205" s="245"/>
      <c r="C205" s="253"/>
      <c r="D205" s="254"/>
      <c r="E205" s="254"/>
      <c r="F205" s="254"/>
      <c r="G205" s="254"/>
      <c r="H205" s="254"/>
      <c r="I205" s="253"/>
      <c r="J205" s="253"/>
      <c r="K205" s="254"/>
      <c r="L205" s="254"/>
      <c r="M205" s="254"/>
      <c r="N205" s="253"/>
      <c r="O205" s="356"/>
      <c r="P205" s="254"/>
      <c r="Q205" s="253"/>
      <c r="R205" s="253"/>
      <c r="S205" s="253"/>
      <c r="T205" s="253"/>
      <c r="U205" s="253"/>
      <c r="V205" s="253"/>
      <c r="W205" s="253"/>
      <c r="X205" s="253"/>
      <c r="Y205" s="253"/>
      <c r="Z205" s="253"/>
      <c r="AA205" s="816"/>
      <c r="AB205" s="445"/>
      <c r="AC205" s="445"/>
      <c r="AD205" s="445"/>
      <c r="AE205" s="334"/>
      <c r="AF205" s="216"/>
      <c r="AG205" s="309"/>
    </row>
    <row r="206" spans="1:33" s="73" customFormat="1">
      <c r="A206" s="241"/>
      <c r="B206" s="242"/>
      <c r="C206" s="243"/>
      <c r="D206" s="244"/>
      <c r="E206" s="244"/>
      <c r="F206" s="244"/>
      <c r="G206" s="244"/>
      <c r="H206" s="244"/>
      <c r="I206" s="243"/>
      <c r="J206" s="243"/>
      <c r="K206" s="244"/>
      <c r="L206" s="244"/>
      <c r="M206" s="244"/>
      <c r="N206" s="243"/>
      <c r="O206" s="314"/>
      <c r="P206" s="244"/>
      <c r="Q206" s="243"/>
      <c r="R206" s="243"/>
      <c r="S206" s="243"/>
      <c r="T206" s="243"/>
      <c r="U206" s="243"/>
      <c r="V206" s="243"/>
      <c r="W206" s="243"/>
      <c r="X206" s="243"/>
      <c r="Y206" s="243"/>
      <c r="Z206" s="243"/>
      <c r="AA206" s="242"/>
      <c r="AB206" s="444"/>
      <c r="AC206" s="444"/>
      <c r="AD206" s="444"/>
      <c r="AE206" s="334"/>
      <c r="AF206" s="447"/>
    </row>
    <row r="207" spans="1:33" s="73" customFormat="1">
      <c r="A207" s="241"/>
      <c r="B207" s="242"/>
      <c r="C207" s="243"/>
      <c r="D207" s="244"/>
      <c r="E207" s="244"/>
      <c r="F207" s="244"/>
      <c r="G207" s="244"/>
      <c r="H207" s="244"/>
      <c r="I207" s="243"/>
      <c r="J207" s="243"/>
      <c r="K207" s="244"/>
      <c r="L207" s="244"/>
      <c r="M207" s="244"/>
      <c r="N207" s="243"/>
      <c r="O207" s="314"/>
      <c r="P207" s="244"/>
      <c r="Q207" s="243"/>
      <c r="R207" s="243"/>
      <c r="S207" s="243"/>
      <c r="T207" s="243"/>
      <c r="U207" s="243"/>
      <c r="V207" s="243"/>
      <c r="W207" s="243"/>
      <c r="X207" s="243"/>
      <c r="Y207" s="243"/>
      <c r="Z207" s="243"/>
      <c r="AA207" s="242"/>
      <c r="AB207" s="444"/>
      <c r="AC207" s="444"/>
      <c r="AD207" s="444"/>
      <c r="AE207" s="334"/>
      <c r="AF207" s="447"/>
    </row>
    <row r="208" spans="1:33" s="73" customFormat="1">
      <c r="A208" s="246"/>
      <c r="B208" s="311"/>
      <c r="C208" s="253"/>
      <c r="D208" s="254"/>
      <c r="E208" s="254"/>
      <c r="F208" s="254"/>
      <c r="G208" s="254"/>
      <c r="H208" s="254"/>
      <c r="I208" s="253"/>
      <c r="J208" s="253"/>
      <c r="K208" s="254"/>
      <c r="L208" s="254"/>
      <c r="M208" s="254"/>
      <c r="N208" s="253"/>
      <c r="O208" s="356"/>
      <c r="P208" s="254"/>
      <c r="Q208" s="253"/>
      <c r="R208" s="253"/>
      <c r="S208" s="253"/>
      <c r="T208" s="253"/>
      <c r="U208" s="253"/>
      <c r="V208" s="253"/>
      <c r="W208" s="253"/>
      <c r="X208" s="253"/>
      <c r="Y208" s="253"/>
      <c r="Z208" s="253"/>
      <c r="AA208" s="816"/>
      <c r="AB208" s="445"/>
      <c r="AC208" s="445"/>
      <c r="AD208" s="445"/>
      <c r="AE208" s="334"/>
      <c r="AF208" s="446"/>
      <c r="AG208" s="216"/>
    </row>
    <row r="209" spans="1:27">
      <c r="A209" s="214"/>
      <c r="C209" s="824"/>
      <c r="D209" s="824"/>
      <c r="E209" s="824"/>
      <c r="F209" s="824"/>
      <c r="G209" s="824"/>
      <c r="H209" s="824"/>
      <c r="I209" s="824"/>
      <c r="J209" s="824"/>
      <c r="K209" s="824"/>
      <c r="L209" s="824"/>
      <c r="M209" s="824"/>
      <c r="N209" s="824"/>
      <c r="O209" s="824"/>
      <c r="P209" s="824"/>
      <c r="Q209" s="824"/>
      <c r="R209" s="824"/>
      <c r="S209" s="824"/>
      <c r="T209" s="824"/>
      <c r="U209" s="824"/>
      <c r="V209" s="824"/>
      <c r="W209" s="824"/>
      <c r="X209" s="824"/>
      <c r="Y209" s="824"/>
      <c r="Z209" s="824"/>
      <c r="AA209" s="824"/>
    </row>
    <row r="210" spans="1:27">
      <c r="A210" s="214"/>
    </row>
    <row r="211" spans="1:27">
      <c r="A211" s="214"/>
    </row>
    <row r="212" spans="1:27">
      <c r="A212" s="214"/>
    </row>
    <row r="213" spans="1:27">
      <c r="A213" s="214"/>
    </row>
    <row r="214" spans="1:27">
      <c r="A214" s="214"/>
    </row>
    <row r="215" spans="1:27">
      <c r="A215" s="214"/>
    </row>
    <row r="216" spans="1:27">
      <c r="A216" s="214"/>
    </row>
    <row r="217" spans="1:27">
      <c r="A217" s="214"/>
    </row>
    <row r="218" spans="1:27">
      <c r="A218" s="214"/>
    </row>
    <row r="219" spans="1:27">
      <c r="A219" s="214"/>
    </row>
    <row r="220" spans="1:27">
      <c r="A220" s="21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48"/>
  <sheetViews>
    <sheetView workbookViewId="0"/>
  </sheetViews>
  <sheetFormatPr defaultRowHeight="12.75"/>
  <cols>
    <col min="1" max="1" width="5" style="181" customWidth="1"/>
    <col min="2" max="2" width="30.6640625" style="181" customWidth="1"/>
    <col min="3" max="8" width="13.6640625" style="215" customWidth="1"/>
    <col min="9" max="9" width="16.1640625" style="215" customWidth="1"/>
    <col min="10" max="13" width="12.33203125" style="215" customWidth="1"/>
    <col min="14" max="14" width="15.6640625" style="215" customWidth="1"/>
    <col min="15" max="16" width="10.6640625" style="215" customWidth="1"/>
    <col min="17" max="18" width="12.5" style="215" customWidth="1"/>
    <col min="19" max="19" width="15.83203125" style="215" customWidth="1"/>
    <col min="20" max="20" width="7.6640625" style="181" customWidth="1"/>
    <col min="21" max="21" width="8.83203125" style="181" customWidth="1"/>
    <col min="22" max="25" width="10.6640625" style="181" bestFit="1" customWidth="1"/>
    <col min="26" max="26" width="8.83203125" style="181" customWidth="1"/>
    <col min="27" max="27" width="10" style="181" customWidth="1"/>
    <col min="28" max="16384" width="9.33203125" style="181"/>
  </cols>
  <sheetData>
    <row r="1" spans="1:27">
      <c r="E1" s="382"/>
      <c r="L1" s="383"/>
      <c r="M1" s="4"/>
    </row>
    <row r="3" spans="1:27" s="1" customFormat="1">
      <c r="A3" s="363"/>
      <c r="B3" s="364"/>
      <c r="C3" s="384"/>
      <c r="D3" s="385"/>
      <c r="E3" s="385"/>
      <c r="F3" s="385"/>
      <c r="G3" s="385"/>
      <c r="H3" s="385"/>
      <c r="I3" s="385"/>
      <c r="J3" s="385"/>
      <c r="K3" s="385"/>
      <c r="L3" s="385"/>
      <c r="M3" s="385"/>
      <c r="N3" s="385"/>
      <c r="O3" s="385"/>
      <c r="P3" s="385"/>
      <c r="Q3" s="385"/>
      <c r="R3" s="385"/>
      <c r="S3" s="385"/>
      <c r="T3" s="366"/>
      <c r="U3" s="366"/>
      <c r="V3" s="366"/>
      <c r="W3" s="367"/>
      <c r="X3" s="366"/>
      <c r="Y3" s="366"/>
      <c r="Z3" s="366"/>
      <c r="AA3" s="367"/>
    </row>
    <row r="4" spans="1:27" s="1" customFormat="1">
      <c r="A4" s="183"/>
      <c r="B4" s="184"/>
      <c r="C4" s="384"/>
      <c r="D4" s="385"/>
      <c r="E4" s="385"/>
      <c r="F4" s="385"/>
      <c r="G4" s="385"/>
      <c r="H4" s="385"/>
      <c r="I4" s="384"/>
      <c r="J4" s="384"/>
      <c r="K4" s="385"/>
      <c r="L4" s="385"/>
      <c r="M4" s="385"/>
      <c r="N4" s="384"/>
      <c r="O4" s="384"/>
      <c r="P4" s="385"/>
      <c r="Q4" s="384"/>
      <c r="R4" s="384"/>
      <c r="S4" s="384"/>
      <c r="T4" s="368"/>
      <c r="U4" s="368"/>
      <c r="V4" s="368"/>
      <c r="W4" s="369"/>
      <c r="X4" s="368"/>
      <c r="Y4" s="368"/>
      <c r="Z4" s="368"/>
      <c r="AA4" s="369"/>
    </row>
    <row r="5" spans="1:27" s="1" customFormat="1">
      <c r="A5" s="363"/>
      <c r="B5" s="363"/>
      <c r="C5" s="384"/>
      <c r="D5" s="386"/>
      <c r="E5" s="386"/>
      <c r="F5" s="386"/>
      <c r="G5" s="386"/>
      <c r="H5" s="386"/>
      <c r="I5" s="387"/>
      <c r="J5" s="384"/>
      <c r="K5" s="386"/>
      <c r="L5" s="386"/>
      <c r="M5" s="386"/>
      <c r="N5" s="387"/>
      <c r="O5" s="384"/>
      <c r="P5" s="386"/>
      <c r="Q5" s="387"/>
      <c r="R5" s="384"/>
      <c r="S5" s="387"/>
      <c r="T5" s="368"/>
      <c r="U5" s="370"/>
      <c r="V5" s="368"/>
      <c r="W5" s="371"/>
      <c r="X5" s="368"/>
      <c r="Y5" s="370"/>
      <c r="Z5" s="368"/>
      <c r="AA5" s="371"/>
    </row>
    <row r="6" spans="1:27">
      <c r="A6" s="365"/>
      <c r="B6" s="384"/>
      <c r="C6" s="388"/>
      <c r="D6" s="389"/>
      <c r="E6" s="389"/>
      <c r="F6" s="389"/>
      <c r="G6" s="389"/>
      <c r="H6" s="389"/>
      <c r="I6" s="388"/>
      <c r="J6" s="388"/>
      <c r="K6" s="389"/>
      <c r="L6" s="389"/>
      <c r="M6" s="389"/>
      <c r="N6" s="388"/>
      <c r="O6" s="388"/>
      <c r="P6" s="389"/>
      <c r="Q6" s="388"/>
      <c r="R6" s="388"/>
      <c r="S6" s="388"/>
      <c r="T6" s="372"/>
      <c r="U6" s="372"/>
      <c r="V6" s="372"/>
      <c r="W6" s="373"/>
      <c r="X6" s="372"/>
      <c r="Y6" s="372"/>
      <c r="Z6" s="372"/>
      <c r="AA6" s="373"/>
    </row>
    <row r="7" spans="1:27" s="1" customFormat="1">
      <c r="A7" s="182"/>
      <c r="B7" s="477"/>
      <c r="C7" s="390"/>
      <c r="D7" s="107"/>
      <c r="E7" s="107"/>
      <c r="F7" s="107"/>
      <c r="G7" s="107"/>
      <c r="H7" s="107"/>
      <c r="I7" s="390"/>
      <c r="J7" s="390"/>
      <c r="K7" s="107"/>
      <c r="L7" s="107"/>
      <c r="M7" s="107"/>
      <c r="N7" s="390"/>
      <c r="O7" s="390"/>
      <c r="P7" s="107"/>
      <c r="Q7" s="390"/>
      <c r="R7" s="390"/>
      <c r="S7" s="390"/>
      <c r="T7" s="374"/>
      <c r="U7" s="374"/>
      <c r="V7" s="374"/>
      <c r="W7" s="375"/>
      <c r="X7" s="374"/>
      <c r="Y7" s="374"/>
      <c r="Z7" s="374"/>
      <c r="AA7" s="375"/>
    </row>
    <row r="8" spans="1:27">
      <c r="A8" s="182"/>
      <c r="B8" s="476"/>
      <c r="C8" s="476"/>
      <c r="D8" s="735"/>
      <c r="E8" s="735"/>
      <c r="F8" s="735"/>
      <c r="G8" s="735"/>
      <c r="H8" s="735"/>
      <c r="I8" s="476"/>
      <c r="J8" s="476"/>
      <c r="K8" s="735"/>
      <c r="L8" s="735"/>
      <c r="M8" s="735"/>
      <c r="N8" s="476"/>
      <c r="O8" s="476"/>
      <c r="P8" s="735"/>
      <c r="Q8" s="476"/>
      <c r="R8" s="476"/>
      <c r="S8" s="476"/>
      <c r="T8" s="376"/>
      <c r="U8" s="376"/>
      <c r="V8" s="376"/>
      <c r="W8" s="377"/>
      <c r="X8" s="376"/>
      <c r="Y8" s="376"/>
      <c r="Z8" s="376"/>
      <c r="AA8" s="377"/>
    </row>
    <row r="9" spans="1:27" s="1" customFormat="1">
      <c r="A9" s="182"/>
      <c r="B9" s="477"/>
      <c r="C9" s="390"/>
      <c r="D9" s="107"/>
      <c r="E9" s="107"/>
      <c r="F9" s="107"/>
      <c r="G9" s="107"/>
      <c r="H9" s="107"/>
      <c r="I9" s="390"/>
      <c r="J9" s="390"/>
      <c r="K9" s="107"/>
      <c r="L9" s="107"/>
      <c r="M9" s="107"/>
      <c r="N9" s="390"/>
      <c r="O9" s="390"/>
      <c r="P9" s="107"/>
      <c r="Q9" s="390"/>
      <c r="R9" s="390"/>
      <c r="S9" s="390"/>
      <c r="T9" s="374"/>
      <c r="U9" s="374"/>
      <c r="V9" s="374"/>
      <c r="W9" s="375"/>
      <c r="X9" s="374"/>
      <c r="Y9" s="374"/>
      <c r="Z9" s="374"/>
      <c r="AA9" s="375"/>
    </row>
    <row r="10" spans="1:27">
      <c r="A10" s="182"/>
      <c r="B10" s="477"/>
      <c r="C10" s="390"/>
      <c r="D10" s="107"/>
      <c r="E10" s="107"/>
      <c r="F10" s="107"/>
      <c r="G10" s="107"/>
      <c r="H10" s="107"/>
      <c r="I10" s="390"/>
      <c r="J10" s="390"/>
      <c r="K10" s="107"/>
      <c r="L10" s="107"/>
      <c r="M10" s="107"/>
      <c r="N10" s="390"/>
      <c r="O10" s="390"/>
      <c r="P10" s="107"/>
      <c r="Q10" s="390"/>
      <c r="R10" s="390"/>
      <c r="S10" s="390"/>
      <c r="T10" s="374"/>
      <c r="U10" s="374"/>
      <c r="V10" s="374"/>
      <c r="W10" s="375"/>
      <c r="X10" s="374"/>
      <c r="Y10" s="374"/>
      <c r="Z10" s="374"/>
      <c r="AA10" s="375"/>
    </row>
    <row r="11" spans="1:27" s="1" customFormat="1">
      <c r="A11" s="182"/>
      <c r="B11" s="475"/>
      <c r="C11" s="476"/>
      <c r="D11" s="735"/>
      <c r="E11" s="735"/>
      <c r="F11" s="735"/>
      <c r="G11" s="735"/>
      <c r="H11" s="735"/>
      <c r="I11" s="476"/>
      <c r="J11" s="476"/>
      <c r="K11" s="735"/>
      <c r="L11" s="735"/>
      <c r="M11" s="735"/>
      <c r="N11" s="476"/>
      <c r="O11" s="476"/>
      <c r="P11" s="735"/>
      <c r="Q11" s="476"/>
      <c r="R11" s="475"/>
      <c r="S11" s="475"/>
      <c r="T11" s="378"/>
      <c r="U11" s="378"/>
      <c r="V11" s="378"/>
      <c r="W11" s="379"/>
      <c r="X11" s="378"/>
      <c r="Y11" s="378"/>
      <c r="Z11" s="378"/>
      <c r="AA11" s="379"/>
    </row>
    <row r="12" spans="1:27">
      <c r="A12" s="185"/>
      <c r="B12" s="474"/>
      <c r="C12" s="736"/>
      <c r="D12" s="737"/>
      <c r="E12" s="737"/>
      <c r="F12" s="737"/>
      <c r="G12" s="737"/>
      <c r="H12" s="737"/>
      <c r="I12" s="736"/>
      <c r="J12" s="736"/>
      <c r="K12" s="737"/>
      <c r="L12" s="737"/>
      <c r="M12" s="737"/>
      <c r="N12" s="736"/>
      <c r="O12" s="736"/>
      <c r="P12" s="737"/>
      <c r="Q12" s="736"/>
      <c r="R12" s="771"/>
      <c r="S12" s="736"/>
      <c r="T12" s="380"/>
      <c r="U12" s="380"/>
      <c r="V12" s="380"/>
      <c r="W12" s="381"/>
      <c r="X12" s="380"/>
      <c r="Y12" s="380"/>
      <c r="Z12" s="380"/>
      <c r="AA12" s="381"/>
    </row>
    <row r="13" spans="1:27" s="1" customFormat="1">
      <c r="A13" s="365"/>
      <c r="B13" s="384"/>
      <c r="C13" s="388"/>
      <c r="D13" s="389"/>
      <c r="E13" s="389"/>
      <c r="F13" s="389"/>
      <c r="G13" s="389"/>
      <c r="H13" s="389"/>
      <c r="I13" s="388"/>
      <c r="J13" s="388"/>
      <c r="K13" s="389"/>
      <c r="L13" s="389"/>
      <c r="M13" s="389"/>
      <c r="N13" s="388"/>
      <c r="O13" s="388"/>
      <c r="P13" s="389"/>
      <c r="Q13" s="388"/>
      <c r="R13" s="388"/>
      <c r="S13" s="388"/>
      <c r="T13" s="372"/>
      <c r="U13" s="372"/>
      <c r="V13" s="372"/>
      <c r="W13" s="373"/>
      <c r="X13" s="372"/>
      <c r="Y13" s="372"/>
      <c r="Z13" s="372"/>
      <c r="AA13" s="373"/>
    </row>
    <row r="14" spans="1:27" s="1" customFormat="1">
      <c r="A14" s="182"/>
      <c r="B14" s="477"/>
      <c r="C14" s="390"/>
      <c r="D14" s="107"/>
      <c r="E14" s="107"/>
      <c r="F14" s="107"/>
      <c r="G14" s="107"/>
      <c r="H14" s="107"/>
      <c r="I14" s="390"/>
      <c r="J14" s="390"/>
      <c r="K14" s="107"/>
      <c r="L14" s="107"/>
      <c r="M14" s="107"/>
      <c r="N14" s="390"/>
      <c r="O14" s="390"/>
      <c r="P14" s="107"/>
      <c r="Q14" s="390"/>
      <c r="R14" s="390"/>
      <c r="S14" s="390"/>
      <c r="T14" s="374"/>
      <c r="U14" s="374"/>
      <c r="V14" s="374"/>
      <c r="W14" s="375"/>
      <c r="X14" s="374"/>
      <c r="Y14" s="374"/>
      <c r="Z14" s="374"/>
      <c r="AA14" s="375"/>
    </row>
    <row r="15" spans="1:27">
      <c r="A15" s="182"/>
      <c r="B15" s="476"/>
      <c r="C15" s="476"/>
      <c r="D15" s="735"/>
      <c r="E15" s="735"/>
      <c r="F15" s="735"/>
      <c r="G15" s="735"/>
      <c r="H15" s="735"/>
      <c r="I15" s="476"/>
      <c r="J15" s="476"/>
      <c r="K15" s="735"/>
      <c r="L15" s="735"/>
      <c r="M15" s="735"/>
      <c r="N15" s="476"/>
      <c r="O15" s="476"/>
      <c r="P15" s="735"/>
      <c r="Q15" s="476"/>
      <c r="R15" s="476"/>
      <c r="S15" s="476"/>
      <c r="T15" s="376"/>
      <c r="U15" s="376"/>
      <c r="V15" s="376"/>
      <c r="W15" s="377"/>
      <c r="X15" s="376"/>
      <c r="Y15" s="376"/>
      <c r="Z15" s="376"/>
      <c r="AA15" s="377"/>
    </row>
    <row r="16" spans="1:27" s="1" customFormat="1">
      <c r="A16" s="182"/>
      <c r="B16" s="477"/>
      <c r="C16" s="390"/>
      <c r="D16" s="107"/>
      <c r="E16" s="107"/>
      <c r="F16" s="107"/>
      <c r="G16" s="107"/>
      <c r="H16" s="107"/>
      <c r="I16" s="390"/>
      <c r="J16" s="390"/>
      <c r="K16" s="107"/>
      <c r="L16" s="107"/>
      <c r="M16" s="107"/>
      <c r="N16" s="390"/>
      <c r="O16" s="390"/>
      <c r="P16" s="107"/>
      <c r="Q16" s="390"/>
      <c r="R16" s="390"/>
      <c r="S16" s="390"/>
      <c r="T16" s="374"/>
      <c r="U16" s="374"/>
      <c r="V16" s="374"/>
      <c r="W16" s="375"/>
      <c r="X16" s="374"/>
      <c r="Y16" s="374"/>
      <c r="Z16" s="374"/>
      <c r="AA16" s="375"/>
    </row>
    <row r="17" spans="1:27">
      <c r="A17" s="182"/>
      <c r="B17" s="477"/>
      <c r="C17" s="390"/>
      <c r="D17" s="107"/>
      <c r="E17" s="107"/>
      <c r="F17" s="107"/>
      <c r="G17" s="107"/>
      <c r="H17" s="107"/>
      <c r="I17" s="390"/>
      <c r="J17" s="390"/>
      <c r="K17" s="107"/>
      <c r="L17" s="107"/>
      <c r="M17" s="107"/>
      <c r="N17" s="390"/>
      <c r="O17" s="390"/>
      <c r="P17" s="107"/>
      <c r="Q17" s="390"/>
      <c r="R17" s="390"/>
      <c r="S17" s="390"/>
      <c r="T17" s="374"/>
      <c r="U17" s="374"/>
      <c r="V17" s="374"/>
      <c r="W17" s="375"/>
      <c r="X17" s="374"/>
      <c r="Y17" s="374"/>
      <c r="Z17" s="374"/>
      <c r="AA17" s="375"/>
    </row>
    <row r="18" spans="1:27" s="1" customFormat="1">
      <c r="A18" s="182"/>
      <c r="B18" s="475"/>
      <c r="C18" s="476"/>
      <c r="D18" s="735"/>
      <c r="E18" s="735"/>
      <c r="F18" s="735"/>
      <c r="G18" s="735"/>
      <c r="H18" s="735"/>
      <c r="I18" s="476"/>
      <c r="J18" s="476"/>
      <c r="K18" s="735"/>
      <c r="L18" s="735"/>
      <c r="M18" s="735"/>
      <c r="N18" s="476"/>
      <c r="O18" s="476"/>
      <c r="P18" s="735"/>
      <c r="Q18" s="476"/>
      <c r="R18" s="475"/>
      <c r="S18" s="475"/>
      <c r="T18" s="378"/>
      <c r="U18" s="378"/>
      <c r="V18" s="378"/>
      <c r="W18" s="379"/>
      <c r="X18" s="378"/>
      <c r="Y18" s="378"/>
      <c r="Z18" s="378"/>
      <c r="AA18" s="379"/>
    </row>
    <row r="19" spans="1:27">
      <c r="A19" s="185"/>
      <c r="B19" s="474"/>
      <c r="C19" s="736"/>
      <c r="D19" s="737"/>
      <c r="E19" s="737"/>
      <c r="F19" s="737"/>
      <c r="G19" s="737"/>
      <c r="H19" s="737"/>
      <c r="I19" s="736"/>
      <c r="J19" s="736"/>
      <c r="K19" s="737"/>
      <c r="L19" s="737"/>
      <c r="M19" s="772"/>
      <c r="N19" s="736"/>
      <c r="O19" s="736"/>
      <c r="P19" s="737"/>
      <c r="Q19" s="736"/>
      <c r="R19" s="736"/>
      <c r="S19" s="736"/>
      <c r="T19" s="380"/>
      <c r="U19" s="380"/>
      <c r="V19" s="380"/>
      <c r="W19" s="381"/>
      <c r="X19" s="380"/>
      <c r="Y19" s="380"/>
      <c r="Z19" s="380"/>
      <c r="AA19" s="381"/>
    </row>
    <row r="20" spans="1:27" s="1" customFormat="1">
      <c r="A20" s="365"/>
      <c r="B20" s="384"/>
      <c r="C20" s="388"/>
      <c r="D20" s="389"/>
      <c r="E20" s="389"/>
      <c r="F20" s="389"/>
      <c r="G20" s="389"/>
      <c r="H20" s="389"/>
      <c r="I20" s="388"/>
      <c r="J20" s="388"/>
      <c r="K20" s="389"/>
      <c r="L20" s="389"/>
      <c r="M20" s="389"/>
      <c r="N20" s="388"/>
      <c r="O20" s="388"/>
      <c r="P20" s="389"/>
      <c r="Q20" s="388"/>
      <c r="R20" s="388"/>
      <c r="S20" s="388"/>
      <c r="T20" s="372"/>
      <c r="U20" s="372"/>
      <c r="V20" s="372"/>
      <c r="W20" s="373"/>
      <c r="X20" s="372"/>
      <c r="Y20" s="372"/>
      <c r="Z20" s="372"/>
      <c r="AA20" s="373"/>
    </row>
    <row r="21" spans="1:27">
      <c r="A21" s="182"/>
      <c r="B21" s="477"/>
      <c r="C21" s="390"/>
      <c r="D21" s="107"/>
      <c r="E21" s="107"/>
      <c r="F21" s="107"/>
      <c r="G21" s="107"/>
      <c r="H21" s="107"/>
      <c r="I21" s="390"/>
      <c r="J21" s="390"/>
      <c r="K21" s="107"/>
      <c r="L21" s="107"/>
      <c r="M21" s="107"/>
      <c r="N21" s="390"/>
      <c r="O21" s="390"/>
      <c r="P21" s="107"/>
      <c r="Q21" s="390"/>
      <c r="R21" s="390"/>
      <c r="S21" s="390"/>
      <c r="T21" s="374"/>
      <c r="U21" s="374"/>
      <c r="V21" s="374"/>
      <c r="W21" s="375"/>
      <c r="X21" s="374"/>
      <c r="Y21" s="374"/>
      <c r="Z21" s="374"/>
      <c r="AA21" s="375"/>
    </row>
    <row r="22" spans="1:27" s="1" customFormat="1">
      <c r="A22" s="182"/>
      <c r="B22" s="476"/>
      <c r="C22" s="476"/>
      <c r="D22" s="735"/>
      <c r="E22" s="735"/>
      <c r="F22" s="735"/>
      <c r="G22" s="735"/>
      <c r="H22" s="735"/>
      <c r="I22" s="476"/>
      <c r="J22" s="476"/>
      <c r="K22" s="735"/>
      <c r="L22" s="735"/>
      <c r="M22" s="735"/>
      <c r="N22" s="476"/>
      <c r="O22" s="476"/>
      <c r="P22" s="735"/>
      <c r="Q22" s="476"/>
      <c r="R22" s="476"/>
      <c r="S22" s="476"/>
      <c r="T22" s="376"/>
      <c r="U22" s="376"/>
      <c r="V22" s="376"/>
      <c r="W22" s="377"/>
      <c r="X22" s="376"/>
      <c r="Y22" s="376"/>
      <c r="Z22" s="376"/>
      <c r="AA22" s="377"/>
    </row>
    <row r="23" spans="1:27">
      <c r="A23" s="182"/>
      <c r="B23" s="477"/>
      <c r="C23" s="390"/>
      <c r="D23" s="107"/>
      <c r="E23" s="107"/>
      <c r="F23" s="107"/>
      <c r="G23" s="107"/>
      <c r="H23" s="107"/>
      <c r="I23" s="390"/>
      <c r="J23" s="390"/>
      <c r="K23" s="107"/>
      <c r="L23" s="107"/>
      <c r="M23" s="107"/>
      <c r="N23" s="390"/>
      <c r="O23" s="390"/>
      <c r="P23" s="107"/>
      <c r="Q23" s="390"/>
      <c r="R23" s="390"/>
      <c r="S23" s="390"/>
      <c r="T23" s="374"/>
      <c r="U23" s="374"/>
      <c r="V23" s="374"/>
      <c r="W23" s="375"/>
      <c r="X23" s="374"/>
      <c r="Y23" s="374"/>
      <c r="Z23" s="374"/>
      <c r="AA23" s="375"/>
    </row>
    <row r="24" spans="1:27" s="1" customFormat="1">
      <c r="A24" s="182"/>
      <c r="B24" s="477"/>
      <c r="C24" s="390"/>
      <c r="D24" s="107"/>
      <c r="E24" s="107"/>
      <c r="F24" s="107"/>
      <c r="G24" s="107"/>
      <c r="H24" s="107"/>
      <c r="I24" s="390"/>
      <c r="J24" s="390"/>
      <c r="K24" s="107"/>
      <c r="L24" s="107"/>
      <c r="M24" s="107"/>
      <c r="N24" s="390"/>
      <c r="O24" s="390"/>
      <c r="P24" s="107"/>
      <c r="Q24" s="390"/>
      <c r="R24" s="390"/>
      <c r="S24" s="390"/>
      <c r="T24" s="374"/>
      <c r="U24" s="374"/>
      <c r="V24" s="374"/>
      <c r="W24" s="375"/>
      <c r="X24" s="374"/>
      <c r="Y24" s="374"/>
      <c r="Z24" s="374"/>
      <c r="AA24" s="375"/>
    </row>
    <row r="25" spans="1:27">
      <c r="A25" s="182"/>
      <c r="B25" s="475"/>
      <c r="C25" s="476"/>
      <c r="D25" s="735"/>
      <c r="E25" s="735"/>
      <c r="F25" s="735"/>
      <c r="G25" s="735"/>
      <c r="H25" s="735"/>
      <c r="I25" s="476"/>
      <c r="J25" s="476"/>
      <c r="K25" s="735"/>
      <c r="L25" s="735"/>
      <c r="M25" s="735"/>
      <c r="N25" s="476"/>
      <c r="O25" s="476"/>
      <c r="P25" s="735"/>
      <c r="Q25" s="476"/>
      <c r="R25" s="475"/>
      <c r="S25" s="475"/>
      <c r="T25" s="378"/>
      <c r="U25" s="378"/>
      <c r="V25" s="378"/>
      <c r="W25" s="379"/>
      <c r="X25" s="378"/>
      <c r="Y25" s="378"/>
      <c r="Z25" s="378"/>
      <c r="AA25" s="379"/>
    </row>
    <row r="26" spans="1:27" s="1" customFormat="1">
      <c r="A26" s="185"/>
      <c r="B26" s="474"/>
      <c r="C26" s="736"/>
      <c r="D26" s="737"/>
      <c r="E26" s="737"/>
      <c r="F26" s="737"/>
      <c r="G26" s="737"/>
      <c r="H26" s="737"/>
      <c r="I26" s="736"/>
      <c r="J26" s="736"/>
      <c r="K26" s="737"/>
      <c r="L26" s="737"/>
      <c r="M26" s="737"/>
      <c r="N26" s="736"/>
      <c r="O26" s="736"/>
      <c r="P26" s="737"/>
      <c r="Q26" s="736"/>
      <c r="R26" s="736"/>
      <c r="S26" s="736"/>
      <c r="T26" s="380"/>
      <c r="U26" s="380"/>
      <c r="V26" s="380"/>
      <c r="W26" s="381"/>
      <c r="X26" s="380"/>
      <c r="Y26" s="380"/>
      <c r="Z26" s="380"/>
      <c r="AA26" s="381"/>
    </row>
    <row r="27" spans="1:27">
      <c r="A27" s="365"/>
      <c r="B27" s="384"/>
      <c r="C27" s="388"/>
      <c r="D27" s="389"/>
      <c r="E27" s="389"/>
      <c r="F27" s="389"/>
      <c r="G27" s="389"/>
      <c r="H27" s="389"/>
      <c r="I27" s="388"/>
      <c r="J27" s="388"/>
      <c r="K27" s="389"/>
      <c r="L27" s="389"/>
      <c r="M27" s="389"/>
      <c r="N27" s="388"/>
      <c r="O27" s="388"/>
      <c r="P27" s="389"/>
      <c r="Q27" s="388"/>
      <c r="R27" s="388"/>
      <c r="S27" s="388"/>
      <c r="T27" s="372"/>
      <c r="U27" s="372"/>
      <c r="V27" s="372"/>
      <c r="W27" s="373"/>
      <c r="X27" s="372"/>
      <c r="Y27" s="372"/>
      <c r="Z27" s="372"/>
      <c r="AA27" s="373"/>
    </row>
    <row r="28" spans="1:27" s="1" customFormat="1">
      <c r="A28" s="182"/>
      <c r="B28" s="477"/>
      <c r="C28" s="390"/>
      <c r="D28" s="107"/>
      <c r="E28" s="107"/>
      <c r="F28" s="107"/>
      <c r="G28" s="107"/>
      <c r="H28" s="107"/>
      <c r="I28" s="390"/>
      <c r="J28" s="390"/>
      <c r="K28" s="107"/>
      <c r="L28" s="107"/>
      <c r="M28" s="107"/>
      <c r="N28" s="390"/>
      <c r="O28" s="390"/>
      <c r="P28" s="107"/>
      <c r="Q28" s="390"/>
      <c r="R28" s="390"/>
      <c r="S28" s="390"/>
      <c r="T28" s="374"/>
      <c r="U28" s="374"/>
      <c r="V28" s="374"/>
      <c r="W28" s="375"/>
      <c r="X28" s="374"/>
      <c r="Y28" s="374"/>
      <c r="Z28" s="374"/>
      <c r="AA28" s="375"/>
    </row>
    <row r="29" spans="1:27">
      <c r="A29" s="182"/>
      <c r="B29" s="476"/>
      <c r="C29" s="476"/>
      <c r="D29" s="735"/>
      <c r="E29" s="735"/>
      <c r="F29" s="735"/>
      <c r="G29" s="735"/>
      <c r="H29" s="735"/>
      <c r="I29" s="476"/>
      <c r="J29" s="476"/>
      <c r="K29" s="735"/>
      <c r="L29" s="735"/>
      <c r="M29" s="735"/>
      <c r="N29" s="476"/>
      <c r="O29" s="476"/>
      <c r="P29" s="735"/>
      <c r="Q29" s="476"/>
      <c r="R29" s="476"/>
      <c r="S29" s="476"/>
      <c r="T29" s="376"/>
      <c r="U29" s="376"/>
      <c r="V29" s="376"/>
      <c r="W29" s="377"/>
      <c r="X29" s="376"/>
      <c r="Y29" s="376"/>
      <c r="Z29" s="376"/>
      <c r="AA29" s="377"/>
    </row>
    <row r="30" spans="1:27" s="1" customFormat="1">
      <c r="A30" s="182"/>
      <c r="B30" s="477"/>
      <c r="C30" s="390"/>
      <c r="D30" s="107"/>
      <c r="E30" s="107"/>
      <c r="F30" s="107"/>
      <c r="G30" s="107"/>
      <c r="H30" s="107"/>
      <c r="I30" s="390"/>
      <c r="J30" s="390"/>
      <c r="K30" s="107"/>
      <c r="L30" s="107"/>
      <c r="M30" s="107"/>
      <c r="N30" s="390"/>
      <c r="O30" s="390"/>
      <c r="P30" s="107"/>
      <c r="Q30" s="390"/>
      <c r="R30" s="390"/>
      <c r="S30" s="390"/>
      <c r="T30" s="374"/>
      <c r="U30" s="374"/>
      <c r="V30" s="374"/>
      <c r="W30" s="375"/>
      <c r="X30" s="374"/>
      <c r="Y30" s="374"/>
      <c r="Z30" s="374"/>
      <c r="AA30" s="375"/>
    </row>
    <row r="31" spans="1:27">
      <c r="A31" s="182"/>
      <c r="B31" s="477"/>
      <c r="C31" s="390"/>
      <c r="D31" s="107"/>
      <c r="E31" s="107"/>
      <c r="F31" s="107"/>
      <c r="G31" s="107"/>
      <c r="H31" s="107"/>
      <c r="I31" s="390"/>
      <c r="J31" s="390"/>
      <c r="K31" s="107"/>
      <c r="L31" s="107"/>
      <c r="M31" s="107"/>
      <c r="N31" s="390"/>
      <c r="O31" s="390"/>
      <c r="P31" s="107"/>
      <c r="Q31" s="390"/>
      <c r="R31" s="390"/>
      <c r="S31" s="390"/>
      <c r="T31" s="374"/>
      <c r="U31" s="374"/>
      <c r="V31" s="374"/>
      <c r="W31" s="375"/>
      <c r="X31" s="374"/>
      <c r="Y31" s="374"/>
      <c r="Z31" s="374"/>
      <c r="AA31" s="375"/>
    </row>
    <row r="32" spans="1:27" s="1" customFormat="1">
      <c r="A32" s="182"/>
      <c r="B32" s="475"/>
      <c r="C32" s="476"/>
      <c r="D32" s="735"/>
      <c r="E32" s="735"/>
      <c r="F32" s="735"/>
      <c r="G32" s="735"/>
      <c r="H32" s="735"/>
      <c r="I32" s="476"/>
      <c r="J32" s="476"/>
      <c r="K32" s="735"/>
      <c r="L32" s="735"/>
      <c r="M32" s="735"/>
      <c r="N32" s="476"/>
      <c r="O32" s="476"/>
      <c r="P32" s="735"/>
      <c r="Q32" s="476"/>
      <c r="R32" s="475"/>
      <c r="S32" s="475"/>
      <c r="T32" s="378"/>
      <c r="U32" s="378"/>
      <c r="V32" s="378"/>
      <c r="W32" s="379"/>
      <c r="X32" s="378"/>
      <c r="Y32" s="378"/>
      <c r="Z32" s="378"/>
      <c r="AA32" s="379"/>
    </row>
    <row r="33" spans="1:27">
      <c r="A33" s="185"/>
      <c r="B33" s="474"/>
      <c r="C33" s="736"/>
      <c r="D33" s="737"/>
      <c r="E33" s="737"/>
      <c r="F33" s="737"/>
      <c r="G33" s="737"/>
      <c r="H33" s="737"/>
      <c r="I33" s="736"/>
      <c r="J33" s="736"/>
      <c r="K33" s="737"/>
      <c r="L33" s="772"/>
      <c r="M33" s="737"/>
      <c r="N33" s="736"/>
      <c r="O33" s="736"/>
      <c r="P33" s="737"/>
      <c r="Q33" s="736"/>
      <c r="R33" s="736"/>
      <c r="S33" s="736"/>
      <c r="T33" s="380"/>
      <c r="U33" s="380"/>
      <c r="V33" s="380"/>
      <c r="W33" s="381"/>
      <c r="X33" s="380"/>
      <c r="Y33" s="380"/>
      <c r="Z33" s="380"/>
      <c r="AA33" s="381"/>
    </row>
    <row r="34" spans="1:27" s="1" customFormat="1">
      <c r="A34" s="365"/>
      <c r="B34" s="384"/>
      <c r="C34" s="388"/>
      <c r="D34" s="389"/>
      <c r="E34" s="389"/>
      <c r="F34" s="389"/>
      <c r="G34" s="389"/>
      <c r="H34" s="389"/>
      <c r="I34" s="388"/>
      <c r="J34" s="388"/>
      <c r="K34" s="389"/>
      <c r="L34" s="389"/>
      <c r="M34" s="389"/>
      <c r="N34" s="388"/>
      <c r="O34" s="388"/>
      <c r="P34" s="389"/>
      <c r="Q34" s="388"/>
      <c r="R34" s="388"/>
      <c r="S34" s="388"/>
      <c r="T34" s="372"/>
      <c r="U34" s="372"/>
      <c r="V34" s="372"/>
      <c r="W34" s="373"/>
      <c r="X34" s="372"/>
      <c r="Y34" s="372"/>
      <c r="Z34" s="372"/>
      <c r="AA34" s="373"/>
    </row>
    <row r="35" spans="1:27">
      <c r="A35" s="182"/>
      <c r="B35" s="477"/>
      <c r="C35" s="390"/>
      <c r="D35" s="107"/>
      <c r="E35" s="107"/>
      <c r="F35" s="107"/>
      <c r="G35" s="107"/>
      <c r="H35" s="107"/>
      <c r="I35" s="390"/>
      <c r="J35" s="390"/>
      <c r="K35" s="107"/>
      <c r="L35" s="107"/>
      <c r="M35" s="107"/>
      <c r="N35" s="390"/>
      <c r="O35" s="390"/>
      <c r="P35" s="107"/>
      <c r="Q35" s="390"/>
      <c r="R35" s="390"/>
      <c r="S35" s="390"/>
      <c r="T35" s="374"/>
      <c r="U35" s="374"/>
      <c r="V35" s="374"/>
      <c r="W35" s="375"/>
      <c r="X35" s="374"/>
      <c r="Y35" s="374"/>
      <c r="Z35" s="374"/>
      <c r="AA35" s="375"/>
    </row>
    <row r="36" spans="1:27" s="1" customFormat="1">
      <c r="A36" s="182"/>
      <c r="B36" s="476"/>
      <c r="C36" s="476"/>
      <c r="D36" s="735"/>
      <c r="E36" s="735"/>
      <c r="F36" s="735"/>
      <c r="G36" s="735"/>
      <c r="H36" s="735"/>
      <c r="I36" s="476"/>
      <c r="J36" s="476"/>
      <c r="K36" s="735"/>
      <c r="L36" s="735"/>
      <c r="M36" s="735"/>
      <c r="N36" s="476"/>
      <c r="O36" s="476"/>
      <c r="P36" s="735"/>
      <c r="Q36" s="476"/>
      <c r="R36" s="476"/>
      <c r="S36" s="476"/>
      <c r="T36" s="376"/>
      <c r="U36" s="376"/>
      <c r="V36" s="376"/>
      <c r="W36" s="377"/>
      <c r="X36" s="376"/>
      <c r="Y36" s="376"/>
      <c r="Z36" s="376"/>
      <c r="AA36" s="377"/>
    </row>
    <row r="37" spans="1:27">
      <c r="A37" s="182"/>
      <c r="B37" s="477"/>
      <c r="C37" s="390"/>
      <c r="D37" s="107"/>
      <c r="E37" s="107"/>
      <c r="F37" s="107"/>
      <c r="G37" s="107"/>
      <c r="H37" s="107"/>
      <c r="I37" s="390"/>
      <c r="J37" s="390"/>
      <c r="K37" s="107"/>
      <c r="L37" s="107"/>
      <c r="M37" s="107"/>
      <c r="N37" s="390"/>
      <c r="O37" s="390"/>
      <c r="P37" s="107"/>
      <c r="Q37" s="390"/>
      <c r="R37" s="390"/>
      <c r="S37" s="390"/>
      <c r="T37" s="374"/>
      <c r="U37" s="374"/>
      <c r="V37" s="374"/>
      <c r="W37" s="375"/>
      <c r="X37" s="374"/>
      <c r="Y37" s="374"/>
      <c r="Z37" s="374"/>
      <c r="AA37" s="375"/>
    </row>
    <row r="38" spans="1:27" s="1" customFormat="1">
      <c r="A38" s="182"/>
      <c r="B38" s="477"/>
      <c r="C38" s="390"/>
      <c r="D38" s="107"/>
      <c r="E38" s="107"/>
      <c r="F38" s="107"/>
      <c r="G38" s="107"/>
      <c r="H38" s="107"/>
      <c r="I38" s="390"/>
      <c r="J38" s="390"/>
      <c r="K38" s="107"/>
      <c r="L38" s="107"/>
      <c r="M38" s="107"/>
      <c r="N38" s="390"/>
      <c r="O38" s="390"/>
      <c r="P38" s="107"/>
      <c r="Q38" s="390"/>
      <c r="R38" s="390"/>
      <c r="S38" s="390"/>
      <c r="T38" s="374"/>
      <c r="U38" s="374"/>
      <c r="V38" s="374"/>
      <c r="W38" s="375"/>
      <c r="X38" s="374"/>
      <c r="Y38" s="374"/>
      <c r="Z38" s="374"/>
      <c r="AA38" s="375"/>
    </row>
    <row r="39" spans="1:27">
      <c r="A39" s="182"/>
      <c r="B39" s="475"/>
      <c r="C39" s="476"/>
      <c r="D39" s="735"/>
      <c r="E39" s="735"/>
      <c r="F39" s="735"/>
      <c r="G39" s="735"/>
      <c r="H39" s="735"/>
      <c r="I39" s="476"/>
      <c r="J39" s="476"/>
      <c r="K39" s="735"/>
      <c r="L39" s="735"/>
      <c r="M39" s="735"/>
      <c r="N39" s="476"/>
      <c r="O39" s="476"/>
      <c r="P39" s="735"/>
      <c r="Q39" s="476"/>
      <c r="R39" s="475"/>
      <c r="S39" s="475"/>
      <c r="T39" s="378"/>
      <c r="U39" s="378"/>
      <c r="V39" s="378"/>
      <c r="W39" s="379"/>
      <c r="X39" s="378"/>
      <c r="Y39" s="378"/>
      <c r="Z39" s="378"/>
      <c r="AA39" s="379"/>
    </row>
    <row r="40" spans="1:27" s="1" customFormat="1">
      <c r="A40" s="185"/>
      <c r="B40" s="474"/>
      <c r="C40" s="736"/>
      <c r="D40" s="737"/>
      <c r="E40" s="737"/>
      <c r="F40" s="737"/>
      <c r="G40" s="737"/>
      <c r="H40" s="737"/>
      <c r="I40" s="736"/>
      <c r="J40" s="771"/>
      <c r="K40" s="772"/>
      <c r="L40" s="737"/>
      <c r="M40" s="737"/>
      <c r="N40" s="736"/>
      <c r="O40" s="736"/>
      <c r="P40" s="737"/>
      <c r="Q40" s="736"/>
      <c r="R40" s="736"/>
      <c r="S40" s="736"/>
      <c r="T40" s="380"/>
      <c r="U40" s="380"/>
      <c r="V40" s="380"/>
      <c r="W40" s="381"/>
      <c r="X40" s="380"/>
      <c r="Y40" s="380"/>
      <c r="Z40" s="380"/>
      <c r="AA40" s="381"/>
    </row>
    <row r="41" spans="1:27">
      <c r="A41" s="365"/>
      <c r="B41" s="384"/>
      <c r="C41" s="388"/>
      <c r="D41" s="389"/>
      <c r="E41" s="389"/>
      <c r="F41" s="389"/>
      <c r="G41" s="389"/>
      <c r="H41" s="389"/>
      <c r="I41" s="388"/>
      <c r="J41" s="388"/>
      <c r="K41" s="389"/>
      <c r="L41" s="389"/>
      <c r="M41" s="389"/>
      <c r="N41" s="388"/>
      <c r="O41" s="388"/>
      <c r="P41" s="389"/>
      <c r="Q41" s="388"/>
      <c r="R41" s="388"/>
      <c r="S41" s="388"/>
      <c r="T41" s="372"/>
      <c r="U41" s="372"/>
      <c r="V41" s="372"/>
      <c r="W41" s="373"/>
      <c r="X41" s="372"/>
      <c r="Y41" s="372"/>
      <c r="Z41" s="372"/>
      <c r="AA41" s="373"/>
    </row>
    <row r="42" spans="1:27" s="1" customFormat="1">
      <c r="A42" s="182"/>
      <c r="B42" s="477"/>
      <c r="C42" s="390"/>
      <c r="D42" s="107"/>
      <c r="E42" s="107"/>
      <c r="F42" s="107"/>
      <c r="G42" s="107"/>
      <c r="H42" s="107"/>
      <c r="I42" s="390"/>
      <c r="J42" s="390"/>
      <c r="K42" s="107"/>
      <c r="L42" s="107"/>
      <c r="M42" s="107"/>
      <c r="N42" s="390"/>
      <c r="O42" s="390"/>
      <c r="P42" s="107"/>
      <c r="Q42" s="390"/>
      <c r="R42" s="390"/>
      <c r="S42" s="390"/>
      <c r="T42" s="374"/>
      <c r="U42" s="374"/>
      <c r="V42" s="374"/>
      <c r="W42" s="375"/>
      <c r="X42" s="374"/>
      <c r="Y42" s="374"/>
      <c r="Z42" s="374"/>
      <c r="AA42" s="375"/>
    </row>
    <row r="43" spans="1:27">
      <c r="A43" s="182"/>
      <c r="B43" s="476"/>
      <c r="C43" s="476"/>
      <c r="D43" s="735"/>
      <c r="E43" s="735"/>
      <c r="F43" s="735"/>
      <c r="G43" s="735"/>
      <c r="H43" s="735"/>
      <c r="I43" s="476"/>
      <c r="J43" s="476"/>
      <c r="K43" s="735"/>
      <c r="L43" s="735"/>
      <c r="M43" s="735"/>
      <c r="N43" s="476"/>
      <c r="O43" s="476"/>
      <c r="P43" s="735"/>
      <c r="Q43" s="476"/>
      <c r="R43" s="476"/>
      <c r="S43" s="476"/>
      <c r="T43" s="376"/>
      <c r="U43" s="376"/>
      <c r="V43" s="376"/>
      <c r="W43" s="377"/>
      <c r="X43" s="376"/>
      <c r="Y43" s="376"/>
      <c r="Z43" s="376"/>
      <c r="AA43" s="377"/>
    </row>
    <row r="44" spans="1:27" s="1" customFormat="1">
      <c r="A44" s="182"/>
      <c r="B44" s="477"/>
      <c r="C44" s="390"/>
      <c r="D44" s="107"/>
      <c r="E44" s="107"/>
      <c r="F44" s="107"/>
      <c r="G44" s="107"/>
      <c r="H44" s="107"/>
      <c r="I44" s="390"/>
      <c r="J44" s="390"/>
      <c r="K44" s="107"/>
      <c r="L44" s="107"/>
      <c r="M44" s="107"/>
      <c r="N44" s="390"/>
      <c r="O44" s="390"/>
      <c r="P44" s="107"/>
      <c r="Q44" s="390"/>
      <c r="R44" s="390"/>
      <c r="S44" s="390"/>
      <c r="T44" s="374"/>
      <c r="U44" s="374"/>
      <c r="V44" s="374"/>
      <c r="W44" s="375"/>
      <c r="X44" s="374"/>
      <c r="Y44" s="374"/>
      <c r="Z44" s="374"/>
      <c r="AA44" s="375"/>
    </row>
    <row r="45" spans="1:27">
      <c r="A45" s="182"/>
      <c r="B45" s="477"/>
      <c r="C45" s="390"/>
      <c r="D45" s="107"/>
      <c r="E45" s="107"/>
      <c r="F45" s="107"/>
      <c r="G45" s="107"/>
      <c r="H45" s="107"/>
      <c r="I45" s="390"/>
      <c r="J45" s="390"/>
      <c r="K45" s="107"/>
      <c r="L45" s="107"/>
      <c r="M45" s="107"/>
      <c r="N45" s="390"/>
      <c r="O45" s="390"/>
      <c r="P45" s="107"/>
      <c r="Q45" s="390"/>
      <c r="R45" s="390"/>
      <c r="S45" s="390"/>
      <c r="T45" s="374"/>
      <c r="U45" s="374"/>
      <c r="V45" s="374"/>
      <c r="W45" s="375"/>
      <c r="X45" s="374"/>
      <c r="Y45" s="374"/>
      <c r="Z45" s="374"/>
      <c r="AA45" s="375"/>
    </row>
    <row r="46" spans="1:27" s="1" customFormat="1">
      <c r="A46" s="182"/>
      <c r="B46" s="475"/>
      <c r="C46" s="476"/>
      <c r="D46" s="735"/>
      <c r="E46" s="735"/>
      <c r="F46" s="735"/>
      <c r="G46" s="735"/>
      <c r="H46" s="735"/>
      <c r="I46" s="476"/>
      <c r="J46" s="476"/>
      <c r="K46" s="735"/>
      <c r="L46" s="735"/>
      <c r="M46" s="735"/>
      <c r="N46" s="476"/>
      <c r="O46" s="476"/>
      <c r="P46" s="735"/>
      <c r="Q46" s="476"/>
      <c r="R46" s="475"/>
      <c r="S46" s="475"/>
      <c r="T46" s="378"/>
      <c r="U46" s="378"/>
      <c r="V46" s="378"/>
      <c r="W46" s="379"/>
      <c r="X46" s="378"/>
      <c r="Y46" s="378"/>
      <c r="Z46" s="378"/>
      <c r="AA46" s="379"/>
    </row>
    <row r="47" spans="1:27">
      <c r="A47" s="185"/>
      <c r="B47" s="474"/>
      <c r="C47" s="736"/>
      <c r="D47" s="737"/>
      <c r="E47" s="737"/>
      <c r="F47" s="737"/>
      <c r="G47" s="737"/>
      <c r="H47" s="737"/>
      <c r="I47" s="736"/>
      <c r="J47" s="736"/>
      <c r="K47" s="737"/>
      <c r="L47" s="772"/>
      <c r="M47" s="772"/>
      <c r="N47" s="736"/>
      <c r="O47" s="736"/>
      <c r="P47" s="737"/>
      <c r="Q47" s="771"/>
      <c r="R47" s="736"/>
      <c r="S47" s="736"/>
      <c r="T47" s="380"/>
      <c r="U47" s="380"/>
      <c r="V47" s="380"/>
      <c r="W47" s="381"/>
      <c r="X47" s="380"/>
      <c r="Y47" s="380"/>
      <c r="Z47" s="380"/>
      <c r="AA47" s="381"/>
    </row>
    <row r="48" spans="1:27" s="1" customFormat="1">
      <c r="A48" s="365"/>
      <c r="B48" s="384"/>
      <c r="C48" s="388"/>
      <c r="D48" s="389"/>
      <c r="E48" s="389"/>
      <c r="F48" s="389"/>
      <c r="G48" s="389"/>
      <c r="H48" s="389"/>
      <c r="I48" s="388"/>
      <c r="J48" s="388"/>
      <c r="K48" s="389"/>
      <c r="L48" s="389"/>
      <c r="M48" s="389"/>
      <c r="N48" s="388"/>
      <c r="O48" s="388"/>
      <c r="P48" s="389"/>
      <c r="Q48" s="388"/>
      <c r="R48" s="388"/>
      <c r="S48" s="388"/>
      <c r="T48" s="372"/>
      <c r="U48" s="372"/>
      <c r="V48" s="372"/>
      <c r="W48" s="373"/>
      <c r="X48" s="372"/>
      <c r="Y48" s="372"/>
      <c r="Z48" s="372"/>
      <c r="AA48" s="373"/>
    </row>
    <row r="49" spans="1:27">
      <c r="A49" s="182"/>
      <c r="B49" s="477"/>
      <c r="C49" s="390"/>
      <c r="D49" s="107"/>
      <c r="E49" s="107"/>
      <c r="F49" s="107"/>
      <c r="G49" s="107"/>
      <c r="H49" s="107"/>
      <c r="I49" s="390"/>
      <c r="J49" s="390"/>
      <c r="K49" s="107"/>
      <c r="L49" s="107"/>
      <c r="M49" s="107"/>
      <c r="N49" s="390"/>
      <c r="O49" s="390"/>
      <c r="P49" s="107"/>
      <c r="Q49" s="390"/>
      <c r="R49" s="390"/>
      <c r="S49" s="390"/>
      <c r="T49" s="374"/>
      <c r="U49" s="374"/>
      <c r="V49" s="374"/>
      <c r="W49" s="375"/>
      <c r="X49" s="374"/>
      <c r="Y49" s="374"/>
      <c r="Z49" s="374"/>
      <c r="AA49" s="375"/>
    </row>
    <row r="50" spans="1:27" s="1" customFormat="1">
      <c r="A50" s="182"/>
      <c r="B50" s="476"/>
      <c r="C50" s="476"/>
      <c r="D50" s="735"/>
      <c r="E50" s="735"/>
      <c r="F50" s="735"/>
      <c r="G50" s="735"/>
      <c r="H50" s="735"/>
      <c r="I50" s="476"/>
      <c r="J50" s="476"/>
      <c r="K50" s="735"/>
      <c r="L50" s="735"/>
      <c r="M50" s="735"/>
      <c r="N50" s="476"/>
      <c r="O50" s="476"/>
      <c r="P50" s="735"/>
      <c r="Q50" s="476"/>
      <c r="R50" s="476"/>
      <c r="S50" s="476"/>
      <c r="T50" s="376"/>
      <c r="U50" s="376"/>
      <c r="V50" s="376"/>
      <c r="W50" s="377"/>
      <c r="X50" s="376"/>
      <c r="Y50" s="376"/>
      <c r="Z50" s="376"/>
      <c r="AA50" s="377"/>
    </row>
    <row r="51" spans="1:27">
      <c r="A51" s="182"/>
      <c r="B51" s="477"/>
      <c r="C51" s="390"/>
      <c r="D51" s="107"/>
      <c r="E51" s="107"/>
      <c r="F51" s="107"/>
      <c r="G51" s="107"/>
      <c r="H51" s="107"/>
      <c r="I51" s="390"/>
      <c r="J51" s="390"/>
      <c r="K51" s="107"/>
      <c r="L51" s="107"/>
      <c r="M51" s="107"/>
      <c r="N51" s="390"/>
      <c r="O51" s="390"/>
      <c r="P51" s="107"/>
      <c r="Q51" s="390"/>
      <c r="R51" s="390"/>
      <c r="S51" s="390"/>
      <c r="T51" s="374"/>
      <c r="U51" s="374"/>
      <c r="V51" s="374"/>
      <c r="W51" s="375"/>
      <c r="X51" s="374"/>
      <c r="Y51" s="374"/>
      <c r="Z51" s="374"/>
      <c r="AA51" s="375"/>
    </row>
    <row r="52" spans="1:27" s="1" customFormat="1">
      <c r="A52" s="182"/>
      <c r="B52" s="477"/>
      <c r="C52" s="390"/>
      <c r="D52" s="107"/>
      <c r="E52" s="107"/>
      <c r="F52" s="107"/>
      <c r="G52" s="107"/>
      <c r="H52" s="107"/>
      <c r="I52" s="390"/>
      <c r="J52" s="390"/>
      <c r="K52" s="107"/>
      <c r="L52" s="107"/>
      <c r="M52" s="107"/>
      <c r="N52" s="390"/>
      <c r="O52" s="390"/>
      <c r="P52" s="107"/>
      <c r="Q52" s="390"/>
      <c r="R52" s="390"/>
      <c r="S52" s="390"/>
      <c r="T52" s="374"/>
      <c r="U52" s="374"/>
      <c r="V52" s="374"/>
      <c r="W52" s="375"/>
      <c r="X52" s="374"/>
      <c r="Y52" s="374"/>
      <c r="Z52" s="374"/>
      <c r="AA52" s="375"/>
    </row>
    <row r="53" spans="1:27">
      <c r="A53" s="182"/>
      <c r="B53" s="475"/>
      <c r="C53" s="476"/>
      <c r="D53" s="735"/>
      <c r="E53" s="735"/>
      <c r="F53" s="735"/>
      <c r="G53" s="735"/>
      <c r="H53" s="735"/>
      <c r="I53" s="476"/>
      <c r="J53" s="476"/>
      <c r="K53" s="735"/>
      <c r="L53" s="735"/>
      <c r="M53" s="735"/>
      <c r="N53" s="476"/>
      <c r="O53" s="476"/>
      <c r="P53" s="735"/>
      <c r="Q53" s="476"/>
      <c r="R53" s="475"/>
      <c r="S53" s="475"/>
      <c r="T53" s="378"/>
      <c r="U53" s="378"/>
      <c r="V53" s="378"/>
      <c r="W53" s="379"/>
      <c r="X53" s="378"/>
      <c r="Y53" s="378"/>
      <c r="Z53" s="378"/>
      <c r="AA53" s="379"/>
    </row>
    <row r="54" spans="1:27" s="1" customFormat="1">
      <c r="A54" s="185"/>
      <c r="B54" s="474"/>
      <c r="C54" s="736"/>
      <c r="D54" s="737"/>
      <c r="E54" s="772"/>
      <c r="F54" s="772"/>
      <c r="G54" s="737"/>
      <c r="H54" s="772"/>
      <c r="I54" s="736"/>
      <c r="J54" s="736"/>
      <c r="K54" s="737"/>
      <c r="L54" s="772"/>
      <c r="M54" s="772"/>
      <c r="N54" s="736"/>
      <c r="O54" s="736"/>
      <c r="P54" s="737"/>
      <c r="Q54" s="771"/>
      <c r="R54" s="736"/>
      <c r="S54" s="736"/>
      <c r="T54" s="380"/>
      <c r="U54" s="380"/>
      <c r="V54" s="380"/>
      <c r="W54" s="381"/>
      <c r="X54" s="380"/>
      <c r="Y54" s="380"/>
      <c r="Z54" s="380"/>
      <c r="AA54" s="381"/>
    </row>
    <row r="55" spans="1:27">
      <c r="A55" s="365"/>
      <c r="B55" s="384"/>
      <c r="C55" s="388"/>
      <c r="D55" s="389"/>
      <c r="E55" s="389"/>
      <c r="F55" s="389"/>
      <c r="G55" s="389"/>
      <c r="H55" s="389"/>
      <c r="I55" s="388"/>
      <c r="J55" s="388"/>
      <c r="K55" s="389"/>
      <c r="L55" s="389"/>
      <c r="M55" s="389"/>
      <c r="N55" s="388"/>
      <c r="O55" s="388"/>
      <c r="P55" s="389"/>
      <c r="Q55" s="388"/>
      <c r="R55" s="388"/>
      <c r="S55" s="388"/>
      <c r="T55" s="372"/>
      <c r="U55" s="372"/>
      <c r="V55" s="372"/>
      <c r="W55" s="373"/>
      <c r="X55" s="372"/>
      <c r="Y55" s="372"/>
      <c r="Z55" s="372"/>
      <c r="AA55" s="373"/>
    </row>
    <row r="56" spans="1:27" s="1" customFormat="1">
      <c r="A56" s="182"/>
      <c r="B56" s="477"/>
      <c r="C56" s="390"/>
      <c r="D56" s="107"/>
      <c r="E56" s="107"/>
      <c r="F56" s="107"/>
      <c r="G56" s="107"/>
      <c r="H56" s="107"/>
      <c r="I56" s="390"/>
      <c r="J56" s="390"/>
      <c r="K56" s="107"/>
      <c r="L56" s="107"/>
      <c r="M56" s="107"/>
      <c r="N56" s="390"/>
      <c r="O56" s="390"/>
      <c r="P56" s="107"/>
      <c r="Q56" s="390"/>
      <c r="R56" s="390"/>
      <c r="S56" s="390"/>
      <c r="T56" s="374"/>
      <c r="U56" s="374"/>
      <c r="V56" s="374"/>
      <c r="W56" s="375"/>
      <c r="X56" s="374"/>
      <c r="Y56" s="374"/>
      <c r="Z56" s="374"/>
      <c r="AA56" s="375"/>
    </row>
    <row r="57" spans="1:27">
      <c r="A57" s="182"/>
      <c r="B57" s="476"/>
      <c r="C57" s="476"/>
      <c r="D57" s="735"/>
      <c r="E57" s="735"/>
      <c r="F57" s="735"/>
      <c r="G57" s="735"/>
      <c r="H57" s="735"/>
      <c r="I57" s="476"/>
      <c r="J57" s="476"/>
      <c r="K57" s="735"/>
      <c r="L57" s="735"/>
      <c r="M57" s="735"/>
      <c r="N57" s="476"/>
      <c r="O57" s="476"/>
      <c r="P57" s="735"/>
      <c r="Q57" s="476"/>
      <c r="R57" s="476"/>
      <c r="S57" s="476"/>
      <c r="T57" s="376"/>
      <c r="U57" s="376"/>
      <c r="V57" s="376"/>
      <c r="W57" s="377"/>
      <c r="X57" s="376"/>
      <c r="Y57" s="376"/>
      <c r="Z57" s="376"/>
      <c r="AA57" s="377"/>
    </row>
    <row r="58" spans="1:27" s="1" customFormat="1">
      <c r="A58" s="182"/>
      <c r="B58" s="477"/>
      <c r="C58" s="390"/>
      <c r="D58" s="107"/>
      <c r="E58" s="107"/>
      <c r="F58" s="107"/>
      <c r="G58" s="107"/>
      <c r="H58" s="107"/>
      <c r="I58" s="390"/>
      <c r="J58" s="390"/>
      <c r="K58" s="107"/>
      <c r="L58" s="107"/>
      <c r="M58" s="107"/>
      <c r="N58" s="390"/>
      <c r="O58" s="390"/>
      <c r="P58" s="107"/>
      <c r="Q58" s="390"/>
      <c r="R58" s="390"/>
      <c r="S58" s="390"/>
      <c r="T58" s="374"/>
      <c r="U58" s="374"/>
      <c r="V58" s="374"/>
      <c r="W58" s="375"/>
      <c r="X58" s="374"/>
      <c r="Y58" s="374"/>
      <c r="Z58" s="374"/>
      <c r="AA58" s="375"/>
    </row>
    <row r="59" spans="1:27">
      <c r="A59" s="182"/>
      <c r="B59" s="477"/>
      <c r="C59" s="390"/>
      <c r="D59" s="107"/>
      <c r="E59" s="107"/>
      <c r="F59" s="107"/>
      <c r="G59" s="107"/>
      <c r="H59" s="107"/>
      <c r="I59" s="390"/>
      <c r="J59" s="390"/>
      <c r="K59" s="107"/>
      <c r="L59" s="107"/>
      <c r="M59" s="107"/>
      <c r="N59" s="390"/>
      <c r="O59" s="390"/>
      <c r="P59" s="107"/>
      <c r="Q59" s="390"/>
      <c r="R59" s="390"/>
      <c r="S59" s="390"/>
      <c r="T59" s="374"/>
      <c r="U59" s="374"/>
      <c r="V59" s="374"/>
      <c r="W59" s="375"/>
      <c r="X59" s="374"/>
      <c r="Y59" s="374"/>
      <c r="Z59" s="374"/>
      <c r="AA59" s="375"/>
    </row>
    <row r="60" spans="1:27" s="1" customFormat="1">
      <c r="A60" s="182"/>
      <c r="B60" s="475"/>
      <c r="C60" s="476"/>
      <c r="D60" s="735"/>
      <c r="E60" s="735"/>
      <c r="F60" s="735"/>
      <c r="G60" s="735"/>
      <c r="H60" s="735"/>
      <c r="I60" s="476"/>
      <c r="J60" s="476"/>
      <c r="K60" s="735"/>
      <c r="L60" s="735"/>
      <c r="M60" s="735"/>
      <c r="N60" s="476"/>
      <c r="O60" s="476"/>
      <c r="P60" s="735"/>
      <c r="Q60" s="476"/>
      <c r="R60" s="475"/>
      <c r="S60" s="475"/>
      <c r="T60" s="378"/>
      <c r="U60" s="378"/>
      <c r="V60" s="378"/>
      <c r="W60" s="379"/>
      <c r="X60" s="378"/>
      <c r="Y60" s="378"/>
      <c r="Z60" s="378"/>
      <c r="AA60" s="379"/>
    </row>
    <row r="61" spans="1:27">
      <c r="A61" s="185"/>
      <c r="B61" s="474"/>
      <c r="C61" s="736"/>
      <c r="D61" s="737"/>
      <c r="E61" s="737"/>
      <c r="F61" s="737"/>
      <c r="G61" s="737"/>
      <c r="H61" s="737"/>
      <c r="I61" s="736"/>
      <c r="J61" s="736"/>
      <c r="K61" s="737"/>
      <c r="L61" s="737"/>
      <c r="M61" s="737"/>
      <c r="N61" s="736"/>
      <c r="O61" s="736"/>
      <c r="P61" s="737"/>
      <c r="Q61" s="736"/>
      <c r="R61" s="736"/>
      <c r="S61" s="736"/>
      <c r="T61" s="380"/>
      <c r="U61" s="380"/>
      <c r="V61" s="380"/>
      <c r="W61" s="381"/>
      <c r="X61" s="380"/>
      <c r="Y61" s="380"/>
      <c r="Z61" s="380"/>
      <c r="AA61" s="381"/>
    </row>
    <row r="62" spans="1:27" s="1" customFormat="1">
      <c r="A62" s="365"/>
      <c r="B62" s="384"/>
      <c r="C62" s="388"/>
      <c r="D62" s="389"/>
      <c r="E62" s="389"/>
      <c r="F62" s="389"/>
      <c r="G62" s="389"/>
      <c r="H62" s="389"/>
      <c r="I62" s="388"/>
      <c r="J62" s="388"/>
      <c r="K62" s="389"/>
      <c r="L62" s="389"/>
      <c r="M62" s="389"/>
      <c r="N62" s="388"/>
      <c r="O62" s="388"/>
      <c r="P62" s="389"/>
      <c r="Q62" s="388"/>
      <c r="R62" s="388"/>
      <c r="S62" s="388"/>
      <c r="T62" s="372"/>
      <c r="U62" s="372"/>
      <c r="V62" s="372"/>
      <c r="W62" s="373"/>
      <c r="X62" s="372"/>
      <c r="Y62" s="372"/>
      <c r="Z62" s="372"/>
      <c r="AA62" s="373"/>
    </row>
    <row r="63" spans="1:27">
      <c r="A63" s="182"/>
      <c r="B63" s="477"/>
      <c r="C63" s="390"/>
      <c r="D63" s="107"/>
      <c r="E63" s="107"/>
      <c r="F63" s="107"/>
      <c r="G63" s="107"/>
      <c r="H63" s="107"/>
      <c r="I63" s="390"/>
      <c r="J63" s="390"/>
      <c r="K63" s="107"/>
      <c r="L63" s="107"/>
      <c r="M63" s="107"/>
      <c r="N63" s="390"/>
      <c r="O63" s="390"/>
      <c r="P63" s="107"/>
      <c r="Q63" s="390"/>
      <c r="R63" s="390"/>
      <c r="S63" s="390"/>
      <c r="T63" s="374"/>
      <c r="U63" s="374"/>
      <c r="V63" s="374"/>
      <c r="W63" s="375"/>
      <c r="X63" s="374"/>
      <c r="Y63" s="374"/>
      <c r="Z63" s="374"/>
      <c r="AA63" s="375"/>
    </row>
    <row r="64" spans="1:27" s="1" customFormat="1">
      <c r="A64" s="182"/>
      <c r="B64" s="476"/>
      <c r="C64" s="476"/>
      <c r="D64" s="735"/>
      <c r="E64" s="735"/>
      <c r="F64" s="735"/>
      <c r="G64" s="735"/>
      <c r="H64" s="735"/>
      <c r="I64" s="476"/>
      <c r="J64" s="476"/>
      <c r="K64" s="735"/>
      <c r="L64" s="735"/>
      <c r="M64" s="735"/>
      <c r="N64" s="476"/>
      <c r="O64" s="476"/>
      <c r="P64" s="735"/>
      <c r="Q64" s="476"/>
      <c r="R64" s="476"/>
      <c r="S64" s="476"/>
      <c r="T64" s="376"/>
      <c r="U64" s="376"/>
      <c r="V64" s="376"/>
      <c r="W64" s="377"/>
      <c r="X64" s="376"/>
      <c r="Y64" s="376"/>
      <c r="Z64" s="376"/>
      <c r="AA64" s="377"/>
    </row>
    <row r="65" spans="1:27">
      <c r="A65" s="182"/>
      <c r="B65" s="477"/>
      <c r="C65" s="390"/>
      <c r="D65" s="107"/>
      <c r="E65" s="107"/>
      <c r="F65" s="107"/>
      <c r="G65" s="107"/>
      <c r="H65" s="107"/>
      <c r="I65" s="390"/>
      <c r="J65" s="390"/>
      <c r="K65" s="107"/>
      <c r="L65" s="107"/>
      <c r="M65" s="107"/>
      <c r="N65" s="390"/>
      <c r="O65" s="390"/>
      <c r="P65" s="107"/>
      <c r="Q65" s="390"/>
      <c r="R65" s="390"/>
      <c r="S65" s="390"/>
      <c r="T65" s="374"/>
      <c r="U65" s="374"/>
      <c r="V65" s="374"/>
      <c r="W65" s="375"/>
      <c r="X65" s="374"/>
      <c r="Y65" s="374"/>
      <c r="Z65" s="374"/>
      <c r="AA65" s="375"/>
    </row>
    <row r="66" spans="1:27" s="1" customFormat="1">
      <c r="A66" s="182"/>
      <c r="B66" s="477"/>
      <c r="C66" s="390"/>
      <c r="D66" s="107"/>
      <c r="E66" s="107"/>
      <c r="F66" s="107"/>
      <c r="G66" s="107"/>
      <c r="H66" s="107"/>
      <c r="I66" s="390"/>
      <c r="J66" s="390"/>
      <c r="K66" s="107"/>
      <c r="L66" s="107"/>
      <c r="M66" s="107"/>
      <c r="N66" s="390"/>
      <c r="O66" s="390"/>
      <c r="P66" s="107"/>
      <c r="Q66" s="390"/>
      <c r="R66" s="390"/>
      <c r="S66" s="390"/>
      <c r="T66" s="374"/>
      <c r="U66" s="374"/>
      <c r="V66" s="374"/>
      <c r="W66" s="375"/>
      <c r="X66" s="374"/>
      <c r="Y66" s="374"/>
      <c r="Z66" s="374"/>
      <c r="AA66" s="375"/>
    </row>
    <row r="67" spans="1:27">
      <c r="A67" s="182"/>
      <c r="B67" s="475"/>
      <c r="C67" s="476"/>
      <c r="D67" s="735"/>
      <c r="E67" s="735"/>
      <c r="F67" s="735"/>
      <c r="G67" s="735"/>
      <c r="H67" s="735"/>
      <c r="I67" s="476"/>
      <c r="J67" s="476"/>
      <c r="K67" s="735"/>
      <c r="L67" s="735"/>
      <c r="M67" s="735"/>
      <c r="N67" s="476"/>
      <c r="O67" s="476"/>
      <c r="P67" s="735"/>
      <c r="Q67" s="476"/>
      <c r="R67" s="475"/>
      <c r="S67" s="475"/>
      <c r="T67" s="378"/>
      <c r="U67" s="378"/>
      <c r="V67" s="378"/>
      <c r="W67" s="379"/>
      <c r="X67" s="378"/>
      <c r="Y67" s="378"/>
      <c r="Z67" s="378"/>
      <c r="AA67" s="379"/>
    </row>
    <row r="68" spans="1:27" s="1" customFormat="1">
      <c r="A68" s="182"/>
      <c r="B68" s="474"/>
      <c r="C68" s="736"/>
      <c r="D68" s="737"/>
      <c r="E68" s="737"/>
      <c r="F68" s="737"/>
      <c r="G68" s="737"/>
      <c r="H68" s="737"/>
      <c r="I68" s="736"/>
      <c r="J68" s="736"/>
      <c r="K68" s="737"/>
      <c r="L68" s="737"/>
      <c r="M68" s="737"/>
      <c r="N68" s="736"/>
      <c r="O68" s="736"/>
      <c r="P68" s="737"/>
      <c r="Q68" s="736"/>
      <c r="R68" s="736"/>
      <c r="S68" s="736"/>
      <c r="T68" s="380"/>
      <c r="U68" s="380"/>
      <c r="V68" s="380"/>
      <c r="W68" s="381"/>
      <c r="X68" s="380"/>
      <c r="Y68" s="380"/>
      <c r="Z68" s="380"/>
      <c r="AA68" s="381"/>
    </row>
    <row r="69" spans="1:27">
      <c r="A69" s="365"/>
      <c r="B69" s="384"/>
      <c r="C69" s="388"/>
      <c r="D69" s="389"/>
      <c r="E69" s="389"/>
      <c r="F69" s="389"/>
      <c r="G69" s="389"/>
      <c r="H69" s="389"/>
      <c r="I69" s="388"/>
      <c r="J69" s="388"/>
      <c r="K69" s="389"/>
      <c r="L69" s="389"/>
      <c r="M69" s="389"/>
      <c r="N69" s="388"/>
      <c r="O69" s="388"/>
      <c r="P69" s="389"/>
      <c r="Q69" s="388"/>
      <c r="R69" s="388"/>
      <c r="S69" s="388"/>
      <c r="T69" s="372"/>
      <c r="U69" s="372"/>
      <c r="V69" s="372"/>
      <c r="W69" s="373"/>
      <c r="X69" s="372"/>
      <c r="Y69" s="372"/>
      <c r="Z69" s="372"/>
      <c r="AA69" s="373"/>
    </row>
    <row r="70" spans="1:27" s="1" customFormat="1">
      <c r="A70" s="182"/>
      <c r="B70" s="477"/>
      <c r="C70" s="390"/>
      <c r="D70" s="107"/>
      <c r="E70" s="107"/>
      <c r="F70" s="107"/>
      <c r="G70" s="107"/>
      <c r="H70" s="107"/>
      <c r="I70" s="390"/>
      <c r="J70" s="390"/>
      <c r="K70" s="107"/>
      <c r="L70" s="107"/>
      <c r="M70" s="107"/>
      <c r="N70" s="390"/>
      <c r="O70" s="390"/>
      <c r="P70" s="107"/>
      <c r="Q70" s="390"/>
      <c r="R70" s="390"/>
      <c r="S70" s="390"/>
      <c r="T70" s="374"/>
      <c r="U70" s="374"/>
      <c r="V70" s="374"/>
      <c r="W70" s="375"/>
      <c r="X70" s="374"/>
      <c r="Y70" s="374"/>
      <c r="Z70" s="374"/>
      <c r="AA70" s="375"/>
    </row>
    <row r="71" spans="1:27">
      <c r="A71" s="182"/>
      <c r="B71" s="476"/>
      <c r="C71" s="476"/>
      <c r="D71" s="735"/>
      <c r="E71" s="735"/>
      <c r="F71" s="735"/>
      <c r="G71" s="735"/>
      <c r="H71" s="735"/>
      <c r="I71" s="476"/>
      <c r="J71" s="476"/>
      <c r="K71" s="735"/>
      <c r="L71" s="735"/>
      <c r="M71" s="735"/>
      <c r="N71" s="476"/>
      <c r="O71" s="476"/>
      <c r="P71" s="735"/>
      <c r="Q71" s="476"/>
      <c r="R71" s="476"/>
      <c r="S71" s="476"/>
      <c r="T71" s="376"/>
      <c r="U71" s="376"/>
      <c r="V71" s="376"/>
      <c r="W71" s="377"/>
      <c r="X71" s="376"/>
      <c r="Y71" s="376"/>
      <c r="Z71" s="376"/>
      <c r="AA71" s="377"/>
    </row>
    <row r="72" spans="1:27" s="1" customFormat="1">
      <c r="A72" s="182"/>
      <c r="B72" s="477"/>
      <c r="C72" s="390"/>
      <c r="D72" s="107"/>
      <c r="E72" s="107"/>
      <c r="F72" s="107"/>
      <c r="G72" s="107"/>
      <c r="H72" s="107"/>
      <c r="I72" s="390"/>
      <c r="J72" s="390"/>
      <c r="K72" s="107"/>
      <c r="L72" s="107"/>
      <c r="M72" s="107"/>
      <c r="N72" s="390"/>
      <c r="O72" s="390"/>
      <c r="P72" s="107"/>
      <c r="Q72" s="390"/>
      <c r="R72" s="390"/>
      <c r="S72" s="390"/>
      <c r="T72" s="374"/>
      <c r="U72" s="374"/>
      <c r="V72" s="374"/>
      <c r="W72" s="375"/>
      <c r="X72" s="374"/>
      <c r="Y72" s="374"/>
      <c r="Z72" s="374"/>
      <c r="AA72" s="375"/>
    </row>
    <row r="73" spans="1:27">
      <c r="A73" s="182"/>
      <c r="B73" s="477"/>
      <c r="C73" s="390"/>
      <c r="D73" s="107"/>
      <c r="E73" s="107"/>
      <c r="F73" s="107"/>
      <c r="G73" s="107"/>
      <c r="H73" s="107"/>
      <c r="I73" s="390"/>
      <c r="J73" s="390"/>
      <c r="K73" s="107"/>
      <c r="L73" s="107"/>
      <c r="M73" s="107"/>
      <c r="N73" s="390"/>
      <c r="O73" s="390"/>
      <c r="P73" s="107"/>
      <c r="Q73" s="390"/>
      <c r="R73" s="390"/>
      <c r="S73" s="390"/>
      <c r="T73" s="374"/>
      <c r="U73" s="374"/>
      <c r="V73" s="374"/>
      <c r="W73" s="375"/>
      <c r="X73" s="374"/>
      <c r="Y73" s="374"/>
      <c r="Z73" s="374"/>
      <c r="AA73" s="375"/>
    </row>
    <row r="74" spans="1:27" s="1" customFormat="1">
      <c r="A74" s="182"/>
      <c r="B74" s="475"/>
      <c r="C74" s="476"/>
      <c r="D74" s="735"/>
      <c r="E74" s="735"/>
      <c r="F74" s="735"/>
      <c r="G74" s="735"/>
      <c r="H74" s="735"/>
      <c r="I74" s="476"/>
      <c r="J74" s="476"/>
      <c r="K74" s="735"/>
      <c r="L74" s="735"/>
      <c r="M74" s="735"/>
      <c r="N74" s="476"/>
      <c r="O74" s="476"/>
      <c r="P74" s="735"/>
      <c r="Q74" s="476"/>
      <c r="R74" s="475"/>
      <c r="S74" s="475"/>
      <c r="T74" s="378"/>
      <c r="U74" s="378"/>
      <c r="V74" s="378"/>
      <c r="W74" s="379"/>
      <c r="X74" s="378"/>
      <c r="Y74" s="378"/>
      <c r="Z74" s="378"/>
      <c r="AA74" s="379"/>
    </row>
    <row r="75" spans="1:27">
      <c r="A75" s="182"/>
      <c r="B75" s="474"/>
      <c r="C75" s="736"/>
      <c r="D75" s="737"/>
      <c r="E75" s="737"/>
      <c r="F75" s="737"/>
      <c r="G75" s="737"/>
      <c r="H75" s="737"/>
      <c r="I75" s="736"/>
      <c r="J75" s="736"/>
      <c r="K75" s="737"/>
      <c r="L75" s="737"/>
      <c r="M75" s="737"/>
      <c r="N75" s="736"/>
      <c r="O75" s="736"/>
      <c r="P75" s="737"/>
      <c r="Q75" s="736"/>
      <c r="R75" s="736"/>
      <c r="S75" s="736"/>
      <c r="T75" s="380"/>
      <c r="U75" s="380"/>
      <c r="V75" s="380"/>
      <c r="W75" s="381"/>
      <c r="X75" s="380"/>
      <c r="Y75" s="380"/>
      <c r="Z75" s="380"/>
      <c r="AA75" s="381"/>
    </row>
    <row r="76" spans="1:27" s="1" customFormat="1">
      <c r="A76" s="365"/>
      <c r="B76" s="384"/>
      <c r="C76" s="388"/>
      <c r="D76" s="389"/>
      <c r="E76" s="389"/>
      <c r="F76" s="389"/>
      <c r="G76" s="389"/>
      <c r="H76" s="389"/>
      <c r="I76" s="388"/>
      <c r="J76" s="388"/>
      <c r="K76" s="389"/>
      <c r="L76" s="389"/>
      <c r="M76" s="389"/>
      <c r="N76" s="388"/>
      <c r="O76" s="388"/>
      <c r="P76" s="389"/>
      <c r="Q76" s="388"/>
      <c r="R76" s="388"/>
      <c r="S76" s="388"/>
      <c r="T76" s="372"/>
      <c r="U76" s="372"/>
      <c r="V76" s="372"/>
      <c r="W76" s="373"/>
      <c r="X76" s="372"/>
      <c r="Y76" s="372"/>
      <c r="Z76" s="372"/>
      <c r="AA76" s="373"/>
    </row>
    <row r="77" spans="1:27">
      <c r="A77" s="182"/>
      <c r="B77" s="477"/>
      <c r="C77" s="390"/>
      <c r="D77" s="107"/>
      <c r="E77" s="107"/>
      <c r="F77" s="107"/>
      <c r="G77" s="107"/>
      <c r="H77" s="107"/>
      <c r="I77" s="390"/>
      <c r="J77" s="390"/>
      <c r="K77" s="107"/>
      <c r="L77" s="107"/>
      <c r="M77" s="107"/>
      <c r="N77" s="390"/>
      <c r="O77" s="390"/>
      <c r="P77" s="107"/>
      <c r="Q77" s="390"/>
      <c r="R77" s="390"/>
      <c r="S77" s="390"/>
      <c r="T77" s="374"/>
      <c r="U77" s="374"/>
      <c r="V77" s="374"/>
      <c r="W77" s="375"/>
      <c r="X77" s="374"/>
      <c r="Y77" s="374"/>
      <c r="Z77" s="374"/>
      <c r="AA77" s="375"/>
    </row>
    <row r="78" spans="1:27" s="1" customFormat="1">
      <c r="A78" s="182"/>
      <c r="B78" s="476"/>
      <c r="C78" s="476"/>
      <c r="D78" s="735"/>
      <c r="E78" s="735"/>
      <c r="F78" s="735"/>
      <c r="G78" s="735"/>
      <c r="H78" s="735"/>
      <c r="I78" s="476"/>
      <c r="J78" s="476"/>
      <c r="K78" s="735"/>
      <c r="L78" s="735"/>
      <c r="M78" s="735"/>
      <c r="N78" s="476"/>
      <c r="O78" s="476"/>
      <c r="P78" s="735"/>
      <c r="Q78" s="476"/>
      <c r="R78" s="476"/>
      <c r="S78" s="476"/>
      <c r="T78" s="376"/>
      <c r="U78" s="376"/>
      <c r="V78" s="376"/>
      <c r="W78" s="377"/>
      <c r="X78" s="376"/>
      <c r="Y78" s="376"/>
      <c r="Z78" s="376"/>
      <c r="AA78" s="377"/>
    </row>
    <row r="79" spans="1:27">
      <c r="A79" s="182"/>
      <c r="B79" s="477"/>
      <c r="C79" s="390"/>
      <c r="D79" s="107"/>
      <c r="E79" s="107"/>
      <c r="F79" s="107"/>
      <c r="G79" s="107"/>
      <c r="H79" s="107"/>
      <c r="I79" s="390"/>
      <c r="J79" s="390"/>
      <c r="K79" s="107"/>
      <c r="L79" s="107"/>
      <c r="M79" s="107"/>
      <c r="N79" s="390"/>
      <c r="O79" s="390"/>
      <c r="P79" s="107"/>
      <c r="Q79" s="390"/>
      <c r="R79" s="390"/>
      <c r="S79" s="390"/>
      <c r="T79" s="374"/>
      <c r="U79" s="374"/>
      <c r="V79" s="374"/>
      <c r="W79" s="375"/>
      <c r="X79" s="374"/>
      <c r="Y79" s="374"/>
      <c r="Z79" s="374"/>
      <c r="AA79" s="375"/>
    </row>
    <row r="80" spans="1:27" s="1" customFormat="1">
      <c r="A80" s="182"/>
      <c r="B80" s="477"/>
      <c r="C80" s="390"/>
      <c r="D80" s="107"/>
      <c r="E80" s="107"/>
      <c r="F80" s="107"/>
      <c r="G80" s="107"/>
      <c r="H80" s="107"/>
      <c r="I80" s="390"/>
      <c r="J80" s="390"/>
      <c r="K80" s="107"/>
      <c r="L80" s="107"/>
      <c r="M80" s="107"/>
      <c r="N80" s="390"/>
      <c r="O80" s="390"/>
      <c r="P80" s="107"/>
      <c r="Q80" s="390"/>
      <c r="R80" s="390"/>
      <c r="S80" s="390"/>
      <c r="T80" s="374"/>
      <c r="U80" s="374"/>
      <c r="V80" s="374"/>
      <c r="W80" s="375"/>
      <c r="X80" s="374"/>
      <c r="Y80" s="374"/>
      <c r="Z80" s="374"/>
      <c r="AA80" s="375"/>
    </row>
    <row r="81" spans="1:27">
      <c r="A81" s="182"/>
      <c r="B81" s="475"/>
      <c r="C81" s="476"/>
      <c r="D81" s="735"/>
      <c r="E81" s="735"/>
      <c r="F81" s="735"/>
      <c r="G81" s="735"/>
      <c r="H81" s="735"/>
      <c r="I81" s="476"/>
      <c r="J81" s="476"/>
      <c r="K81" s="735"/>
      <c r="L81" s="735"/>
      <c r="M81" s="735"/>
      <c r="N81" s="476"/>
      <c r="O81" s="476"/>
      <c r="P81" s="735"/>
      <c r="Q81" s="476"/>
      <c r="R81" s="475"/>
      <c r="S81" s="475"/>
      <c r="T81" s="378"/>
      <c r="U81" s="378"/>
      <c r="V81" s="378"/>
      <c r="W81" s="379"/>
      <c r="X81" s="378"/>
      <c r="Y81" s="378"/>
      <c r="Z81" s="378"/>
      <c r="AA81" s="379"/>
    </row>
    <row r="82" spans="1:27" s="1" customFormat="1">
      <c r="A82" s="182"/>
      <c r="B82" s="474"/>
      <c r="C82" s="736"/>
      <c r="D82" s="737"/>
      <c r="E82" s="737"/>
      <c r="F82" s="737"/>
      <c r="G82" s="737"/>
      <c r="H82" s="737"/>
      <c r="I82" s="736"/>
      <c r="J82" s="736"/>
      <c r="K82" s="737"/>
      <c r="L82" s="772"/>
      <c r="M82" s="737"/>
      <c r="N82" s="736"/>
      <c r="O82" s="736"/>
      <c r="P82" s="737"/>
      <c r="Q82" s="736"/>
      <c r="R82" s="736"/>
      <c r="S82" s="736"/>
      <c r="T82" s="380"/>
      <c r="U82" s="380"/>
      <c r="V82" s="380"/>
      <c r="W82" s="381"/>
      <c r="X82" s="380"/>
      <c r="Y82" s="380"/>
      <c r="Z82" s="380"/>
      <c r="AA82" s="381"/>
    </row>
    <row r="83" spans="1:27">
      <c r="A83" s="365"/>
      <c r="B83" s="384"/>
      <c r="C83" s="388"/>
      <c r="D83" s="389"/>
      <c r="E83" s="389"/>
      <c r="F83" s="389"/>
      <c r="G83" s="389"/>
      <c r="H83" s="389"/>
      <c r="I83" s="388"/>
      <c r="J83" s="388"/>
      <c r="K83" s="389"/>
      <c r="L83" s="389"/>
      <c r="M83" s="389"/>
      <c r="N83" s="388"/>
      <c r="O83" s="388"/>
      <c r="P83" s="389"/>
      <c r="Q83" s="388"/>
      <c r="R83" s="388"/>
      <c r="S83" s="388"/>
      <c r="T83" s="372"/>
      <c r="U83" s="372"/>
      <c r="V83" s="372"/>
      <c r="W83" s="373"/>
      <c r="X83" s="372"/>
      <c r="Y83" s="372"/>
      <c r="Z83" s="372"/>
      <c r="AA83" s="373"/>
    </row>
    <row r="84" spans="1:27" s="1" customFormat="1">
      <c r="A84" s="182"/>
      <c r="B84" s="477"/>
      <c r="C84" s="390"/>
      <c r="D84" s="107"/>
      <c r="E84" s="107"/>
      <c r="F84" s="107"/>
      <c r="G84" s="107"/>
      <c r="H84" s="107"/>
      <c r="I84" s="390"/>
      <c r="J84" s="390"/>
      <c r="K84" s="107"/>
      <c r="L84" s="107"/>
      <c r="M84" s="107"/>
      <c r="N84" s="390"/>
      <c r="O84" s="390"/>
      <c r="P84" s="107"/>
      <c r="Q84" s="390"/>
      <c r="R84" s="390"/>
      <c r="S84" s="390"/>
      <c r="T84" s="374"/>
      <c r="U84" s="374"/>
      <c r="V84" s="374"/>
      <c r="W84" s="375"/>
      <c r="X84" s="374"/>
      <c r="Y84" s="374"/>
      <c r="Z84" s="374"/>
      <c r="AA84" s="375"/>
    </row>
    <row r="85" spans="1:27">
      <c r="A85" s="182"/>
      <c r="B85" s="476"/>
      <c r="C85" s="476"/>
      <c r="D85" s="735"/>
      <c r="E85" s="735"/>
      <c r="F85" s="735"/>
      <c r="G85" s="735"/>
      <c r="H85" s="735"/>
      <c r="I85" s="476"/>
      <c r="J85" s="476"/>
      <c r="K85" s="735"/>
      <c r="L85" s="735"/>
      <c r="M85" s="735"/>
      <c r="N85" s="476"/>
      <c r="O85" s="476"/>
      <c r="P85" s="735"/>
      <c r="Q85" s="476"/>
      <c r="R85" s="476"/>
      <c r="S85" s="476"/>
      <c r="T85" s="376"/>
      <c r="U85" s="376"/>
      <c r="V85" s="376"/>
      <c r="W85" s="377"/>
      <c r="X85" s="376"/>
      <c r="Y85" s="376"/>
      <c r="Z85" s="376"/>
      <c r="AA85" s="377"/>
    </row>
    <row r="86" spans="1:27" s="1" customFormat="1">
      <c r="A86" s="182"/>
      <c r="B86" s="477"/>
      <c r="C86" s="390"/>
      <c r="D86" s="107"/>
      <c r="E86" s="107"/>
      <c r="F86" s="107"/>
      <c r="G86" s="107"/>
      <c r="H86" s="107"/>
      <c r="I86" s="390"/>
      <c r="J86" s="390"/>
      <c r="K86" s="107"/>
      <c r="L86" s="107"/>
      <c r="M86" s="107"/>
      <c r="N86" s="390"/>
      <c r="O86" s="390"/>
      <c r="P86" s="107"/>
      <c r="Q86" s="390"/>
      <c r="R86" s="390"/>
      <c r="S86" s="390"/>
      <c r="T86" s="374"/>
      <c r="U86" s="374"/>
      <c r="V86" s="374"/>
      <c r="W86" s="375"/>
      <c r="X86" s="374"/>
      <c r="Y86" s="374"/>
      <c r="Z86" s="374"/>
      <c r="AA86" s="375"/>
    </row>
    <row r="87" spans="1:27">
      <c r="A87" s="182"/>
      <c r="B87" s="477"/>
      <c r="C87" s="390"/>
      <c r="D87" s="107"/>
      <c r="E87" s="107"/>
      <c r="F87" s="107"/>
      <c r="G87" s="107"/>
      <c r="H87" s="107"/>
      <c r="I87" s="390"/>
      <c r="J87" s="390"/>
      <c r="K87" s="107"/>
      <c r="L87" s="107"/>
      <c r="M87" s="107"/>
      <c r="N87" s="390"/>
      <c r="O87" s="390"/>
      <c r="P87" s="107"/>
      <c r="Q87" s="390"/>
      <c r="R87" s="390"/>
      <c r="S87" s="390"/>
      <c r="T87" s="374"/>
      <c r="U87" s="374"/>
      <c r="V87" s="374"/>
      <c r="W87" s="375"/>
      <c r="X87" s="374"/>
      <c r="Y87" s="374"/>
      <c r="Z87" s="374"/>
      <c r="AA87" s="375"/>
    </row>
    <row r="88" spans="1:27" s="1" customFormat="1">
      <c r="A88" s="182"/>
      <c r="B88" s="475"/>
      <c r="C88" s="476"/>
      <c r="D88" s="735"/>
      <c r="E88" s="735"/>
      <c r="F88" s="735"/>
      <c r="G88" s="735"/>
      <c r="H88" s="735"/>
      <c r="I88" s="476"/>
      <c r="J88" s="476"/>
      <c r="K88" s="735"/>
      <c r="L88" s="735"/>
      <c r="M88" s="735"/>
      <c r="N88" s="476"/>
      <c r="O88" s="476"/>
      <c r="P88" s="735"/>
      <c r="Q88" s="476"/>
      <c r="R88" s="475"/>
      <c r="S88" s="475"/>
      <c r="T88" s="378"/>
      <c r="U88" s="378"/>
      <c r="V88" s="378"/>
      <c r="W88" s="379"/>
      <c r="X88" s="378"/>
      <c r="Y88" s="378"/>
      <c r="Z88" s="378"/>
      <c r="AA88" s="379"/>
    </row>
    <row r="89" spans="1:27">
      <c r="A89" s="182"/>
      <c r="B89" s="474"/>
      <c r="C89" s="736"/>
      <c r="D89" s="737"/>
      <c r="E89" s="737"/>
      <c r="F89" s="737"/>
      <c r="G89" s="737"/>
      <c r="H89" s="737"/>
      <c r="I89" s="736"/>
      <c r="J89" s="736"/>
      <c r="K89" s="737"/>
      <c r="L89" s="737"/>
      <c r="M89" s="737"/>
      <c r="N89" s="736"/>
      <c r="O89" s="736"/>
      <c r="P89" s="737"/>
      <c r="Q89" s="736"/>
      <c r="R89" s="736"/>
      <c r="S89" s="736"/>
      <c r="T89" s="380"/>
      <c r="U89" s="380"/>
      <c r="V89" s="380"/>
      <c r="W89" s="381"/>
      <c r="X89" s="380"/>
      <c r="Y89" s="380"/>
      <c r="Z89" s="380"/>
      <c r="AA89" s="381"/>
    </row>
    <row r="90" spans="1:27" s="1" customFormat="1">
      <c r="A90" s="818"/>
      <c r="B90" s="384"/>
      <c r="C90" s="388"/>
      <c r="D90" s="389"/>
      <c r="E90" s="389"/>
      <c r="F90" s="389"/>
      <c r="G90" s="389"/>
      <c r="H90" s="389"/>
      <c r="I90" s="388"/>
      <c r="J90" s="388"/>
      <c r="K90" s="389"/>
      <c r="L90" s="389"/>
      <c r="M90" s="389"/>
      <c r="N90" s="388"/>
      <c r="O90" s="388"/>
      <c r="P90" s="389"/>
      <c r="Q90" s="388"/>
      <c r="R90" s="388"/>
      <c r="S90" s="388"/>
      <c r="T90" s="372"/>
      <c r="U90" s="372"/>
      <c r="V90" s="372"/>
      <c r="W90" s="373"/>
      <c r="X90" s="372"/>
      <c r="Y90" s="372"/>
      <c r="Z90" s="372"/>
      <c r="AA90" s="373"/>
    </row>
    <row r="91" spans="1:27">
      <c r="A91" s="819"/>
      <c r="B91" s="477"/>
      <c r="C91" s="390"/>
      <c r="D91" s="107"/>
      <c r="E91" s="107"/>
      <c r="F91" s="107"/>
      <c r="G91" s="107"/>
      <c r="H91" s="107"/>
      <c r="I91" s="390"/>
      <c r="J91" s="390"/>
      <c r="K91" s="107"/>
      <c r="L91" s="107"/>
      <c r="M91" s="107"/>
      <c r="N91" s="390"/>
      <c r="O91" s="390"/>
      <c r="P91" s="107"/>
      <c r="Q91" s="390"/>
      <c r="R91" s="390"/>
      <c r="S91" s="390"/>
      <c r="T91" s="374"/>
      <c r="U91" s="374"/>
      <c r="V91" s="374"/>
      <c r="W91" s="375"/>
      <c r="X91" s="374"/>
      <c r="Y91" s="374"/>
      <c r="Z91" s="374"/>
      <c r="AA91" s="375"/>
    </row>
    <row r="92" spans="1:27" s="1" customFormat="1">
      <c r="A92" s="819"/>
      <c r="B92" s="476"/>
      <c r="C92" s="476"/>
      <c r="D92" s="735"/>
      <c r="E92" s="735"/>
      <c r="F92" s="735"/>
      <c r="G92" s="735"/>
      <c r="H92" s="735"/>
      <c r="I92" s="476"/>
      <c r="J92" s="476"/>
      <c r="K92" s="735"/>
      <c r="L92" s="735"/>
      <c r="M92" s="735"/>
      <c r="N92" s="476"/>
      <c r="O92" s="476"/>
      <c r="P92" s="735"/>
      <c r="Q92" s="476"/>
      <c r="R92" s="476"/>
      <c r="S92" s="476"/>
      <c r="T92" s="376"/>
      <c r="U92" s="376"/>
      <c r="V92" s="376"/>
      <c r="W92" s="377"/>
      <c r="X92" s="376"/>
      <c r="Y92" s="376"/>
      <c r="Z92" s="376"/>
      <c r="AA92" s="377"/>
    </row>
    <row r="93" spans="1:27">
      <c r="A93" s="819"/>
      <c r="B93" s="477"/>
      <c r="C93" s="390"/>
      <c r="D93" s="107"/>
      <c r="E93" s="107"/>
      <c r="F93" s="107"/>
      <c r="G93" s="107"/>
      <c r="H93" s="107"/>
      <c r="I93" s="390"/>
      <c r="J93" s="390"/>
      <c r="K93" s="107"/>
      <c r="L93" s="107"/>
      <c r="M93" s="107"/>
      <c r="N93" s="390"/>
      <c r="O93" s="390"/>
      <c r="P93" s="107"/>
      <c r="Q93" s="390"/>
      <c r="R93" s="390"/>
      <c r="S93" s="390"/>
      <c r="T93" s="374"/>
      <c r="U93" s="374"/>
      <c r="V93" s="374"/>
      <c r="W93" s="375"/>
      <c r="X93" s="374"/>
      <c r="Y93" s="374"/>
      <c r="Z93" s="374"/>
      <c r="AA93" s="375"/>
    </row>
    <row r="94" spans="1:27" s="1" customFormat="1">
      <c r="A94" s="819"/>
      <c r="B94" s="477"/>
      <c r="C94" s="390"/>
      <c r="D94" s="107"/>
      <c r="E94" s="107"/>
      <c r="F94" s="107"/>
      <c r="G94" s="107"/>
      <c r="H94" s="107"/>
      <c r="I94" s="390"/>
      <c r="J94" s="390"/>
      <c r="K94" s="107"/>
      <c r="L94" s="107"/>
      <c r="M94" s="107"/>
      <c r="N94" s="390"/>
      <c r="O94" s="390"/>
      <c r="P94" s="107"/>
      <c r="Q94" s="390"/>
      <c r="R94" s="390"/>
      <c r="S94" s="390"/>
      <c r="T94" s="374"/>
      <c r="U94" s="374"/>
      <c r="V94" s="374"/>
      <c r="W94" s="375"/>
      <c r="X94" s="374"/>
      <c r="Y94" s="374"/>
      <c r="Z94" s="374"/>
      <c r="AA94" s="375"/>
    </row>
    <row r="95" spans="1:27">
      <c r="A95" s="819"/>
      <c r="B95" s="475"/>
      <c r="C95" s="476"/>
      <c r="D95" s="735"/>
      <c r="E95" s="735"/>
      <c r="F95" s="735"/>
      <c r="G95" s="735"/>
      <c r="H95" s="735"/>
      <c r="I95" s="476"/>
      <c r="J95" s="476"/>
      <c r="K95" s="735"/>
      <c r="L95" s="735"/>
      <c r="M95" s="735"/>
      <c r="N95" s="476"/>
      <c r="O95" s="476"/>
      <c r="P95" s="735"/>
      <c r="Q95" s="476"/>
      <c r="R95" s="475"/>
      <c r="S95" s="475"/>
      <c r="T95" s="378"/>
      <c r="U95" s="378"/>
      <c r="V95" s="378"/>
      <c r="W95" s="379"/>
      <c r="X95" s="378"/>
      <c r="Y95" s="378"/>
      <c r="Z95" s="378"/>
      <c r="AA95" s="379"/>
    </row>
    <row r="96" spans="1:27" s="1" customFormat="1">
      <c r="A96" s="819"/>
      <c r="B96" s="474"/>
      <c r="C96" s="736"/>
      <c r="D96" s="737"/>
      <c r="E96" s="737"/>
      <c r="F96" s="737"/>
      <c r="G96" s="737"/>
      <c r="H96" s="737"/>
      <c r="I96" s="736"/>
      <c r="J96" s="736"/>
      <c r="K96" s="737"/>
      <c r="L96" s="737"/>
      <c r="M96" s="737"/>
      <c r="N96" s="736"/>
      <c r="O96" s="736"/>
      <c r="P96" s="737"/>
      <c r="Q96" s="736"/>
      <c r="R96" s="736"/>
      <c r="S96" s="736"/>
      <c r="T96" s="380"/>
      <c r="U96" s="380"/>
      <c r="V96" s="380"/>
      <c r="W96" s="381"/>
      <c r="X96" s="380"/>
      <c r="Y96" s="380"/>
      <c r="Z96" s="380"/>
      <c r="AA96" s="381"/>
    </row>
    <row r="97" spans="1:27">
      <c r="A97" s="365"/>
      <c r="B97" s="384"/>
      <c r="C97" s="388"/>
      <c r="D97" s="389"/>
      <c r="E97" s="389"/>
      <c r="F97" s="389"/>
      <c r="G97" s="389"/>
      <c r="H97" s="389"/>
      <c r="I97" s="388"/>
      <c r="J97" s="388"/>
      <c r="K97" s="389"/>
      <c r="L97" s="389"/>
      <c r="M97" s="389"/>
      <c r="N97" s="388"/>
      <c r="O97" s="388"/>
      <c r="P97" s="389"/>
      <c r="Q97" s="388"/>
      <c r="R97" s="388"/>
      <c r="S97" s="388"/>
      <c r="T97" s="372"/>
      <c r="U97" s="372"/>
      <c r="V97" s="372"/>
      <c r="W97" s="373"/>
      <c r="X97" s="372"/>
      <c r="Y97" s="372"/>
      <c r="Z97" s="372"/>
      <c r="AA97" s="373"/>
    </row>
    <row r="98" spans="1:27" s="1" customFormat="1">
      <c r="A98" s="182"/>
      <c r="B98" s="477"/>
      <c r="C98" s="390"/>
      <c r="D98" s="107"/>
      <c r="E98" s="107"/>
      <c r="F98" s="107"/>
      <c r="G98" s="107"/>
      <c r="H98" s="107"/>
      <c r="I98" s="390"/>
      <c r="J98" s="390"/>
      <c r="K98" s="107"/>
      <c r="L98" s="107"/>
      <c r="M98" s="107"/>
      <c r="N98" s="390"/>
      <c r="O98" s="390"/>
      <c r="P98" s="107"/>
      <c r="Q98" s="390"/>
      <c r="R98" s="390"/>
      <c r="S98" s="390"/>
      <c r="T98" s="374"/>
      <c r="U98" s="374"/>
      <c r="V98" s="374"/>
      <c r="W98" s="375"/>
      <c r="X98" s="374"/>
      <c r="Y98" s="374"/>
      <c r="Z98" s="374"/>
      <c r="AA98" s="375"/>
    </row>
    <row r="99" spans="1:27">
      <c r="A99" s="182"/>
      <c r="B99" s="476"/>
      <c r="C99" s="476"/>
      <c r="D99" s="735"/>
      <c r="E99" s="735"/>
      <c r="F99" s="735"/>
      <c r="G99" s="735"/>
      <c r="H99" s="735"/>
      <c r="I99" s="476"/>
      <c r="J99" s="476"/>
      <c r="K99" s="735"/>
      <c r="L99" s="735"/>
      <c r="M99" s="735"/>
      <c r="N99" s="476"/>
      <c r="O99" s="476"/>
      <c r="P99" s="735"/>
      <c r="Q99" s="476"/>
      <c r="R99" s="476"/>
      <c r="S99" s="476"/>
      <c r="T99" s="376"/>
      <c r="U99" s="376"/>
      <c r="V99" s="376"/>
      <c r="W99" s="377"/>
      <c r="X99" s="376"/>
      <c r="Y99" s="376"/>
      <c r="Z99" s="376"/>
      <c r="AA99" s="377"/>
    </row>
    <row r="100" spans="1:27" s="1" customFormat="1">
      <c r="A100" s="182"/>
      <c r="B100" s="477"/>
      <c r="C100" s="390"/>
      <c r="D100" s="107"/>
      <c r="E100" s="107"/>
      <c r="F100" s="107"/>
      <c r="G100" s="107"/>
      <c r="H100" s="107"/>
      <c r="I100" s="390"/>
      <c r="J100" s="390"/>
      <c r="K100" s="107"/>
      <c r="L100" s="107"/>
      <c r="M100" s="107"/>
      <c r="N100" s="390"/>
      <c r="O100" s="390"/>
      <c r="P100" s="107"/>
      <c r="Q100" s="390"/>
      <c r="R100" s="390"/>
      <c r="S100" s="390"/>
      <c r="T100" s="374"/>
      <c r="U100" s="374"/>
      <c r="V100" s="374"/>
      <c r="W100" s="375"/>
      <c r="X100" s="374"/>
      <c r="Y100" s="374"/>
      <c r="Z100" s="374"/>
      <c r="AA100" s="375"/>
    </row>
    <row r="101" spans="1:27">
      <c r="A101" s="182"/>
      <c r="B101" s="477"/>
      <c r="C101" s="390"/>
      <c r="D101" s="107"/>
      <c r="E101" s="107"/>
      <c r="F101" s="107"/>
      <c r="G101" s="107"/>
      <c r="H101" s="107"/>
      <c r="I101" s="390"/>
      <c r="J101" s="390"/>
      <c r="K101" s="107"/>
      <c r="L101" s="107"/>
      <c r="M101" s="107"/>
      <c r="N101" s="390"/>
      <c r="O101" s="390"/>
      <c r="P101" s="107"/>
      <c r="Q101" s="390"/>
      <c r="R101" s="390"/>
      <c r="S101" s="390"/>
      <c r="T101" s="374"/>
      <c r="U101" s="374"/>
      <c r="V101" s="374"/>
      <c r="W101" s="375"/>
      <c r="X101" s="374"/>
      <c r="Y101" s="374"/>
      <c r="Z101" s="374"/>
      <c r="AA101" s="375"/>
    </row>
    <row r="102" spans="1:27">
      <c r="A102" s="182"/>
      <c r="B102" s="475"/>
      <c r="C102" s="476"/>
      <c r="D102" s="735"/>
      <c r="E102" s="735"/>
      <c r="F102" s="735"/>
      <c r="G102" s="735"/>
      <c r="H102" s="735"/>
      <c r="I102" s="476"/>
      <c r="J102" s="476"/>
      <c r="K102" s="735"/>
      <c r="L102" s="735"/>
      <c r="M102" s="735"/>
      <c r="N102" s="476"/>
      <c r="O102" s="476"/>
      <c r="P102" s="735"/>
      <c r="Q102" s="476"/>
      <c r="R102" s="475"/>
      <c r="S102" s="475"/>
      <c r="T102" s="378"/>
      <c r="U102" s="378"/>
      <c r="V102" s="378"/>
      <c r="W102" s="379"/>
      <c r="X102" s="378"/>
      <c r="Y102" s="378"/>
      <c r="Z102" s="378"/>
      <c r="AA102" s="379"/>
    </row>
    <row r="103" spans="1:27">
      <c r="A103" s="182"/>
      <c r="B103" s="474"/>
      <c r="C103" s="736"/>
      <c r="D103" s="737"/>
      <c r="E103" s="737"/>
      <c r="F103" s="737"/>
      <c r="G103" s="737"/>
      <c r="H103" s="737"/>
      <c r="I103" s="736"/>
      <c r="J103" s="771"/>
      <c r="K103" s="737"/>
      <c r="L103" s="737"/>
      <c r="M103" s="772"/>
      <c r="N103" s="736"/>
      <c r="O103" s="771"/>
      <c r="P103" s="737"/>
      <c r="Q103" s="736"/>
      <c r="R103" s="736"/>
      <c r="S103" s="736"/>
      <c r="T103" s="380"/>
      <c r="U103" s="380"/>
      <c r="V103" s="380"/>
      <c r="W103" s="381"/>
      <c r="X103" s="380"/>
      <c r="Y103" s="380"/>
      <c r="Z103" s="380"/>
      <c r="AA103" s="381"/>
    </row>
    <row r="104" spans="1:27">
      <c r="A104" s="365"/>
      <c r="B104" s="384"/>
      <c r="C104" s="388"/>
      <c r="D104" s="389"/>
      <c r="E104" s="389"/>
      <c r="F104" s="389"/>
      <c r="G104" s="389"/>
      <c r="H104" s="389"/>
      <c r="I104" s="388"/>
      <c r="J104" s="388"/>
      <c r="K104" s="389"/>
      <c r="L104" s="389"/>
      <c r="M104" s="389"/>
      <c r="N104" s="388"/>
      <c r="O104" s="388"/>
      <c r="P104" s="389"/>
      <c r="Q104" s="388"/>
      <c r="R104" s="388"/>
      <c r="S104" s="388"/>
      <c r="T104" s="372"/>
      <c r="U104" s="372"/>
      <c r="V104" s="372"/>
      <c r="W104" s="373"/>
      <c r="X104" s="372"/>
      <c r="Y104" s="372"/>
      <c r="Z104" s="372"/>
      <c r="AA104" s="373"/>
    </row>
    <row r="105" spans="1:27">
      <c r="A105" s="182"/>
      <c r="B105" s="477"/>
      <c r="C105" s="390"/>
      <c r="D105" s="107"/>
      <c r="E105" s="107"/>
      <c r="F105" s="107"/>
      <c r="G105" s="107"/>
      <c r="H105" s="107"/>
      <c r="I105" s="390"/>
      <c r="J105" s="390"/>
      <c r="K105" s="107"/>
      <c r="L105" s="107"/>
      <c r="M105" s="107"/>
      <c r="N105" s="390"/>
      <c r="O105" s="390"/>
      <c r="P105" s="107"/>
      <c r="Q105" s="390"/>
      <c r="R105" s="390"/>
      <c r="S105" s="390"/>
      <c r="T105" s="374"/>
      <c r="U105" s="374"/>
      <c r="V105" s="374"/>
      <c r="W105" s="375"/>
      <c r="X105" s="374"/>
      <c r="Y105" s="374"/>
      <c r="Z105" s="374"/>
      <c r="AA105" s="375"/>
    </row>
    <row r="106" spans="1:27">
      <c r="A106" s="182"/>
      <c r="B106" s="476"/>
      <c r="C106" s="476"/>
      <c r="D106" s="735"/>
      <c r="E106" s="735"/>
      <c r="F106" s="735"/>
      <c r="G106" s="735"/>
      <c r="H106" s="735"/>
      <c r="I106" s="476"/>
      <c r="J106" s="476"/>
      <c r="K106" s="735"/>
      <c r="L106" s="735"/>
      <c r="M106" s="735"/>
      <c r="N106" s="476"/>
      <c r="O106" s="476"/>
      <c r="P106" s="735"/>
      <c r="Q106" s="476"/>
      <c r="R106" s="476"/>
      <c r="S106" s="476"/>
      <c r="T106" s="376"/>
      <c r="U106" s="376"/>
      <c r="V106" s="376"/>
      <c r="W106" s="377"/>
      <c r="X106" s="376"/>
      <c r="Y106" s="376"/>
      <c r="Z106" s="376"/>
      <c r="AA106" s="377"/>
    </row>
    <row r="107" spans="1:27">
      <c r="A107" s="182"/>
      <c r="B107" s="477"/>
      <c r="C107" s="390"/>
      <c r="D107" s="107"/>
      <c r="E107" s="107"/>
      <c r="F107" s="107"/>
      <c r="G107" s="107"/>
      <c r="H107" s="107"/>
      <c r="I107" s="390"/>
      <c r="J107" s="390"/>
      <c r="K107" s="107"/>
      <c r="L107" s="107"/>
      <c r="M107" s="107"/>
      <c r="N107" s="390"/>
      <c r="O107" s="390"/>
      <c r="P107" s="107"/>
      <c r="Q107" s="390"/>
      <c r="R107" s="390"/>
      <c r="S107" s="390"/>
      <c r="T107" s="374"/>
      <c r="U107" s="374"/>
      <c r="V107" s="374"/>
      <c r="W107" s="375"/>
      <c r="X107" s="374"/>
      <c r="Y107" s="374"/>
      <c r="Z107" s="374"/>
      <c r="AA107" s="375"/>
    </row>
    <row r="108" spans="1:27">
      <c r="A108" s="182"/>
      <c r="B108" s="477"/>
      <c r="C108" s="390"/>
      <c r="D108" s="107"/>
      <c r="E108" s="107"/>
      <c r="F108" s="107"/>
      <c r="G108" s="107"/>
      <c r="H108" s="107"/>
      <c r="I108" s="390"/>
      <c r="J108" s="390"/>
      <c r="K108" s="107"/>
      <c r="L108" s="107"/>
      <c r="M108" s="107"/>
      <c r="N108" s="390"/>
      <c r="O108" s="390"/>
      <c r="P108" s="107"/>
      <c r="Q108" s="390"/>
      <c r="R108" s="390"/>
      <c r="S108" s="390"/>
      <c r="T108" s="374"/>
      <c r="U108" s="374"/>
      <c r="V108" s="374"/>
      <c r="W108" s="375"/>
      <c r="X108" s="374"/>
      <c r="Y108" s="374"/>
      <c r="Z108" s="374"/>
      <c r="AA108" s="375"/>
    </row>
    <row r="109" spans="1:27">
      <c r="A109" s="182"/>
      <c r="B109" s="475"/>
      <c r="C109" s="476"/>
      <c r="D109" s="735"/>
      <c r="E109" s="735"/>
      <c r="F109" s="735"/>
      <c r="G109" s="735"/>
      <c r="H109" s="735"/>
      <c r="I109" s="476"/>
      <c r="J109" s="476"/>
      <c r="K109" s="735"/>
      <c r="L109" s="735"/>
      <c r="M109" s="735"/>
      <c r="N109" s="476"/>
      <c r="O109" s="476"/>
      <c r="P109" s="735"/>
      <c r="Q109" s="476"/>
      <c r="R109" s="475"/>
      <c r="S109" s="475"/>
      <c r="T109" s="378"/>
      <c r="U109" s="378"/>
      <c r="V109" s="378"/>
      <c r="W109" s="379"/>
      <c r="X109" s="378"/>
      <c r="Y109" s="378"/>
      <c r="Z109" s="378"/>
      <c r="AA109" s="379"/>
    </row>
    <row r="110" spans="1:27">
      <c r="A110" s="182"/>
      <c r="B110" s="474"/>
      <c r="C110" s="736"/>
      <c r="D110" s="737"/>
      <c r="E110" s="737"/>
      <c r="F110" s="737"/>
      <c r="G110" s="737"/>
      <c r="H110" s="737"/>
      <c r="I110" s="736"/>
      <c r="J110" s="736"/>
      <c r="K110" s="737"/>
      <c r="L110" s="772"/>
      <c r="M110" s="772"/>
      <c r="N110" s="736"/>
      <c r="O110" s="771"/>
      <c r="P110" s="737"/>
      <c r="Q110" s="736"/>
      <c r="R110" s="736"/>
      <c r="S110" s="736"/>
      <c r="T110" s="380"/>
      <c r="U110" s="380"/>
      <c r="V110" s="380"/>
      <c r="W110" s="381"/>
      <c r="X110" s="380"/>
      <c r="Y110" s="380"/>
      <c r="Z110" s="380"/>
      <c r="AA110" s="381"/>
    </row>
    <row r="111" spans="1:27">
      <c r="A111" s="365"/>
      <c r="B111" s="384"/>
      <c r="C111" s="388"/>
      <c r="D111" s="389"/>
      <c r="E111" s="389"/>
      <c r="F111" s="389"/>
      <c r="G111" s="389"/>
      <c r="H111" s="389"/>
      <c r="I111" s="388"/>
      <c r="J111" s="388"/>
      <c r="K111" s="389"/>
      <c r="L111" s="389"/>
      <c r="M111" s="389"/>
      <c r="N111" s="388"/>
      <c r="O111" s="388"/>
      <c r="P111" s="389"/>
      <c r="Q111" s="388"/>
      <c r="R111" s="388"/>
      <c r="S111" s="388"/>
      <c r="T111" s="372"/>
      <c r="U111" s="372"/>
      <c r="V111" s="372"/>
      <c r="W111" s="373"/>
      <c r="X111" s="372"/>
      <c r="Y111" s="372"/>
      <c r="Z111" s="372"/>
      <c r="AA111" s="373"/>
    </row>
    <row r="112" spans="1:27">
      <c r="A112" s="182"/>
      <c r="B112" s="477"/>
      <c r="C112" s="390"/>
      <c r="D112" s="107"/>
      <c r="E112" s="107"/>
      <c r="F112" s="107"/>
      <c r="G112" s="107"/>
      <c r="H112" s="107"/>
      <c r="I112" s="390"/>
      <c r="J112" s="390"/>
      <c r="K112" s="107"/>
      <c r="L112" s="107"/>
      <c r="M112" s="107"/>
      <c r="N112" s="390"/>
      <c r="O112" s="390"/>
      <c r="P112" s="107"/>
      <c r="Q112" s="390"/>
      <c r="R112" s="390"/>
      <c r="S112" s="390"/>
      <c r="T112" s="374"/>
      <c r="U112" s="374"/>
      <c r="V112" s="374"/>
      <c r="W112" s="375"/>
      <c r="X112" s="374"/>
      <c r="Y112" s="374"/>
      <c r="Z112" s="374"/>
      <c r="AA112" s="375"/>
    </row>
    <row r="113" spans="1:27">
      <c r="A113" s="182"/>
      <c r="B113" s="476"/>
      <c r="C113" s="476"/>
      <c r="D113" s="735"/>
      <c r="E113" s="735"/>
      <c r="F113" s="735"/>
      <c r="G113" s="735"/>
      <c r="H113" s="735"/>
      <c r="I113" s="476"/>
      <c r="J113" s="476"/>
      <c r="K113" s="735"/>
      <c r="L113" s="735"/>
      <c r="M113" s="735"/>
      <c r="N113" s="476"/>
      <c r="O113" s="476"/>
      <c r="P113" s="735"/>
      <c r="Q113" s="476"/>
      <c r="R113" s="476"/>
      <c r="S113" s="476"/>
      <c r="T113" s="376"/>
      <c r="U113" s="376"/>
      <c r="V113" s="376"/>
      <c r="W113" s="377"/>
      <c r="X113" s="376"/>
      <c r="Y113" s="376"/>
      <c r="Z113" s="376"/>
      <c r="AA113" s="377"/>
    </row>
    <row r="114" spans="1:27">
      <c r="A114" s="182"/>
      <c r="B114" s="477"/>
      <c r="C114" s="390"/>
      <c r="D114" s="107"/>
      <c r="E114" s="107"/>
      <c r="F114" s="107"/>
      <c r="G114" s="107"/>
      <c r="H114" s="107"/>
      <c r="I114" s="390"/>
      <c r="J114" s="390"/>
      <c r="K114" s="107"/>
      <c r="L114" s="107"/>
      <c r="M114" s="107"/>
      <c r="N114" s="390"/>
      <c r="O114" s="390"/>
      <c r="P114" s="107"/>
      <c r="Q114" s="390"/>
      <c r="R114" s="390"/>
      <c r="S114" s="390"/>
      <c r="T114" s="374"/>
      <c r="U114" s="374"/>
      <c r="V114" s="374"/>
      <c r="W114" s="375"/>
      <c r="X114" s="374"/>
      <c r="Y114" s="374"/>
      <c r="Z114" s="374"/>
      <c r="AA114" s="375"/>
    </row>
    <row r="115" spans="1:27">
      <c r="A115" s="182"/>
      <c r="B115" s="477"/>
      <c r="C115" s="390"/>
      <c r="D115" s="107"/>
      <c r="E115" s="107"/>
      <c r="F115" s="107"/>
      <c r="G115" s="107"/>
      <c r="H115" s="107"/>
      <c r="I115" s="390"/>
      <c r="J115" s="390"/>
      <c r="K115" s="107"/>
      <c r="L115" s="107"/>
      <c r="M115" s="107"/>
      <c r="N115" s="390"/>
      <c r="O115" s="390"/>
      <c r="P115" s="107"/>
      <c r="Q115" s="390"/>
      <c r="R115" s="390"/>
      <c r="S115" s="390"/>
      <c r="T115" s="374"/>
      <c r="U115" s="374"/>
      <c r="V115" s="374"/>
      <c r="W115" s="375"/>
      <c r="X115" s="374"/>
      <c r="Y115" s="374"/>
      <c r="Z115" s="374"/>
      <c r="AA115" s="375"/>
    </row>
    <row r="116" spans="1:27">
      <c r="A116" s="182"/>
      <c r="B116" s="475"/>
      <c r="C116" s="476"/>
      <c r="D116" s="735"/>
      <c r="E116" s="735"/>
      <c r="F116" s="735"/>
      <c r="G116" s="735"/>
      <c r="H116" s="735"/>
      <c r="I116" s="476"/>
      <c r="J116" s="476"/>
      <c r="K116" s="735"/>
      <c r="L116" s="735"/>
      <c r="M116" s="735"/>
      <c r="N116" s="476"/>
      <c r="O116" s="476"/>
      <c r="P116" s="735"/>
      <c r="Q116" s="476"/>
      <c r="R116" s="475"/>
      <c r="S116" s="475"/>
      <c r="T116" s="378"/>
      <c r="U116" s="378"/>
      <c r="V116" s="378"/>
      <c r="W116" s="379"/>
      <c r="X116" s="378"/>
      <c r="Y116" s="378"/>
      <c r="Z116" s="378"/>
      <c r="AA116" s="379"/>
    </row>
    <row r="117" spans="1:27">
      <c r="A117" s="182"/>
      <c r="B117" s="474"/>
      <c r="C117" s="736"/>
      <c r="D117" s="737"/>
      <c r="E117" s="737"/>
      <c r="F117" s="737"/>
      <c r="G117" s="737"/>
      <c r="H117" s="737"/>
      <c r="I117" s="736"/>
      <c r="J117" s="736"/>
      <c r="K117" s="737"/>
      <c r="L117" s="737"/>
      <c r="M117" s="737"/>
      <c r="N117" s="736"/>
      <c r="O117" s="736"/>
      <c r="P117" s="737"/>
      <c r="Q117" s="736"/>
      <c r="R117" s="736"/>
      <c r="S117" s="736"/>
      <c r="T117" s="380"/>
      <c r="U117" s="380"/>
      <c r="V117" s="380"/>
      <c r="W117" s="381"/>
      <c r="X117" s="380"/>
      <c r="Y117" s="380"/>
      <c r="Z117" s="380"/>
      <c r="AA117" s="381"/>
    </row>
    <row r="118" spans="1:27">
      <c r="A118" s="820"/>
      <c r="B118" s="391"/>
      <c r="C118" s="392"/>
      <c r="D118" s="393"/>
      <c r="E118" s="393"/>
      <c r="F118" s="393"/>
      <c r="G118" s="393"/>
      <c r="H118" s="393"/>
      <c r="I118" s="392"/>
      <c r="J118" s="392"/>
      <c r="K118" s="393"/>
      <c r="L118" s="393"/>
      <c r="M118" s="393"/>
      <c r="N118" s="392"/>
      <c r="O118" s="392"/>
      <c r="P118" s="393"/>
      <c r="Q118" s="392"/>
      <c r="R118" s="392"/>
      <c r="S118" s="392"/>
      <c r="T118" s="372"/>
      <c r="U118" s="372"/>
      <c r="V118" s="372"/>
      <c r="W118" s="373"/>
      <c r="X118" s="372"/>
      <c r="Y118" s="372"/>
      <c r="Z118" s="372"/>
      <c r="AA118" s="373"/>
    </row>
    <row r="119" spans="1:27">
      <c r="A119" s="821"/>
      <c r="B119" s="394"/>
      <c r="C119" s="395"/>
      <c r="D119" s="362"/>
      <c r="E119" s="362"/>
      <c r="F119" s="362"/>
      <c r="G119" s="362"/>
      <c r="H119" s="362"/>
      <c r="I119" s="395"/>
      <c r="J119" s="395"/>
      <c r="K119" s="362"/>
      <c r="L119" s="362"/>
      <c r="M119" s="362"/>
      <c r="N119" s="395"/>
      <c r="O119" s="395"/>
      <c r="P119" s="362"/>
      <c r="Q119" s="395"/>
      <c r="R119" s="395"/>
      <c r="S119" s="395"/>
      <c r="T119" s="374"/>
      <c r="U119" s="374"/>
      <c r="V119" s="374"/>
      <c r="W119" s="375"/>
      <c r="X119" s="374"/>
      <c r="Y119" s="374"/>
      <c r="Z119" s="374"/>
      <c r="AA119" s="375"/>
    </row>
    <row r="120" spans="1:27">
      <c r="A120" s="821"/>
      <c r="B120" s="396"/>
      <c r="C120" s="396"/>
      <c r="D120" s="822"/>
      <c r="E120" s="822"/>
      <c r="F120" s="822"/>
      <c r="G120" s="822"/>
      <c r="H120" s="822"/>
      <c r="I120" s="396"/>
      <c r="J120" s="396"/>
      <c r="K120" s="822"/>
      <c r="L120" s="822"/>
      <c r="M120" s="822"/>
      <c r="N120" s="396"/>
      <c r="O120" s="396"/>
      <c r="P120" s="822"/>
      <c r="Q120" s="396"/>
      <c r="R120" s="396"/>
      <c r="S120" s="396"/>
      <c r="T120" s="376"/>
      <c r="U120" s="376"/>
      <c r="V120" s="376"/>
      <c r="W120" s="377"/>
      <c r="X120" s="376"/>
      <c r="Y120" s="376"/>
      <c r="Z120" s="376"/>
      <c r="AA120" s="377"/>
    </row>
    <row r="121" spans="1:27">
      <c r="A121" s="821"/>
      <c r="B121" s="394"/>
      <c r="C121" s="395"/>
      <c r="D121" s="362"/>
      <c r="E121" s="362"/>
      <c r="F121" s="362"/>
      <c r="G121" s="362"/>
      <c r="H121" s="362"/>
      <c r="I121" s="395"/>
      <c r="J121" s="395"/>
      <c r="K121" s="362"/>
      <c r="L121" s="362"/>
      <c r="M121" s="362"/>
      <c r="N121" s="395"/>
      <c r="O121" s="395"/>
      <c r="P121" s="362"/>
      <c r="Q121" s="395"/>
      <c r="R121" s="395"/>
      <c r="S121" s="395"/>
      <c r="T121" s="374"/>
      <c r="U121" s="374"/>
      <c r="V121" s="374"/>
      <c r="W121" s="375"/>
      <c r="X121" s="374"/>
      <c r="Y121" s="374"/>
      <c r="Z121" s="374"/>
      <c r="AA121" s="375"/>
    </row>
    <row r="122" spans="1:27">
      <c r="A122" s="821"/>
      <c r="B122" s="394"/>
      <c r="C122" s="395"/>
      <c r="D122" s="362"/>
      <c r="E122" s="362"/>
      <c r="F122" s="362"/>
      <c r="G122" s="362"/>
      <c r="H122" s="362"/>
      <c r="I122" s="395"/>
      <c r="J122" s="395"/>
      <c r="K122" s="362"/>
      <c r="L122" s="362"/>
      <c r="M122" s="362"/>
      <c r="N122" s="395"/>
      <c r="O122" s="395"/>
      <c r="P122" s="362"/>
      <c r="Q122" s="395"/>
      <c r="R122" s="395"/>
      <c r="S122" s="395"/>
      <c r="T122" s="374"/>
      <c r="U122" s="374"/>
      <c r="V122" s="374"/>
      <c r="W122" s="375"/>
      <c r="X122" s="374"/>
      <c r="Y122" s="374"/>
      <c r="Z122" s="374"/>
      <c r="AA122" s="375"/>
    </row>
    <row r="123" spans="1:27">
      <c r="A123" s="821"/>
      <c r="B123" s="397"/>
      <c r="C123" s="396"/>
      <c r="D123" s="822"/>
      <c r="E123" s="822"/>
      <c r="F123" s="822"/>
      <c r="G123" s="822"/>
      <c r="H123" s="822"/>
      <c r="I123" s="396"/>
      <c r="J123" s="396"/>
      <c r="K123" s="822"/>
      <c r="L123" s="822"/>
      <c r="M123" s="822"/>
      <c r="N123" s="396"/>
      <c r="O123" s="396"/>
      <c r="P123" s="822"/>
      <c r="Q123" s="396"/>
      <c r="R123" s="397"/>
      <c r="S123" s="397"/>
      <c r="T123" s="378"/>
      <c r="U123" s="378"/>
      <c r="V123" s="378"/>
      <c r="W123" s="379"/>
      <c r="X123" s="378"/>
      <c r="Y123" s="378"/>
      <c r="Z123" s="378"/>
      <c r="AA123" s="379"/>
    </row>
    <row r="124" spans="1:27">
      <c r="A124" s="821"/>
      <c r="B124" s="823"/>
      <c r="C124" s="771"/>
      <c r="D124" s="772"/>
      <c r="E124" s="772"/>
      <c r="F124" s="772"/>
      <c r="G124" s="772"/>
      <c r="H124" s="772"/>
      <c r="I124" s="771"/>
      <c r="J124" s="771"/>
      <c r="K124" s="772"/>
      <c r="L124" s="772"/>
      <c r="M124" s="772"/>
      <c r="N124" s="771"/>
      <c r="O124" s="771"/>
      <c r="P124" s="772"/>
      <c r="Q124" s="771"/>
      <c r="R124" s="771"/>
      <c r="S124" s="771"/>
      <c r="T124" s="380"/>
      <c r="U124" s="380"/>
      <c r="V124" s="380"/>
      <c r="W124" s="381"/>
      <c r="X124" s="380"/>
      <c r="Y124" s="380"/>
      <c r="Z124" s="380"/>
      <c r="AA124" s="381"/>
    </row>
    <row r="125" spans="1:27">
      <c r="A125" s="398"/>
      <c r="B125"/>
      <c r="C125" s="334"/>
      <c r="D125" s="334"/>
      <c r="E125" s="334"/>
      <c r="F125" s="334"/>
      <c r="G125" s="334"/>
      <c r="H125" s="334"/>
      <c r="I125" s="334"/>
      <c r="J125" s="334"/>
      <c r="K125" s="334"/>
      <c r="L125" s="334"/>
      <c r="M125" s="334"/>
      <c r="N125" s="334"/>
      <c r="O125" s="334"/>
      <c r="P125" s="334"/>
      <c r="Q125" s="334"/>
      <c r="R125" s="334"/>
      <c r="S125" s="334"/>
      <c r="T125"/>
      <c r="U125"/>
      <c r="V125"/>
      <c r="W125"/>
      <c r="X125"/>
      <c r="Y125"/>
      <c r="Z125"/>
      <c r="AA125"/>
    </row>
    <row r="126" spans="1:27">
      <c r="A126"/>
      <c r="B126"/>
      <c r="C126" s="334"/>
      <c r="D126" s="334"/>
      <c r="E126" s="334"/>
      <c r="F126" s="334"/>
      <c r="G126" s="334"/>
      <c r="H126" s="334"/>
      <c r="I126" s="334"/>
      <c r="J126" s="334"/>
      <c r="K126" s="334"/>
      <c r="L126" s="334"/>
      <c r="M126" s="334"/>
      <c r="N126" s="334"/>
      <c r="O126" s="334"/>
      <c r="P126" s="334"/>
      <c r="Q126" s="334"/>
      <c r="R126" s="334"/>
      <c r="S126" s="334"/>
      <c r="T126"/>
      <c r="U126"/>
      <c r="V126"/>
      <c r="W126"/>
      <c r="X126"/>
      <c r="Y126"/>
      <c r="Z126"/>
      <c r="AA126"/>
    </row>
    <row r="127" spans="1:27">
      <c r="A127"/>
      <c r="B127"/>
      <c r="C127" s="334"/>
      <c r="D127" s="334"/>
      <c r="E127" s="334"/>
      <c r="F127" s="334"/>
      <c r="G127" s="334"/>
      <c r="H127" s="334"/>
      <c r="I127" s="334"/>
      <c r="J127" s="334"/>
      <c r="K127" s="334"/>
      <c r="L127" s="334"/>
      <c r="M127" s="334"/>
      <c r="N127" s="334"/>
      <c r="O127" s="334"/>
      <c r="P127" s="334"/>
      <c r="Q127" s="334"/>
      <c r="R127" s="334"/>
      <c r="S127" s="334"/>
      <c r="T127"/>
      <c r="U127"/>
      <c r="V127"/>
      <c r="W127"/>
      <c r="X127"/>
      <c r="Y127"/>
      <c r="Z127"/>
      <c r="AA127"/>
    </row>
    <row r="128" spans="1:27">
      <c r="A128"/>
      <c r="B128"/>
      <c r="C128" s="334"/>
      <c r="D128" s="334"/>
      <c r="E128" s="334"/>
      <c r="F128" s="334"/>
      <c r="G128" s="334"/>
      <c r="H128" s="334"/>
      <c r="I128" s="334"/>
      <c r="J128" s="334"/>
      <c r="K128" s="334"/>
      <c r="L128" s="334"/>
      <c r="M128" s="334"/>
      <c r="N128" s="334"/>
      <c r="O128" s="334"/>
      <c r="P128" s="334"/>
      <c r="Q128" s="334"/>
      <c r="R128" s="334"/>
      <c r="S128" s="334"/>
      <c r="T128"/>
      <c r="U128"/>
      <c r="V128"/>
      <c r="W128"/>
      <c r="X128"/>
      <c r="Y128"/>
      <c r="Z128"/>
      <c r="AA128"/>
    </row>
    <row r="129" spans="1:27">
      <c r="A129"/>
      <c r="B129"/>
      <c r="C129" s="334"/>
      <c r="D129" s="334"/>
      <c r="E129" s="334"/>
      <c r="F129" s="334"/>
      <c r="G129" s="334"/>
      <c r="H129" s="334"/>
      <c r="I129" s="334"/>
      <c r="J129" s="334"/>
      <c r="K129" s="334"/>
      <c r="L129" s="334"/>
      <c r="M129" s="334"/>
      <c r="N129" s="334"/>
      <c r="O129" s="334"/>
      <c r="P129" s="334"/>
      <c r="Q129" s="334"/>
      <c r="R129" s="334"/>
      <c r="S129" s="334"/>
      <c r="T129"/>
      <c r="U129"/>
      <c r="V129"/>
      <c r="W129"/>
      <c r="X129"/>
      <c r="Y129"/>
      <c r="Z129"/>
      <c r="AA129"/>
    </row>
    <row r="130" spans="1:27">
      <c r="A130"/>
      <c r="B130"/>
      <c r="C130" s="334"/>
      <c r="D130" s="334"/>
      <c r="E130" s="334"/>
      <c r="F130" s="334"/>
      <c r="G130" s="334"/>
      <c r="H130" s="334"/>
      <c r="I130" s="334"/>
      <c r="J130" s="334"/>
      <c r="K130" s="334"/>
      <c r="L130" s="334"/>
      <c r="M130" s="334"/>
      <c r="N130" s="334"/>
      <c r="O130" s="334"/>
      <c r="P130" s="334"/>
      <c r="Q130" s="334"/>
      <c r="R130" s="334"/>
      <c r="S130" s="334"/>
      <c r="T130"/>
      <c r="U130"/>
      <c r="V130"/>
      <c r="W130"/>
      <c r="X130"/>
      <c r="Y130"/>
      <c r="Z130"/>
      <c r="AA130"/>
    </row>
    <row r="131" spans="1:27">
      <c r="A131"/>
      <c r="B131"/>
      <c r="C131" s="334"/>
      <c r="D131" s="334"/>
      <c r="E131" s="334"/>
      <c r="F131" s="334"/>
      <c r="G131" s="334"/>
      <c r="H131" s="334"/>
      <c r="I131" s="334"/>
      <c r="J131" s="334"/>
      <c r="K131" s="334"/>
      <c r="L131" s="334"/>
      <c r="M131" s="334"/>
      <c r="N131" s="334"/>
      <c r="O131" s="334"/>
      <c r="P131" s="334"/>
      <c r="Q131" s="334"/>
      <c r="R131" s="334"/>
      <c r="S131" s="334"/>
      <c r="T131"/>
      <c r="U131"/>
      <c r="V131"/>
      <c r="W131"/>
      <c r="X131"/>
      <c r="Y131"/>
      <c r="Z131"/>
      <c r="AA131"/>
    </row>
    <row r="132" spans="1:27">
      <c r="A132"/>
      <c r="B132"/>
      <c r="C132" s="334"/>
      <c r="D132" s="334"/>
      <c r="E132" s="334"/>
      <c r="F132" s="334"/>
      <c r="G132" s="334"/>
      <c r="H132" s="334"/>
      <c r="I132" s="334"/>
      <c r="J132" s="334"/>
      <c r="K132" s="334"/>
      <c r="L132" s="334"/>
      <c r="M132" s="334"/>
      <c r="N132" s="334"/>
      <c r="O132" s="334"/>
      <c r="P132" s="334"/>
      <c r="Q132" s="334"/>
      <c r="R132" s="334"/>
      <c r="S132" s="334"/>
      <c r="T132"/>
      <c r="X132"/>
    </row>
    <row r="133" spans="1:27">
      <c r="A133"/>
      <c r="B133"/>
      <c r="C133" s="334"/>
      <c r="D133" s="334"/>
      <c r="E133" s="334"/>
      <c r="F133" s="334"/>
      <c r="G133" s="334"/>
      <c r="H133" s="334"/>
      <c r="I133" s="334"/>
      <c r="J133" s="334"/>
      <c r="K133" s="334"/>
      <c r="L133" s="334"/>
      <c r="M133" s="334"/>
      <c r="N133" s="334"/>
      <c r="O133" s="334"/>
      <c r="P133" s="334"/>
      <c r="Q133" s="334"/>
      <c r="R133" s="334"/>
      <c r="S133" s="334"/>
      <c r="T133"/>
      <c r="X133"/>
    </row>
    <row r="134" spans="1:27">
      <c r="A134"/>
      <c r="B134"/>
      <c r="C134" s="334"/>
      <c r="D134" s="334"/>
      <c r="E134" s="334"/>
      <c r="F134" s="334"/>
      <c r="G134" s="334"/>
      <c r="H134" s="334"/>
      <c r="I134" s="334"/>
      <c r="J134" s="334"/>
      <c r="K134" s="334"/>
      <c r="L134" s="334"/>
      <c r="M134" s="334"/>
      <c r="N134" s="334"/>
      <c r="O134" s="334"/>
      <c r="P134" s="334"/>
      <c r="Q134" s="334"/>
      <c r="R134" s="334"/>
      <c r="S134" s="334"/>
      <c r="T134"/>
      <c r="X134"/>
    </row>
    <row r="135" spans="1:27">
      <c r="A135"/>
      <c r="B135"/>
      <c r="C135" s="334"/>
      <c r="D135" s="334"/>
      <c r="E135" s="334"/>
      <c r="F135" s="334"/>
      <c r="G135" s="334"/>
      <c r="H135" s="334"/>
      <c r="I135" s="334"/>
      <c r="J135" s="334"/>
      <c r="K135" s="334"/>
      <c r="L135" s="334"/>
      <c r="M135" s="334"/>
      <c r="N135" s="334"/>
      <c r="O135" s="334"/>
      <c r="P135" s="334"/>
      <c r="Q135" s="334"/>
      <c r="R135" s="334"/>
      <c r="S135" s="334"/>
      <c r="T135"/>
      <c r="X135"/>
    </row>
    <row r="136" spans="1:27">
      <c r="A136"/>
      <c r="B136"/>
      <c r="C136" s="334"/>
      <c r="D136" s="334"/>
      <c r="E136" s="334"/>
      <c r="F136" s="334"/>
      <c r="G136" s="334"/>
      <c r="H136" s="334"/>
      <c r="I136" s="334"/>
      <c r="J136" s="334"/>
      <c r="K136" s="334"/>
      <c r="L136" s="334"/>
      <c r="M136" s="334"/>
      <c r="N136" s="334"/>
      <c r="O136" s="334"/>
      <c r="P136" s="334"/>
      <c r="Q136" s="334"/>
      <c r="R136" s="334"/>
      <c r="S136" s="334"/>
      <c r="T136"/>
      <c r="X136"/>
    </row>
    <row r="137" spans="1:27">
      <c r="A137"/>
      <c r="B137"/>
      <c r="C137" s="334"/>
      <c r="D137" s="334"/>
      <c r="E137" s="334"/>
      <c r="F137" s="334"/>
      <c r="G137" s="334"/>
      <c r="H137" s="334"/>
      <c r="I137" s="334"/>
      <c r="J137" s="334"/>
      <c r="K137" s="334"/>
      <c r="L137" s="334"/>
      <c r="M137" s="334"/>
      <c r="N137" s="334"/>
      <c r="O137" s="334"/>
      <c r="P137" s="334"/>
      <c r="Q137" s="334"/>
      <c r="R137" s="334"/>
      <c r="S137" s="334"/>
      <c r="T137"/>
      <c r="X137"/>
    </row>
    <row r="138" spans="1:27">
      <c r="A138"/>
      <c r="B138"/>
      <c r="C138" s="334"/>
      <c r="D138" s="334"/>
      <c r="E138" s="334"/>
      <c r="F138" s="334"/>
      <c r="G138" s="334"/>
      <c r="H138" s="334"/>
      <c r="I138" s="334"/>
      <c r="J138" s="334"/>
      <c r="K138" s="334"/>
      <c r="L138" s="334"/>
      <c r="M138" s="334"/>
      <c r="N138" s="334"/>
      <c r="O138" s="334"/>
      <c r="P138" s="334"/>
      <c r="Q138" s="334"/>
      <c r="R138" s="334"/>
      <c r="S138" s="334"/>
      <c r="T138"/>
      <c r="X138"/>
    </row>
    <row r="139" spans="1:27">
      <c r="A139"/>
      <c r="B139"/>
      <c r="C139" s="334"/>
      <c r="D139" s="334"/>
      <c r="E139" s="334"/>
      <c r="F139" s="334"/>
      <c r="G139" s="334"/>
      <c r="H139" s="334"/>
      <c r="I139" s="334"/>
      <c r="J139" s="334"/>
      <c r="K139" s="334"/>
      <c r="L139" s="334"/>
      <c r="M139" s="334"/>
      <c r="N139" s="334"/>
      <c r="O139" s="334"/>
      <c r="P139" s="334"/>
      <c r="Q139" s="334"/>
      <c r="R139" s="334"/>
      <c r="S139" s="334"/>
      <c r="T139"/>
      <c r="X139"/>
    </row>
    <row r="140" spans="1:27">
      <c r="A140"/>
      <c r="B140"/>
      <c r="C140" s="334"/>
      <c r="D140" s="334"/>
      <c r="E140" s="334"/>
      <c r="F140" s="334"/>
      <c r="G140" s="334"/>
      <c r="H140" s="334"/>
      <c r="I140" s="334"/>
      <c r="J140" s="334"/>
      <c r="K140" s="334"/>
      <c r="L140" s="334"/>
      <c r="M140" s="334"/>
      <c r="N140" s="334"/>
      <c r="O140" s="334"/>
      <c r="P140" s="334"/>
      <c r="Q140" s="334"/>
      <c r="R140" s="334"/>
      <c r="S140" s="334"/>
      <c r="T140"/>
      <c r="X140"/>
    </row>
    <row r="141" spans="1:27">
      <c r="A141"/>
      <c r="B141"/>
      <c r="C141" s="334"/>
      <c r="D141" s="334"/>
      <c r="E141" s="334"/>
      <c r="F141" s="334"/>
      <c r="G141" s="334"/>
      <c r="H141" s="334"/>
      <c r="I141" s="334"/>
      <c r="J141" s="334"/>
      <c r="K141" s="334"/>
      <c r="L141" s="334"/>
      <c r="M141" s="334"/>
      <c r="N141" s="334"/>
      <c r="O141" s="334"/>
      <c r="P141" s="334"/>
      <c r="Q141" s="334"/>
      <c r="R141" s="334"/>
      <c r="S141" s="334"/>
      <c r="T141"/>
      <c r="X141"/>
    </row>
    <row r="145" spans="3:19">
      <c r="C145" s="181"/>
      <c r="D145" s="181"/>
      <c r="E145" s="181"/>
      <c r="F145" s="181"/>
      <c r="G145" s="181"/>
      <c r="H145" s="181"/>
      <c r="I145" s="181"/>
      <c r="J145" s="181"/>
      <c r="K145" s="181"/>
      <c r="L145" s="181"/>
      <c r="M145" s="181"/>
      <c r="N145" s="181"/>
      <c r="O145" s="181"/>
      <c r="P145" s="181"/>
      <c r="Q145" s="181"/>
      <c r="R145" s="181"/>
      <c r="S145" s="181"/>
    </row>
    <row r="146" spans="3:19">
      <c r="C146" s="181"/>
      <c r="D146" s="181"/>
      <c r="E146" s="181"/>
      <c r="F146" s="181"/>
      <c r="G146" s="181"/>
      <c r="H146" s="181"/>
      <c r="I146" s="181"/>
      <c r="J146" s="181"/>
      <c r="K146" s="181"/>
      <c r="L146" s="181"/>
      <c r="M146" s="181"/>
      <c r="N146" s="181"/>
      <c r="O146" s="181"/>
      <c r="P146" s="181"/>
      <c r="Q146" s="181"/>
      <c r="R146" s="181"/>
      <c r="S146" s="181"/>
    </row>
    <row r="147" spans="3:19">
      <c r="C147" s="181"/>
      <c r="D147" s="181"/>
      <c r="E147" s="181"/>
      <c r="F147" s="181"/>
      <c r="G147" s="181"/>
      <c r="H147" s="181"/>
      <c r="I147" s="181"/>
      <c r="J147" s="181"/>
      <c r="K147" s="181"/>
      <c r="L147" s="181"/>
      <c r="M147" s="181"/>
      <c r="N147" s="181"/>
      <c r="O147" s="181"/>
      <c r="P147" s="181"/>
      <c r="Q147" s="181"/>
      <c r="R147" s="181"/>
      <c r="S147" s="181"/>
    </row>
    <row r="148" spans="3:19">
      <c r="C148" s="181"/>
      <c r="D148" s="181"/>
      <c r="E148" s="181"/>
      <c r="F148" s="181"/>
      <c r="G148" s="181"/>
      <c r="H148" s="181"/>
      <c r="I148" s="181"/>
      <c r="J148" s="181"/>
      <c r="K148" s="181"/>
      <c r="L148" s="181"/>
      <c r="M148" s="181"/>
      <c r="N148" s="181"/>
      <c r="O148" s="181"/>
      <c r="P148" s="181"/>
      <c r="Q148" s="181"/>
      <c r="R148" s="181"/>
      <c r="S148" s="18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27</vt:i4>
      </vt:variant>
    </vt:vector>
  </HeadingPairs>
  <TitlesOfParts>
    <vt:vector size="34" baseType="lpstr">
      <vt:lpstr>NEW-Tables 80-86</vt:lpstr>
      <vt:lpstr>OLD Tables</vt:lpstr>
      <vt:lpstr>FTE Pivot for regular counts</vt:lpstr>
      <vt:lpstr>Pivot-HS Student % of Undergrad</vt:lpstr>
      <vt:lpstr>SCH Data</vt:lpstr>
      <vt:lpstr>Format for FTE</vt:lpstr>
      <vt:lpstr>Format for HS%</vt:lpstr>
      <vt:lpstr>'SCH Data'!Dual07</vt:lpstr>
      <vt:lpstr>'SCH Data'!Dual07_1</vt:lpstr>
      <vt:lpstr>'SCH Data'!Dual07_2</vt:lpstr>
      <vt:lpstr>'SCH Data'!Dual08_1</vt:lpstr>
      <vt:lpstr>'SCH Data'!Dual11_1</vt:lpstr>
      <vt:lpstr>'SCH Data'!JrCH08ug1_1</vt:lpstr>
      <vt:lpstr>'SCH Data'!JrCH08ug2_1</vt:lpstr>
      <vt:lpstr>'SCH Data'!JrCH08ug3_1</vt:lpstr>
      <vt:lpstr>'SCH Data'!JrCH08ug4_1</vt:lpstr>
      <vt:lpstr>'SCH Data'!JrSCH08ug1_1</vt:lpstr>
      <vt:lpstr>'SCH Data'!JrSCH08ug2_1</vt:lpstr>
      <vt:lpstr>'SCH Data'!JrSCH08ug3_1</vt:lpstr>
      <vt:lpstr>'SCH Data'!JrSCH08ug4_1</vt:lpstr>
      <vt:lpstr>'FTE Pivot for regular counts'!Print_Area</vt:lpstr>
      <vt:lpstr>'NEW-Tables 80-86'!Print_Area</vt:lpstr>
      <vt:lpstr>'OLD Tables'!Print_Area</vt:lpstr>
      <vt:lpstr>'Pivot-HS Student % of Undergrad'!Print_Area</vt:lpstr>
      <vt:lpstr>'SCH Data'!Print_Area</vt:lpstr>
      <vt:lpstr>'FTE Pivot for regular counts'!Print_Titles</vt:lpstr>
      <vt:lpstr>'Pivot-HS Student % of Undergrad'!Print_Titles</vt:lpstr>
      <vt:lpstr>'SCH Data'!Print_Titles</vt:lpstr>
      <vt:lpstr>'SCH Data'!SrSCH08gr2_1</vt:lpstr>
      <vt:lpstr>'SCH Data'!SrSCH08gr3_1</vt:lpstr>
      <vt:lpstr>'SCH Data'!SrSCH08gr4_1</vt:lpstr>
      <vt:lpstr>'SCH Data'!SrSCH08ug2_1</vt:lpstr>
      <vt:lpstr>'SCH Data'!SrSCH08ug3_1</vt:lpstr>
      <vt:lpstr>'SCH Data'!SrSCH08ug4_1</vt:lpstr>
    </vt:vector>
  </TitlesOfParts>
  <Company>SREB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jmarks</dc:creator>
  <cp:lastModifiedBy>Susan Lounsbury</cp:lastModifiedBy>
  <cp:lastPrinted>2013-01-15T20:05:02Z</cp:lastPrinted>
  <dcterms:created xsi:type="dcterms:W3CDTF">1999-02-24T13:58:47Z</dcterms:created>
  <dcterms:modified xsi:type="dcterms:W3CDTF">2014-03-19T18:25:42Z</dcterms:modified>
</cp:coreProperties>
</file>